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worksheets/sheet5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sharedStrings.xml" ContentType="application/vnd.openxmlformats-officedocument.spreadsheetml.sharedStrings+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0.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worksheets/sheet45.xml" ContentType="application/vnd.openxmlformats-officedocument.spreadsheetml.worksheet+xml"/>
  <Override PartName="/xl/worksheets/sheet46.xml" ContentType="application/vnd.openxmlformats-officedocument.spreadsheetml.worksheet+xml"/>
  <Override PartName="/xl/styles.xml" ContentType="application/vnd.openxmlformats-officedocument.spreadsheetml.styles+xml"/>
  <Override PartName="/xl/worksheets/sheet47.xml" ContentType="application/vnd.openxmlformats-officedocument.spreadsheetml.worksheet+xml"/>
  <Override PartName="/xl/worksheets/sheet48.xml" ContentType="application/vnd.openxmlformats-officedocument.spreadsheetml.worksheet+xml"/>
  <Override PartName="/xl/worksheets/sheet57.xml" ContentType="application/vnd.openxmlformats-officedocument.spreadsheetml.worksheet+xml"/>
  <Override PartName="/xl/worksheets/sheet29.xml" ContentType="application/vnd.openxmlformats-officedocument.spreadsheetml.worksheet+xml"/>
  <Override PartName="/xl/worksheets/sheet2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8.xml" ContentType="application/vnd.openxmlformats-officedocument.spreadsheetml.worksheet+xml"/>
  <Override PartName="/xl/worksheets/sheet13.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58.xml" ContentType="application/vnd.openxmlformats-officedocument.spreadsheetml.worksheet+xml"/>
  <Override PartName="/xl/worksheets/sheet14.xml" ContentType="application/vnd.openxmlformats-officedocument.spreadsheetml.worksheet+xml"/>
  <Override PartName="/xl/worksheets/sheet12.xml" ContentType="application/vnd.openxmlformats-officedocument.spreadsheetml.worksheet+xml"/>
  <Override PartName="/xl/worksheets/sheet16.xml" ContentType="application/vnd.openxmlformats-officedocument.spreadsheetml.worksheet+xml"/>
  <Override PartName="/xl/worksheets/sheet23.xml" ContentType="application/vnd.openxmlformats-officedocument.spreadsheetml.worksheet+xml"/>
  <Override PartName="/xl/worksheets/sheet15.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2.xml" ContentType="application/vnd.openxmlformats-officedocument.spreadsheetml.worksheet+xml"/>
  <Override PartName="/xl/worksheets/sheet24.xml" ContentType="application/vnd.openxmlformats-officedocument.spreadsheetml.worksheet+xml"/>
  <Override PartName="/xl/worksheets/sheet20.xml" ContentType="application/vnd.openxmlformats-officedocument.spreadsheetml.worksheet+xml"/>
  <Override PartName="/xl/worksheets/sheet17.xml" ContentType="application/vnd.openxmlformats-officedocument.spreadsheetml.worksheet+xml"/>
  <Override PartName="/xl/worksheets/sheet21.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docProps/app.xml" ContentType="application/vnd.openxmlformats-officedocument.extended-properties+xml"/>
  <Override PartName="/xl/externalLinks/externalLink2.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xl/externalLinks/externalLink1.xml" ContentType="application/vnd.openxmlformats-officedocument.spreadsheetml.externalLink+xml"/>
  <Override PartName="/xl/comments13.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2.xml" ContentType="application/vnd.openxmlformats-officedocument.spreadsheetml.comments+xml"/>
  <Override PartName="/xl/comments1.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10.xml" ContentType="application/vnd.openxmlformats-officedocument.spreadsheetml.comments+xml"/>
  <Override PartName="/xl/externalLinks/externalLink6.xml" ContentType="application/vnd.openxmlformats-officedocument.spreadsheetml.externalLink+xml"/>
  <Override PartName="/xl/externalLinks/externalLink5.xml" ContentType="application/vnd.openxmlformats-officedocument.spreadsheetml.externalLink+xml"/>
  <Override PartName="/xl/comments11.xml" ContentType="application/vnd.openxmlformats-officedocument.spreadsheetml.comments+xml"/>
  <Override PartName="/xl/externalLinks/externalLink3.xml" ContentType="application/vnd.openxmlformats-officedocument.spreadsheetml.externalLink+xml"/>
  <Override PartName="/xl/comments12.xml" ContentType="application/vnd.openxmlformats-officedocument.spreadsheetml.comments+xml"/>
  <Override PartName="/xl/externalLinks/externalLink4.xml" ContentType="application/vnd.openxmlformats-officedocument.spreadsheetml.externalLink+xml"/>
  <Override PartName="/xl/comments9.xml" ContentType="application/vnd.openxmlformats-officedocument.spreadsheetml.comments+xml"/>
  <Override PartName="/xl/comments8.xml" ContentType="application/vnd.openxmlformats-officedocument.spreadsheetml.comments+xml"/>
  <Override PartName="/xl/comments7.xml" ContentType="application/vnd.openxmlformats-officedocument.spreadsheetml.comment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4860" windowWidth="6360" windowHeight="1245" firstSheet="11" activeTab="11"/>
  </bookViews>
  <sheets>
    <sheet name="03N Biểu 07" sheetId="85" state="hidden" r:id="rId1"/>
    <sheet name="03N Biểu 08" sheetId="86" state="hidden" r:id="rId2"/>
    <sheet name="03N Biểu 09" sheetId="87" state="hidden" r:id="rId3"/>
    <sheet name="03N Biểu 10" sheetId="88" state="hidden" r:id="rId4"/>
    <sheet name="03N Biểu 11" sheetId="89" state="hidden" r:id="rId5"/>
    <sheet name="Biểu 12" sheetId="47" state="hidden" r:id="rId6"/>
    <sheet name="Biểu 13" sheetId="48" state="hidden" r:id="rId7"/>
    <sheet name="Biểu 14" sheetId="49" state="hidden" r:id="rId8"/>
    <sheet name="Danh mục báo cáo" sheetId="81" r:id="rId9"/>
    <sheet name="Biểu 16" sheetId="44" state="hidden" r:id="rId10"/>
    <sheet name="Biểu 16a" sheetId="90" state="hidden" r:id="rId11"/>
    <sheet name="Biểu số 48" sheetId="66" r:id="rId12"/>
    <sheet name="Biểu 17" sheetId="45" state="hidden" r:id="rId13"/>
    <sheet name="Biểu 18" sheetId="79" state="hidden" r:id="rId14"/>
    <sheet name="Biểu 19" sheetId="50" state="hidden" r:id="rId15"/>
    <sheet name="Biểu 20" sheetId="51" state="hidden" r:id="rId16"/>
    <sheet name="Biểu 21" sheetId="52" state="hidden" r:id="rId17"/>
    <sheet name="Biểu 22" sheetId="53" state="hidden" r:id="rId18"/>
    <sheet name="Biểu 23" sheetId="54" state="hidden" r:id="rId19"/>
    <sheet name="Biểu 24" sheetId="55" state="hidden" r:id="rId20"/>
    <sheet name="Biểu 25" sheetId="56" state="hidden" r:id="rId21"/>
    <sheet name="Biểu 26" sheetId="57" state="hidden" r:id="rId22"/>
    <sheet name="Biểu 27" sheetId="58" state="hidden" r:id="rId23"/>
    <sheet name="Biểu 29." sheetId="94" state="hidden" r:id="rId24"/>
    <sheet name="Biểu 31" sheetId="61" state="hidden" r:id="rId25"/>
    <sheet name="Biểu 32" sheetId="38" state="hidden" r:id="rId26"/>
    <sheet name="Biểu 37" sheetId="77" state="hidden" r:id="rId27"/>
    <sheet name="Biểu 37 a DT SC Tr.sơ" sheetId="70" state="hidden" r:id="rId28"/>
    <sheet name="Biểu 41" sheetId="31" state="hidden" r:id="rId29"/>
    <sheet name="Biểu 43." sheetId="82" state="hidden" r:id="rId30"/>
    <sheet name="Biểu 44." sheetId="72" state="hidden" r:id="rId31"/>
    <sheet name="Biểu 47." sheetId="95" state="hidden" r:id="rId32"/>
    <sheet name="Biểu 29" sheetId="59" state="hidden" r:id="rId33"/>
    <sheet name="Biểu 38" sheetId="28" state="hidden" r:id="rId34"/>
    <sheet name="Biểu 40" sheetId="62" state="hidden" r:id="rId35"/>
    <sheet name="Biểu 43" sheetId="33" state="hidden" r:id="rId36"/>
    <sheet name="Biểu 44" sheetId="34" state="hidden" r:id="rId37"/>
    <sheet name="Biểu 45" sheetId="63" state="hidden" r:id="rId38"/>
    <sheet name="Biểu 47" sheetId="64" state="hidden" r:id="rId39"/>
    <sheet name="Biểu 34" sheetId="39" state="hidden" r:id="rId40"/>
    <sheet name="Biểu 35" sheetId="25" state="hidden" r:id="rId41"/>
    <sheet name="Biểu 36" sheetId="26" state="hidden" r:id="rId42"/>
    <sheet name="Biểu 46." sheetId="96" state="hidden" r:id="rId43"/>
    <sheet name="Biểu 28" sheetId="60" state="hidden" r:id="rId44"/>
    <sheet name="TL 1390" sheetId="91" state="hidden" r:id="rId45"/>
    <sheet name="TLg1300" sheetId="73" state="hidden" r:id="rId46"/>
    <sheet name="VĐT" sheetId="76" state="hidden" r:id="rId47"/>
    <sheet name="Biểu 07 DT" sheetId="69" state="hidden" r:id="rId48"/>
    <sheet name="Biểu 09DT" sheetId="67" state="hidden" r:id="rId49"/>
    <sheet name="Biểu 10DT TG thu" sheetId="74" state="hidden" r:id="rId50"/>
    <sheet name="Biểu 11.1.DT" sheetId="99" state="hidden" r:id="rId51"/>
    <sheet name="Biểu 03" sheetId="65" state="hidden" r:id="rId52"/>
    <sheet name="Biểu 08DT phí, LP" sheetId="80" state="hidden" r:id="rId53"/>
    <sheet name="Biểu 11 DT" sheetId="97" state="hidden" r:id="rId54"/>
    <sheet name="Biểu 11 DT SKH" sheetId="84" state="hidden" r:id="rId55"/>
    <sheet name="Biểu 06 DT " sheetId="68" state="hidden" r:id="rId56"/>
    <sheet name="CTMT TPMT" sheetId="98" state="hidden" r:id="rId57"/>
    <sheet name="3 năm Thuế gửi" sheetId="92" state="hidden" r:id="rId58"/>
  </sheets>
  <externalReferences>
    <externalReference r:id="rId59"/>
    <externalReference r:id="rId60"/>
    <externalReference r:id="rId61"/>
    <externalReference r:id="rId62"/>
    <externalReference r:id="rId63"/>
    <externalReference r:id="rId64"/>
  </externalReferences>
  <definedNames>
    <definedName name="_xlnm._FilterDatabase" localSheetId="53" hidden="1">'Biểu 11 DT'!$A$9:$AL$382</definedName>
    <definedName name="chuong_phuluc_1_name" localSheetId="8">'Danh mục báo cáo'!$A$2</definedName>
    <definedName name="chuong_phuluc_35" localSheetId="40">'Biểu 35'!#REF!</definedName>
    <definedName name="chuong_phuluc_35_name" localSheetId="40">'Biểu 35'!$A$1</definedName>
    <definedName name="chuong_phuluc_36" localSheetId="41">'Biểu 36'!#REF!</definedName>
    <definedName name="chuong_phuluc_36_name" localSheetId="41">'Biểu 36'!$A$1</definedName>
    <definedName name="chuong_phuluc_38" localSheetId="33">'Biểu 38'!#REF!</definedName>
    <definedName name="chuong_phuluc_38_name" localSheetId="33">'Biểu 38'!$A$1</definedName>
    <definedName name="chuong_phuluc_41" localSheetId="28">'Biểu 41'!#REF!</definedName>
    <definedName name="chuong_phuluc_41_name" localSheetId="28">'Biểu 41'!$A$1</definedName>
    <definedName name="chuong_phuluc_43" localSheetId="35">'Biểu 43'!#REF!</definedName>
    <definedName name="chuong_phuluc_43_name" localSheetId="35">'Biểu 43'!$A$1</definedName>
    <definedName name="chuong_phuluc_44" localSheetId="36">'Biểu 44'!#REF!</definedName>
    <definedName name="chuong_phuluc_44_name" localSheetId="36">'Biểu 44'!$A$1</definedName>
    <definedName name="chuong_phuluc_44_name_name" localSheetId="36">'Biểu 44'!$A$2</definedName>
    <definedName name="_xlnm.Print_Titles" localSheetId="0">'03N Biểu 07'!$4:$5</definedName>
    <definedName name="_xlnm.Print_Titles" localSheetId="1">'03N Biểu 08'!$4:$4</definedName>
    <definedName name="_xlnm.Print_Titles" localSheetId="4">'03N Biểu 11'!$4:$5</definedName>
    <definedName name="_xlnm.Print_Titles" localSheetId="51">'Biểu 03'!$4:$6</definedName>
    <definedName name="_xlnm.Print_Titles" localSheetId="55">'Biểu 06 DT '!$4:$6</definedName>
    <definedName name="_xlnm.Print_Titles" localSheetId="47">'Biểu 07 DT'!$4:$4</definedName>
    <definedName name="_xlnm.Print_Titles" localSheetId="52">'Biểu 08DT phí, LP'!$4:$7</definedName>
    <definedName name="_xlnm.Print_Titles" localSheetId="48">'Biểu 09DT'!$5:$5</definedName>
    <definedName name="_xlnm.Print_Titles" localSheetId="53">'Biểu 11 DT'!$4:$9</definedName>
    <definedName name="_xlnm.Print_Titles" localSheetId="54">'Biểu 11 DT SKH'!$4:$9</definedName>
    <definedName name="_xlnm.Print_Titles" localSheetId="50">'Biểu 11.1.DT'!$5:$9</definedName>
    <definedName name="_xlnm.Print_Titles" localSheetId="6">'Biểu 13'!$A:$B</definedName>
    <definedName name="_xlnm.Print_Titles" localSheetId="7">'Biểu 14'!$4:$6</definedName>
    <definedName name="_xlnm.Print_Titles" localSheetId="12">'Biểu 17'!$4:$6</definedName>
    <definedName name="_xlnm.Print_Titles" localSheetId="13">'Biểu 18'!$4:$5</definedName>
    <definedName name="_xlnm.Print_Titles" localSheetId="17">'Biểu 22'!$4:$6</definedName>
    <definedName name="_xlnm.Print_Titles" localSheetId="18">'Biểu 23'!$4:$6</definedName>
    <definedName name="_xlnm.Print_Titles" localSheetId="19">'Biểu 24'!$4:$6</definedName>
    <definedName name="_xlnm.Print_Titles" localSheetId="20">'Biểu 25'!$4:$6</definedName>
    <definedName name="_xlnm.Print_Titles" localSheetId="21">'Biểu 26'!$4:$6</definedName>
    <definedName name="_xlnm.Print_Titles" localSheetId="39">'Biểu 34'!$4:$6</definedName>
    <definedName name="_xlnm.Print_Titles" localSheetId="40">'Biểu 35'!$4:$6</definedName>
    <definedName name="_xlnm.Print_Titles" localSheetId="41">'Biểu 36'!$5:$7</definedName>
    <definedName name="_xlnm.Print_Titles" localSheetId="26">'Biểu 37'!$4:$5</definedName>
    <definedName name="_xlnm.Print_Titles" localSheetId="27">'Biểu 37 a DT SC Tr.sơ'!$4:$7</definedName>
    <definedName name="_xlnm.Print_Titles" localSheetId="30">'Biểu 44.'!$5:$5</definedName>
    <definedName name="_xlnm.Print_Titles" localSheetId="42">'Biểu 46.'!$4:$5</definedName>
    <definedName name="_xlnm.Print_Titles" localSheetId="56">'CTMT TPMT'!$3:$3</definedName>
    <definedName name="_xlnm.Print_Titles" localSheetId="8">'Danh mục báo cáo'!$4:$4</definedName>
  </definedNames>
  <calcPr calcId="144525"/>
</workbook>
</file>

<file path=xl/calcChain.xml><?xml version="1.0" encoding="utf-8"?>
<calcChain xmlns="http://schemas.openxmlformats.org/spreadsheetml/2006/main">
  <c r="A3" i="81" l="1"/>
  <c r="A1" i="66" l="1"/>
  <c r="E9" i="79" l="1"/>
  <c r="X40" i="66" l="1"/>
  <c r="V40" i="66"/>
  <c r="T40" i="66"/>
  <c r="R40" i="66"/>
  <c r="P40" i="66"/>
  <c r="N40" i="66"/>
  <c r="L40" i="66"/>
  <c r="J40" i="66"/>
  <c r="H40" i="66"/>
  <c r="D40" i="66" s="1"/>
  <c r="C40" i="66"/>
  <c r="X39" i="66"/>
  <c r="V39" i="66"/>
  <c r="T39" i="66"/>
  <c r="R39" i="66"/>
  <c r="P39" i="66"/>
  <c r="N39" i="66"/>
  <c r="L39" i="66"/>
  <c r="J39" i="66"/>
  <c r="H39" i="66"/>
  <c r="D39" i="66" s="1"/>
  <c r="C39" i="66"/>
  <c r="G11" i="68" l="1"/>
  <c r="C11" i="68"/>
  <c r="G21" i="68" l="1"/>
  <c r="D60" i="77"/>
  <c r="E60" i="77"/>
  <c r="F60" i="77"/>
  <c r="G60" i="77"/>
  <c r="I60" i="77"/>
  <c r="J60" i="77"/>
  <c r="K60" i="77"/>
  <c r="L60" i="77"/>
  <c r="C77" i="77"/>
  <c r="A2" i="44" l="1"/>
  <c r="A2" i="69" l="1"/>
  <c r="B36" i="26" l="1"/>
  <c r="B44" i="25"/>
  <c r="B10" i="25"/>
  <c r="D8" i="94"/>
  <c r="F8" i="94" s="1"/>
  <c r="C8" i="94"/>
  <c r="D25" i="49"/>
  <c r="AE50" i="99" l="1"/>
  <c r="AD50" i="99"/>
  <c r="AB49" i="99"/>
  <c r="AA49" i="99"/>
  <c r="Z49" i="99"/>
  <c r="V49" i="99"/>
  <c r="U49" i="99"/>
  <c r="T49" i="99"/>
  <c r="AD48" i="99"/>
  <c r="AD44" i="99" s="1"/>
  <c r="AA48" i="99"/>
  <c r="AB48" i="99" s="1"/>
  <c r="V48" i="99"/>
  <c r="U48" i="99"/>
  <c r="T48" i="99"/>
  <c r="L48" i="99"/>
  <c r="Z48" i="99" s="1"/>
  <c r="AB47" i="99"/>
  <c r="AA47" i="99"/>
  <c r="Z47" i="99"/>
  <c r="V47" i="99"/>
  <c r="U47" i="99"/>
  <c r="H47" i="99"/>
  <c r="T47" i="99" s="1"/>
  <c r="AA46" i="99"/>
  <c r="AB46" i="99" s="1"/>
  <c r="V46" i="99"/>
  <c r="U46" i="99"/>
  <c r="L46" i="99"/>
  <c r="H46" i="99"/>
  <c r="AA45" i="99"/>
  <c r="Z45" i="99"/>
  <c r="W45" i="99"/>
  <c r="U45" i="99"/>
  <c r="T45" i="99"/>
  <c r="AG44" i="99"/>
  <c r="AF44" i="99"/>
  <c r="AE44" i="99"/>
  <c r="AC44" i="99"/>
  <c r="AA44" i="99"/>
  <c r="Y44" i="99"/>
  <c r="X44" i="99"/>
  <c r="W44" i="99"/>
  <c r="U44" i="99"/>
  <c r="S44" i="99"/>
  <c r="R44" i="99"/>
  <c r="Q44" i="99"/>
  <c r="P44" i="99"/>
  <c r="O44" i="99"/>
  <c r="N44" i="99"/>
  <c r="M44" i="99"/>
  <c r="L44" i="99"/>
  <c r="K44" i="99"/>
  <c r="J44" i="99"/>
  <c r="I44" i="99"/>
  <c r="G44" i="99"/>
  <c r="F44" i="99"/>
  <c r="E44" i="99"/>
  <c r="D44" i="99"/>
  <c r="AB43" i="99"/>
  <c r="AA43" i="99"/>
  <c r="Z43" i="99"/>
  <c r="V43" i="99"/>
  <c r="U43" i="99"/>
  <c r="L43" i="99"/>
  <c r="AA42" i="99"/>
  <c r="AB42" i="99" s="1"/>
  <c r="Z42" i="99"/>
  <c r="V42" i="99"/>
  <c r="U42" i="99"/>
  <c r="T42" i="99"/>
  <c r="V41" i="99"/>
  <c r="P41" i="99"/>
  <c r="AA40" i="99"/>
  <c r="AB40" i="99" s="1"/>
  <c r="V40" i="99"/>
  <c r="U40" i="99"/>
  <c r="L40" i="99"/>
  <c r="H40" i="99"/>
  <c r="AA39" i="99"/>
  <c r="AB39" i="99" s="1"/>
  <c r="V39" i="99"/>
  <c r="U39" i="99"/>
  <c r="H39" i="99"/>
  <c r="Z39" i="99" s="1"/>
  <c r="AG38" i="99"/>
  <c r="AF38" i="99"/>
  <c r="AE38" i="99"/>
  <c r="AD38" i="99"/>
  <c r="AC38" i="99"/>
  <c r="Y38" i="99"/>
  <c r="X38" i="99"/>
  <c r="W38" i="99"/>
  <c r="S38" i="99"/>
  <c r="R38" i="99"/>
  <c r="O38" i="99"/>
  <c r="N38" i="99"/>
  <c r="M38" i="99"/>
  <c r="K38" i="99"/>
  <c r="J38" i="99"/>
  <c r="I38" i="99"/>
  <c r="G38" i="99"/>
  <c r="F38" i="99"/>
  <c r="E38" i="99"/>
  <c r="D38" i="99"/>
  <c r="AA37" i="99"/>
  <c r="AB37" i="99" s="1"/>
  <c r="V37" i="99"/>
  <c r="U37" i="99"/>
  <c r="L37" i="99"/>
  <c r="AA36" i="99"/>
  <c r="AB36" i="99" s="1"/>
  <c r="V36" i="99"/>
  <c r="V35" i="99" s="1"/>
  <c r="U36" i="99"/>
  <c r="L36" i="99"/>
  <c r="Z36" i="99" s="1"/>
  <c r="AG35" i="99"/>
  <c r="AA35" i="99"/>
  <c r="Y35" i="99"/>
  <c r="X35" i="99"/>
  <c r="W35" i="99"/>
  <c r="S35" i="99"/>
  <c r="R35" i="99"/>
  <c r="Q35" i="99"/>
  <c r="P35" i="99"/>
  <c r="O35" i="99"/>
  <c r="N35" i="99"/>
  <c r="M35" i="99"/>
  <c r="K35" i="99"/>
  <c r="J35" i="99"/>
  <c r="I35" i="99"/>
  <c r="H35" i="99"/>
  <c r="G35" i="99"/>
  <c r="F35" i="99"/>
  <c r="E35" i="99"/>
  <c r="D35" i="99"/>
  <c r="AA34" i="99"/>
  <c r="AB34" i="99" s="1"/>
  <c r="Z34" i="99"/>
  <c r="V34" i="99"/>
  <c r="U34" i="99"/>
  <c r="T34" i="99"/>
  <c r="AA33" i="99"/>
  <c r="AB33" i="99" s="1"/>
  <c r="Z33" i="99"/>
  <c r="Z32" i="99" s="1"/>
  <c r="V33" i="99"/>
  <c r="U33" i="99"/>
  <c r="T33" i="99"/>
  <c r="AE32" i="99"/>
  <c r="AD32" i="99"/>
  <c r="AC32" i="99"/>
  <c r="AA32" i="99"/>
  <c r="Y32" i="99"/>
  <c r="X32" i="99"/>
  <c r="W32" i="99"/>
  <c r="V32" i="99"/>
  <c r="S32" i="99"/>
  <c r="R32" i="99"/>
  <c r="Q32" i="99"/>
  <c r="P32" i="99"/>
  <c r="O32" i="99"/>
  <c r="N32" i="99"/>
  <c r="M32" i="99"/>
  <c r="L32" i="99"/>
  <c r="K32" i="99"/>
  <c r="J32" i="99"/>
  <c r="I32" i="99"/>
  <c r="H32" i="99"/>
  <c r="G32" i="99"/>
  <c r="U32" i="99" s="1"/>
  <c r="F32" i="99"/>
  <c r="T32" i="99" s="1"/>
  <c r="E32" i="99"/>
  <c r="D32" i="99"/>
  <c r="AB31" i="99"/>
  <c r="AA31" i="99"/>
  <c r="V31" i="99"/>
  <c r="U31" i="99"/>
  <c r="L31" i="99"/>
  <c r="Z31" i="99" s="1"/>
  <c r="H31" i="99"/>
  <c r="AB30" i="99"/>
  <c r="AA30" i="99"/>
  <c r="Z30" i="99"/>
  <c r="V30" i="99"/>
  <c r="U30" i="99"/>
  <c r="H30" i="99"/>
  <c r="T30" i="99" s="1"/>
  <c r="AA29" i="99"/>
  <c r="AB29" i="99" s="1"/>
  <c r="V29" i="99"/>
  <c r="U29" i="99"/>
  <c r="L29" i="99"/>
  <c r="H29" i="99"/>
  <c r="AA28" i="99"/>
  <c r="AB28" i="99" s="1"/>
  <c r="V28" i="99"/>
  <c r="U28" i="99"/>
  <c r="T28" i="99"/>
  <c r="L28" i="99"/>
  <c r="Z28" i="99" s="1"/>
  <c r="AB27" i="99"/>
  <c r="AA27" i="99"/>
  <c r="Z27" i="99"/>
  <c r="W27" i="99"/>
  <c r="V27" i="99"/>
  <c r="U27" i="99"/>
  <c r="T27" i="99"/>
  <c r="H27" i="99"/>
  <c r="AB26" i="99"/>
  <c r="AA26" i="99"/>
  <c r="Z26" i="99"/>
  <c r="V26" i="99"/>
  <c r="U26" i="99"/>
  <c r="T26" i="99"/>
  <c r="AB25" i="99"/>
  <c r="AA25" i="99"/>
  <c r="Z25" i="99"/>
  <c r="V25" i="99"/>
  <c r="U25" i="99"/>
  <c r="L25" i="99"/>
  <c r="T25" i="99" s="1"/>
  <c r="AA24" i="99"/>
  <c r="AB24" i="99" s="1"/>
  <c r="V24" i="99"/>
  <c r="U24" i="99"/>
  <c r="H24" i="99"/>
  <c r="Z24" i="99" s="1"/>
  <c r="AG23" i="99"/>
  <c r="AF23" i="99"/>
  <c r="AE23" i="99"/>
  <c r="AD23" i="99"/>
  <c r="AC23" i="99"/>
  <c r="AA23" i="99"/>
  <c r="Y23" i="99"/>
  <c r="X23" i="99"/>
  <c r="W23" i="99"/>
  <c r="S23" i="99"/>
  <c r="R23" i="99"/>
  <c r="Q23" i="99"/>
  <c r="P23" i="99"/>
  <c r="O23" i="99"/>
  <c r="N23" i="99"/>
  <c r="M23" i="99"/>
  <c r="K23" i="99"/>
  <c r="J23" i="99"/>
  <c r="I23" i="99"/>
  <c r="G23" i="99"/>
  <c r="F23" i="99"/>
  <c r="E23" i="99"/>
  <c r="D23" i="99"/>
  <c r="AB22" i="99"/>
  <c r="AA22" i="99"/>
  <c r="Z22" i="99"/>
  <c r="Z20" i="99" s="1"/>
  <c r="U22" i="99"/>
  <c r="T22" i="99"/>
  <c r="AA21" i="99"/>
  <c r="V21" i="99"/>
  <c r="V20" i="99" s="1"/>
  <c r="U21" i="99"/>
  <c r="T21" i="99"/>
  <c r="L21" i="99"/>
  <c r="Z21" i="99" s="1"/>
  <c r="Y20" i="99"/>
  <c r="X20" i="99"/>
  <c r="W20" i="99"/>
  <c r="S20" i="99"/>
  <c r="R20" i="99"/>
  <c r="Q20" i="99"/>
  <c r="P20" i="99"/>
  <c r="O20" i="99"/>
  <c r="N20" i="99"/>
  <c r="M20" i="99"/>
  <c r="L20" i="99"/>
  <c r="K20" i="99"/>
  <c r="J20" i="99"/>
  <c r="I20" i="99"/>
  <c r="H20" i="99"/>
  <c r="G20" i="99"/>
  <c r="U20" i="99" s="1"/>
  <c r="F20" i="99"/>
  <c r="T20" i="99" s="1"/>
  <c r="E20" i="99"/>
  <c r="D20" i="99"/>
  <c r="AA19" i="99"/>
  <c r="AB19" i="99" s="1"/>
  <c r="Z19" i="99"/>
  <c r="U19" i="99"/>
  <c r="T19" i="99"/>
  <c r="AA18" i="99"/>
  <c r="AB18" i="99" s="1"/>
  <c r="Z18" i="99"/>
  <c r="U18" i="99"/>
  <c r="T18" i="99"/>
  <c r="AA17" i="99"/>
  <c r="AB17" i="99" s="1"/>
  <c r="Z17" i="99"/>
  <c r="V17" i="99"/>
  <c r="U17" i="99"/>
  <c r="T17" i="99"/>
  <c r="AA16" i="99"/>
  <c r="V16" i="99"/>
  <c r="U16" i="99"/>
  <c r="T16" i="99"/>
  <c r="T14" i="99" s="1"/>
  <c r="H16" i="99"/>
  <c r="Z16" i="99" s="1"/>
  <c r="AB15" i="99"/>
  <c r="AA15" i="99"/>
  <c r="Z15" i="99"/>
  <c r="V15" i="99"/>
  <c r="U15" i="99"/>
  <c r="U14" i="99" s="1"/>
  <c r="L15" i="99"/>
  <c r="T15" i="99" s="1"/>
  <c r="AG14" i="99"/>
  <c r="AF14" i="99"/>
  <c r="AE14" i="99"/>
  <c r="AD14" i="99"/>
  <c r="AC14" i="99"/>
  <c r="Y14" i="99"/>
  <c r="X14" i="99"/>
  <c r="W14" i="99"/>
  <c r="S14" i="99"/>
  <c r="R14" i="99"/>
  <c r="Q14" i="99"/>
  <c r="P14" i="99"/>
  <c r="O14" i="99"/>
  <c r="N14" i="99"/>
  <c r="M14" i="99"/>
  <c r="L14" i="99"/>
  <c r="K14" i="99"/>
  <c r="J14" i="99"/>
  <c r="I14" i="99"/>
  <c r="H14" i="99"/>
  <c r="G14" i="99"/>
  <c r="F14" i="99"/>
  <c r="E14" i="99"/>
  <c r="D14" i="99"/>
  <c r="AF13" i="99"/>
  <c r="AF12" i="99" s="1"/>
  <c r="AF11" i="99" s="1"/>
  <c r="AD13" i="99"/>
  <c r="X13" i="99"/>
  <c r="X12" i="99" s="1"/>
  <c r="X11" i="99" s="1"/>
  <c r="R13" i="99"/>
  <c r="P13" i="99"/>
  <c r="N13" i="99"/>
  <c r="J13" i="99"/>
  <c r="F13" i="99"/>
  <c r="D13" i="99"/>
  <c r="D12" i="99" s="1"/>
  <c r="D11" i="99" s="1"/>
  <c r="AD12" i="99"/>
  <c r="AD11" i="99" s="1"/>
  <c r="R12" i="99"/>
  <c r="N12" i="99"/>
  <c r="J12" i="99"/>
  <c r="F12" i="99"/>
  <c r="R11" i="99"/>
  <c r="N11" i="99"/>
  <c r="J11" i="99"/>
  <c r="F11" i="99"/>
  <c r="B10" i="99"/>
  <c r="AB32" i="99" l="1"/>
  <c r="I13" i="99"/>
  <c r="I12" i="99" s="1"/>
  <c r="I11" i="99" s="1"/>
  <c r="K13" i="99"/>
  <c r="K12" i="99" s="1"/>
  <c r="K11" i="99" s="1"/>
  <c r="W13" i="99"/>
  <c r="W12" i="99" s="1"/>
  <c r="W11" i="99" s="1"/>
  <c r="Y13" i="99"/>
  <c r="Y12" i="99" s="1"/>
  <c r="Y11" i="99" s="1"/>
  <c r="AC13" i="99"/>
  <c r="AC12" i="99" s="1"/>
  <c r="AC11" i="99" s="1"/>
  <c r="AE13" i="99"/>
  <c r="AE12" i="99" s="1"/>
  <c r="AE11" i="99" s="1"/>
  <c r="AG13" i="99"/>
  <c r="AG12" i="99" s="1"/>
  <c r="AG11" i="99" s="1"/>
  <c r="T24" i="99"/>
  <c r="U35" i="99"/>
  <c r="T36" i="99"/>
  <c r="T39" i="99"/>
  <c r="V38" i="99"/>
  <c r="V14" i="99"/>
  <c r="Z14" i="99"/>
  <c r="E13" i="99"/>
  <c r="E12" i="99" s="1"/>
  <c r="E11" i="99" s="1"/>
  <c r="G13" i="99"/>
  <c r="G12" i="99" s="1"/>
  <c r="G11" i="99" s="1"/>
  <c r="M13" i="99"/>
  <c r="M12" i="99" s="1"/>
  <c r="M11" i="99" s="1"/>
  <c r="O13" i="99"/>
  <c r="O12" i="99" s="1"/>
  <c r="O11" i="99" s="1"/>
  <c r="Q13" i="99"/>
  <c r="S13" i="99"/>
  <c r="S12" i="99" s="1"/>
  <c r="S11" i="99" s="1"/>
  <c r="AB35" i="99"/>
  <c r="AB16" i="99"/>
  <c r="AB14" i="99" s="1"/>
  <c r="AB13" i="99" s="1"/>
  <c r="AB21" i="99"/>
  <c r="AB20" i="99" s="1"/>
  <c r="AA20" i="99"/>
  <c r="AA14" i="99" s="1"/>
  <c r="AA13" i="99" s="1"/>
  <c r="U23" i="99"/>
  <c r="Z29" i="99"/>
  <c r="H23" i="99"/>
  <c r="H13" i="99" s="1"/>
  <c r="T29" i="99"/>
  <c r="T31" i="99"/>
  <c r="V23" i="99"/>
  <c r="V13" i="99" s="1"/>
  <c r="V12" i="99" s="1"/>
  <c r="T37" i="99"/>
  <c r="L35" i="99"/>
  <c r="L23" i="99" s="1"/>
  <c r="L13" i="99" s="1"/>
  <c r="Z40" i="99"/>
  <c r="H38" i="99"/>
  <c r="T40" i="99"/>
  <c r="Z41" i="99"/>
  <c r="Z38" i="99" s="1"/>
  <c r="Q41" i="99"/>
  <c r="P38" i="99"/>
  <c r="P12" i="99" s="1"/>
  <c r="P11" i="99" s="1"/>
  <c r="Z46" i="99"/>
  <c r="Z44" i="99" s="1"/>
  <c r="H44" i="99"/>
  <c r="T46" i="99"/>
  <c r="T44" i="99" s="1"/>
  <c r="U13" i="99"/>
  <c r="AB23" i="99"/>
  <c r="Z37" i="99"/>
  <c r="Z35" i="99" s="1"/>
  <c r="Z23" i="99" s="1"/>
  <c r="Z13" i="99" s="1"/>
  <c r="T41" i="99"/>
  <c r="T43" i="99"/>
  <c r="L38" i="99"/>
  <c r="AB45" i="99"/>
  <c r="AB44" i="99" s="1"/>
  <c r="V45" i="99"/>
  <c r="V44" i="99" s="1"/>
  <c r="T38" i="99" l="1"/>
  <c r="Z12" i="99"/>
  <c r="Z11" i="99" s="1"/>
  <c r="V11" i="99"/>
  <c r="T35" i="99"/>
  <c r="T23" i="99"/>
  <c r="T13" i="99" s="1"/>
  <c r="T12" i="99" s="1"/>
  <c r="T11" i="99" s="1"/>
  <c r="U41" i="99"/>
  <c r="U38" i="99" s="1"/>
  <c r="U12" i="99" s="1"/>
  <c r="U11" i="99" s="1"/>
  <c r="AA41" i="99"/>
  <c r="Q38" i="99"/>
  <c r="Q12" i="99" s="1"/>
  <c r="Q11" i="99" s="1"/>
  <c r="L12" i="99"/>
  <c r="L11" i="99" s="1"/>
  <c r="H12" i="99"/>
  <c r="H11" i="99" s="1"/>
  <c r="AB41" i="99" l="1"/>
  <c r="AB38" i="99" s="1"/>
  <c r="AB12" i="99" s="1"/>
  <c r="AB11" i="99" s="1"/>
  <c r="AA38" i="99"/>
  <c r="AA12" i="99" s="1"/>
  <c r="AA11" i="99" s="1"/>
  <c r="I17" i="77" l="1"/>
  <c r="I35" i="77"/>
  <c r="M44" i="68" l="1"/>
  <c r="M46" i="68" s="1"/>
  <c r="M47" i="68" s="1"/>
  <c r="F58" i="77"/>
  <c r="M42" i="68"/>
  <c r="D40" i="69"/>
  <c r="E55" i="68"/>
  <c r="C55" i="68"/>
  <c r="N14" i="68"/>
  <c r="K30" i="67" l="1"/>
  <c r="J30" i="67"/>
  <c r="I30" i="67"/>
  <c r="H30" i="67"/>
  <c r="F30" i="67"/>
  <c r="E30" i="67"/>
  <c r="D30" i="67"/>
  <c r="R21" i="72"/>
  <c r="R19" i="72" s="1"/>
  <c r="R20" i="72"/>
  <c r="P21" i="72"/>
  <c r="P20" i="72"/>
  <c r="N21" i="72"/>
  <c r="N19" i="72" s="1"/>
  <c r="N20" i="72"/>
  <c r="L21" i="72"/>
  <c r="L20" i="72"/>
  <c r="J21" i="72"/>
  <c r="J19" i="72" s="1"/>
  <c r="J20" i="72"/>
  <c r="H21" i="72"/>
  <c r="H20" i="72"/>
  <c r="F21" i="72"/>
  <c r="F20" i="72"/>
  <c r="D21" i="72"/>
  <c r="D20" i="72"/>
  <c r="C16" i="72"/>
  <c r="C18" i="72"/>
  <c r="B19" i="72"/>
  <c r="B13" i="98"/>
  <c r="B6" i="98"/>
  <c r="B5" i="98"/>
  <c r="M14" i="77"/>
  <c r="C44" i="98"/>
  <c r="R75" i="77" s="1"/>
  <c r="C42" i="98"/>
  <c r="G58" i="77" s="1"/>
  <c r="C40" i="98"/>
  <c r="P39" i="77" s="1"/>
  <c r="C38" i="98"/>
  <c r="J26" i="77" s="1"/>
  <c r="C36" i="98"/>
  <c r="P17" i="77" s="1"/>
  <c r="C34" i="98"/>
  <c r="P22" i="77" s="1"/>
  <c r="C32" i="98"/>
  <c r="P18" i="77" s="1"/>
  <c r="C28" i="98"/>
  <c r="P42" i="77" s="1"/>
  <c r="C26" i="98"/>
  <c r="P38" i="77" s="1"/>
  <c r="C24" i="98"/>
  <c r="R73" i="77" s="1"/>
  <c r="C73" i="77" s="1"/>
  <c r="C22" i="98"/>
  <c r="R72" i="77" s="1"/>
  <c r="C20" i="98"/>
  <c r="P41" i="77" s="1"/>
  <c r="C18" i="98"/>
  <c r="P54" i="77" s="1"/>
  <c r="C16" i="98"/>
  <c r="P24" i="77" s="1"/>
  <c r="C14" i="98"/>
  <c r="P23" i="77" s="1"/>
  <c r="C11" i="98"/>
  <c r="P40" i="77" s="1"/>
  <c r="C68" i="98"/>
  <c r="C65" i="98"/>
  <c r="C62" i="98"/>
  <c r="C59" i="98"/>
  <c r="C56" i="98"/>
  <c r="C53" i="98"/>
  <c r="C50" i="98"/>
  <c r="C47" i="98"/>
  <c r="C46" i="98" s="1"/>
  <c r="B57" i="98"/>
  <c r="B60" i="98" s="1"/>
  <c r="B63" i="98" s="1"/>
  <c r="B66" i="98" s="1"/>
  <c r="B69" i="98" s="1"/>
  <c r="B49" i="98"/>
  <c r="B52" i="98" s="1"/>
  <c r="B55" i="98" s="1"/>
  <c r="B58" i="98" s="1"/>
  <c r="B61" i="98" s="1"/>
  <c r="B64" i="98" s="1"/>
  <c r="B67" i="98" s="1"/>
  <c r="B70" i="98" s="1"/>
  <c r="B48" i="98"/>
  <c r="B51" i="98" s="1"/>
  <c r="B54" i="98" s="1"/>
  <c r="N14" i="77"/>
  <c r="C10" i="98"/>
  <c r="C6" i="98" s="1"/>
  <c r="C31" i="98"/>
  <c r="C30" i="98" s="1"/>
  <c r="P35" i="77" s="1"/>
  <c r="B23" i="98"/>
  <c r="B25" i="98" s="1"/>
  <c r="B27" i="98" s="1"/>
  <c r="B29" i="98" s="1"/>
  <c r="B31" i="98" s="1"/>
  <c r="B33" i="98" s="1"/>
  <c r="B35" i="98" s="1"/>
  <c r="B37" i="98" s="1"/>
  <c r="B39" i="98" s="1"/>
  <c r="B41" i="98" s="1"/>
  <c r="B43" i="98" s="1"/>
  <c r="B45" i="98" s="1"/>
  <c r="C9" i="98"/>
  <c r="C5" i="98" s="1"/>
  <c r="B12" i="98"/>
  <c r="B15" i="98" s="1"/>
  <c r="B17" i="98" s="1"/>
  <c r="B19" i="98" s="1"/>
  <c r="B21" i="98" s="1"/>
  <c r="G37" i="68"/>
  <c r="P13" i="77"/>
  <c r="S13" i="77"/>
  <c r="C58" i="77" l="1"/>
  <c r="P19" i="72"/>
  <c r="L19" i="72"/>
  <c r="H19" i="72"/>
  <c r="C21" i="72"/>
  <c r="F19" i="72"/>
  <c r="D19" i="72"/>
  <c r="C20" i="72"/>
  <c r="C8" i="98"/>
  <c r="C7" i="98" l="1"/>
  <c r="C4" i="98" s="1"/>
  <c r="G59" i="77"/>
  <c r="G57" i="77" s="1"/>
  <c r="C19" i="72"/>
  <c r="G33" i="68" l="1"/>
  <c r="M9" i="68" l="1"/>
  <c r="AD107" i="97"/>
  <c r="AD105" i="97" l="1"/>
  <c r="AC105" i="97" s="1"/>
  <c r="J321" i="96"/>
  <c r="J323" i="96"/>
  <c r="J324" i="96"/>
  <c r="L321" i="96"/>
  <c r="J259" i="96"/>
  <c r="J258" i="96" s="1"/>
  <c r="J257" i="96" s="1"/>
  <c r="I259" i="96"/>
  <c r="H259" i="96"/>
  <c r="G259" i="96"/>
  <c r="F259" i="96"/>
  <c r="I258" i="96"/>
  <c r="H258" i="96"/>
  <c r="G258" i="96"/>
  <c r="F258" i="96"/>
  <c r="I257" i="96"/>
  <c r="H257" i="96"/>
  <c r="G257" i="96"/>
  <c r="F257" i="96"/>
  <c r="C21" i="26"/>
  <c r="D27" i="25" s="1"/>
  <c r="E352" i="97"/>
  <c r="E351" i="97" s="1"/>
  <c r="D355" i="97"/>
  <c r="D354" i="97" s="1"/>
  <c r="AG33" i="66"/>
  <c r="AD364" i="97"/>
  <c r="AC344" i="97"/>
  <c r="AC345" i="97"/>
  <c r="AC346" i="97"/>
  <c r="AC347" i="97"/>
  <c r="AC348" i="97"/>
  <c r="AC349" i="97"/>
  <c r="AC350" i="97"/>
  <c r="AC353" i="97"/>
  <c r="AC356" i="97"/>
  <c r="AC357" i="97"/>
  <c r="AC358" i="97"/>
  <c r="AC359" i="97"/>
  <c r="AC360" i="97"/>
  <c r="AC361" i="97"/>
  <c r="AC362" i="97"/>
  <c r="AD355" i="97"/>
  <c r="AD354" i="97" s="1"/>
  <c r="AC354" i="97" s="1"/>
  <c r="AD352" i="97"/>
  <c r="AD351" i="97" s="1"/>
  <c r="AC351" i="97" s="1"/>
  <c r="AD343" i="97"/>
  <c r="AD342" i="97" s="1"/>
  <c r="AC342" i="97" s="1"/>
  <c r="E355" i="97"/>
  <c r="E354" i="97" s="1"/>
  <c r="D352" i="97"/>
  <c r="D351" i="97" s="1"/>
  <c r="E342" i="97"/>
  <c r="D342" i="97"/>
  <c r="AD340" i="97"/>
  <c r="AC341" i="97"/>
  <c r="D340" i="97"/>
  <c r="E341" i="97"/>
  <c r="E340" i="97" s="1"/>
  <c r="D339" i="97" l="1"/>
  <c r="D338" i="97" s="1"/>
  <c r="AD339" i="97"/>
  <c r="AD338" i="97" s="1"/>
  <c r="AC338" i="97" s="1"/>
  <c r="AC352" i="97"/>
  <c r="AC343" i="97"/>
  <c r="AC355" i="97"/>
  <c r="E339" i="97"/>
  <c r="E338" i="97" s="1"/>
  <c r="AC340" i="97"/>
  <c r="O32" i="66" l="1"/>
  <c r="I32" i="66"/>
  <c r="K32" i="66"/>
  <c r="L32" i="66" s="1"/>
  <c r="N31" i="90"/>
  <c r="H31" i="90"/>
  <c r="J31" i="90"/>
  <c r="A2" i="80" l="1"/>
  <c r="A2" i="45" s="1"/>
  <c r="I21" i="80"/>
  <c r="I17" i="80"/>
  <c r="I48" i="80"/>
  <c r="G15" i="80"/>
  <c r="G14" i="80" s="1"/>
  <c r="AC337" i="97"/>
  <c r="AC336" i="97"/>
  <c r="AC335" i="97"/>
  <c r="AC334" i="97"/>
  <c r="AC333" i="97"/>
  <c r="AC332" i="97"/>
  <c r="AC331" i="97"/>
  <c r="AC330" i="97"/>
  <c r="AD329" i="97"/>
  <c r="AC321" i="97"/>
  <c r="AD321" i="97" s="1"/>
  <c r="AC382" i="97"/>
  <c r="AC381" i="97"/>
  <c r="AC380" i="97"/>
  <c r="AC379" i="97"/>
  <c r="AC378" i="97"/>
  <c r="AC377" i="97"/>
  <c r="AC376" i="97"/>
  <c r="AC375" i="97"/>
  <c r="AD374" i="97"/>
  <c r="AC374" i="97" s="1"/>
  <c r="AC373" i="97" s="1"/>
  <c r="AC364" i="97"/>
  <c r="M328" i="97"/>
  <c r="AA328" i="97" s="1"/>
  <c r="AB328" i="97" s="1"/>
  <c r="L328" i="97"/>
  <c r="Z328" i="97" s="1"/>
  <c r="AA327" i="97"/>
  <c r="AB327" i="97" s="1"/>
  <c r="Z327" i="97"/>
  <c r="AD326" i="97"/>
  <c r="M326" i="97"/>
  <c r="AA326" i="97" s="1"/>
  <c r="AB326" i="97" s="1"/>
  <c r="L326" i="97"/>
  <c r="Z326" i="97" s="1"/>
  <c r="AD325" i="97"/>
  <c r="M325" i="97"/>
  <c r="AA325" i="97" s="1"/>
  <c r="AB325" i="97" s="1"/>
  <c r="L325" i="97"/>
  <c r="Z325" i="97" s="1"/>
  <c r="AD324" i="97"/>
  <c r="M324" i="97"/>
  <c r="AA324" i="97" s="1"/>
  <c r="AB324" i="97" s="1"/>
  <c r="L324" i="97"/>
  <c r="Z324" i="97" s="1"/>
  <c r="AA323" i="97"/>
  <c r="AB323" i="97" s="1"/>
  <c r="Z323" i="97"/>
  <c r="AD322" i="97"/>
  <c r="M322" i="97"/>
  <c r="AA322" i="97" s="1"/>
  <c r="AB322" i="97" s="1"/>
  <c r="L322" i="97"/>
  <c r="Z322" i="97" s="1"/>
  <c r="M321" i="97"/>
  <c r="AA321" i="97" s="1"/>
  <c r="L321" i="97"/>
  <c r="Z321" i="97" s="1"/>
  <c r="AE320" i="97"/>
  <c r="Y320" i="97"/>
  <c r="X320" i="97"/>
  <c r="W320" i="97"/>
  <c r="V320" i="97"/>
  <c r="S320" i="97"/>
  <c r="R320" i="97"/>
  <c r="Q320" i="97"/>
  <c r="P320" i="97"/>
  <c r="O320" i="97"/>
  <c r="N320" i="97"/>
  <c r="K320" i="97"/>
  <c r="J320" i="97"/>
  <c r="I320" i="97"/>
  <c r="H320" i="97"/>
  <c r="G320" i="97"/>
  <c r="F320" i="97"/>
  <c r="E320" i="97"/>
  <c r="D320" i="97"/>
  <c r="AF319" i="97"/>
  <c r="AE319" i="97"/>
  <c r="AD319" i="97"/>
  <c r="AC319" i="97"/>
  <c r="AB319" i="97"/>
  <c r="AA319" i="97"/>
  <c r="Z319" i="97"/>
  <c r="Y319" i="97"/>
  <c r="X319" i="97"/>
  <c r="W319" i="97"/>
  <c r="V319" i="97"/>
  <c r="U319" i="97"/>
  <c r="T319" i="97"/>
  <c r="S319" i="97"/>
  <c r="R319" i="97"/>
  <c r="Q319" i="97"/>
  <c r="P319" i="97"/>
  <c r="O319" i="97"/>
  <c r="N319" i="97"/>
  <c r="M319" i="97"/>
  <c r="L319" i="97"/>
  <c r="K319" i="97"/>
  <c r="J319" i="97"/>
  <c r="I319" i="97"/>
  <c r="H319" i="97"/>
  <c r="G319" i="97"/>
  <c r="F319" i="97"/>
  <c r="E319" i="97"/>
  <c r="D319" i="97"/>
  <c r="AA318" i="97"/>
  <c r="AB318" i="97" s="1"/>
  <c r="Z318" i="97"/>
  <c r="U318" i="97"/>
  <c r="T318" i="97"/>
  <c r="AA317" i="97"/>
  <c r="AB317" i="97" s="1"/>
  <c r="Z317" i="97"/>
  <c r="U317" i="97"/>
  <c r="T317" i="97"/>
  <c r="AG317" i="97" s="1"/>
  <c r="AA316" i="97"/>
  <c r="AB316" i="97" s="1"/>
  <c r="Z316" i="97"/>
  <c r="U316" i="97"/>
  <c r="T316" i="97"/>
  <c r="AA315" i="97"/>
  <c r="AB315" i="97" s="1"/>
  <c r="Z315" i="97"/>
  <c r="U315" i="97"/>
  <c r="T315" i="97"/>
  <c r="AG315" i="97" s="1"/>
  <c r="E315" i="97"/>
  <c r="AA314" i="97"/>
  <c r="AB314" i="97" s="1"/>
  <c r="Z314" i="97"/>
  <c r="U314" i="97"/>
  <c r="T314" i="97"/>
  <c r="AG314" i="97" s="1"/>
  <c r="AA313" i="97"/>
  <c r="AB313" i="97" s="1"/>
  <c r="Z313" i="97"/>
  <c r="T313" i="97"/>
  <c r="AG313" i="97" s="1"/>
  <c r="G313" i="97"/>
  <c r="U313" i="97" s="1"/>
  <c r="AA312" i="97"/>
  <c r="AB312" i="97" s="1"/>
  <c r="Z312" i="97"/>
  <c r="U312" i="97"/>
  <c r="T312" i="97"/>
  <c r="E312" i="97"/>
  <c r="D312" i="97"/>
  <c r="D305" i="97" s="1"/>
  <c r="AA311" i="97"/>
  <c r="AB311" i="97" s="1"/>
  <c r="Z311" i="97"/>
  <c r="U311" i="97"/>
  <c r="T311" i="97"/>
  <c r="AG311" i="97" s="1"/>
  <c r="AF310" i="97"/>
  <c r="AA310" i="97"/>
  <c r="AB310" i="97" s="1"/>
  <c r="Z310" i="97"/>
  <c r="U310" i="97"/>
  <c r="T310" i="97"/>
  <c r="AG310" i="97" s="1"/>
  <c r="E310" i="97"/>
  <c r="AA309" i="97"/>
  <c r="AB309" i="97" s="1"/>
  <c r="Z309" i="97"/>
  <c r="U309" i="97"/>
  <c r="T309" i="97"/>
  <c r="AG309" i="97" s="1"/>
  <c r="E309" i="97"/>
  <c r="AF308" i="97"/>
  <c r="AA308" i="97"/>
  <c r="AB308" i="97" s="1"/>
  <c r="Z308" i="97"/>
  <c r="V308" i="97"/>
  <c r="U308" i="97"/>
  <c r="T308" i="97"/>
  <c r="AG308" i="97" s="1"/>
  <c r="AG307" i="97"/>
  <c r="AA307" i="97"/>
  <c r="AB307" i="97" s="1"/>
  <c r="U307" i="97"/>
  <c r="AA306" i="97"/>
  <c r="AB306" i="97" s="1"/>
  <c r="Z306" i="97"/>
  <c r="G306" i="97"/>
  <c r="U306" i="97" s="1"/>
  <c r="F306" i="97"/>
  <c r="T306" i="97" s="1"/>
  <c r="AE305" i="97"/>
  <c r="AD305" i="97"/>
  <c r="AC305" i="97"/>
  <c r="Y305" i="97"/>
  <c r="X305" i="97"/>
  <c r="W305" i="97"/>
  <c r="V305" i="97"/>
  <c r="S305" i="97"/>
  <c r="R305" i="97"/>
  <c r="Q305" i="97"/>
  <c r="P305" i="97"/>
  <c r="O305" i="97"/>
  <c r="N305" i="97"/>
  <c r="M305" i="97"/>
  <c r="L305" i="97"/>
  <c r="K305" i="97"/>
  <c r="J305" i="97"/>
  <c r="I305" i="97"/>
  <c r="H305" i="97"/>
  <c r="F305" i="97"/>
  <c r="AA304" i="97"/>
  <c r="AB304" i="97" s="1"/>
  <c r="Z304" i="97"/>
  <c r="U304" i="97"/>
  <c r="T304" i="97"/>
  <c r="AA303" i="97"/>
  <c r="AB303" i="97" s="1"/>
  <c r="Z303" i="97"/>
  <c r="U303" i="97"/>
  <c r="T303" i="97"/>
  <c r="AA302" i="97"/>
  <c r="AB302" i="97" s="1"/>
  <c r="Z302" i="97"/>
  <c r="U302" i="97"/>
  <c r="T302" i="97"/>
  <c r="M301" i="97"/>
  <c r="AA301" i="97" s="1"/>
  <c r="L301" i="97"/>
  <c r="Z301" i="97" s="1"/>
  <c r="AA300" i="97"/>
  <c r="AB300" i="97" s="1"/>
  <c r="Z300" i="97"/>
  <c r="U300" i="97"/>
  <c r="T300" i="97"/>
  <c r="AG300" i="97" s="1"/>
  <c r="AA299" i="97"/>
  <c r="AB299" i="97" s="1"/>
  <c r="Z299" i="97"/>
  <c r="U299" i="97"/>
  <c r="T299" i="97"/>
  <c r="AG299" i="97" s="1"/>
  <c r="AA298" i="97"/>
  <c r="AB298" i="97" s="1"/>
  <c r="Z298" i="97"/>
  <c r="U298" i="97"/>
  <c r="T298" i="97"/>
  <c r="AG298" i="97" s="1"/>
  <c r="AA297" i="97"/>
  <c r="AB297" i="97" s="1"/>
  <c r="Z297" i="97"/>
  <c r="U297" i="97"/>
  <c r="T297" i="97"/>
  <c r="AG297" i="97" s="1"/>
  <c r="E297" i="97"/>
  <c r="AA296" i="97"/>
  <c r="AB296" i="97" s="1"/>
  <c r="Z296" i="97"/>
  <c r="U296" i="97"/>
  <c r="T296" i="97"/>
  <c r="AG296" i="97" s="1"/>
  <c r="E296" i="97"/>
  <c r="AA295" i="97"/>
  <c r="AB295" i="97" s="1"/>
  <c r="Z295" i="97"/>
  <c r="U295" i="97"/>
  <c r="T295" i="97"/>
  <c r="AG295" i="97" s="1"/>
  <c r="E295" i="97"/>
  <c r="AA294" i="97"/>
  <c r="AB294" i="97" s="1"/>
  <c r="Z294" i="97"/>
  <c r="U294" i="97"/>
  <c r="T294" i="97"/>
  <c r="AG294" i="97" s="1"/>
  <c r="AA293" i="97"/>
  <c r="AB293" i="97" s="1"/>
  <c r="Z293" i="97"/>
  <c r="U293" i="97"/>
  <c r="T293" i="97"/>
  <c r="AG293" i="97" s="1"/>
  <c r="AF292" i="97"/>
  <c r="AA292" i="97"/>
  <c r="AB292" i="97" s="1"/>
  <c r="Z292" i="97"/>
  <c r="U292" i="97"/>
  <c r="T292" i="97"/>
  <c r="AG292" i="97" s="1"/>
  <c r="AA291" i="97"/>
  <c r="AB291" i="97" s="1"/>
  <c r="Z291" i="97"/>
  <c r="U291" i="97"/>
  <c r="T291" i="97"/>
  <c r="AG291" i="97" s="1"/>
  <c r="AA290" i="97"/>
  <c r="AB290" i="97" s="1"/>
  <c r="Z290" i="97"/>
  <c r="U290" i="97"/>
  <c r="T290" i="97"/>
  <c r="AG290" i="97" s="1"/>
  <c r="E290" i="97"/>
  <c r="AA289" i="97"/>
  <c r="AB289" i="97" s="1"/>
  <c r="U289" i="97"/>
  <c r="H289" i="97"/>
  <c r="Z289" i="97" s="1"/>
  <c r="AA288" i="97"/>
  <c r="AB288" i="97" s="1"/>
  <c r="U288" i="97"/>
  <c r="L288" i="97"/>
  <c r="H288" i="97"/>
  <c r="H277" i="97" s="1"/>
  <c r="E288" i="97"/>
  <c r="AA287" i="97"/>
  <c r="AB287" i="97" s="1"/>
  <c r="Z287" i="97"/>
  <c r="U287" i="97"/>
  <c r="T287" i="97"/>
  <c r="AG287" i="97" s="1"/>
  <c r="AF286" i="97"/>
  <c r="AA286" i="97"/>
  <c r="AB286" i="97" s="1"/>
  <c r="Z286" i="97"/>
  <c r="U286" i="97"/>
  <c r="T286" i="97"/>
  <c r="AG286" i="97" s="1"/>
  <c r="AF285" i="97"/>
  <c r="AA285" i="97"/>
  <c r="AB285" i="97" s="1"/>
  <c r="Z285" i="97"/>
  <c r="U285" i="97"/>
  <c r="T285" i="97"/>
  <c r="AG285" i="97" s="1"/>
  <c r="AA284" i="97"/>
  <c r="AB284" i="97" s="1"/>
  <c r="Z284" i="97"/>
  <c r="U284" i="97"/>
  <c r="T284" i="97"/>
  <c r="AG284" i="97" s="1"/>
  <c r="AA283" i="97"/>
  <c r="AB283" i="97" s="1"/>
  <c r="Z283" i="97"/>
  <c r="U283" i="97"/>
  <c r="T283" i="97"/>
  <c r="AG283" i="97" s="1"/>
  <c r="E283" i="97"/>
  <c r="AA282" i="97"/>
  <c r="AB282" i="97" s="1"/>
  <c r="Z282" i="97"/>
  <c r="U282" i="97"/>
  <c r="T282" i="97"/>
  <c r="AG282" i="97" s="1"/>
  <c r="AA281" i="97"/>
  <c r="AB281" i="97" s="1"/>
  <c r="Z281" i="97"/>
  <c r="U281" i="97"/>
  <c r="T281" i="97"/>
  <c r="AG281" i="97" s="1"/>
  <c r="AA280" i="97"/>
  <c r="AB280" i="97" s="1"/>
  <c r="Z280" i="97"/>
  <c r="U280" i="97"/>
  <c r="T280" i="97"/>
  <c r="AA279" i="97"/>
  <c r="AB279" i="97" s="1"/>
  <c r="Z279" i="97"/>
  <c r="U279" i="97"/>
  <c r="T279" i="97"/>
  <c r="AA278" i="97"/>
  <c r="AB278" i="97" s="1"/>
  <c r="Z278" i="97"/>
  <c r="U278" i="97"/>
  <c r="T278" i="97"/>
  <c r="E278" i="97"/>
  <c r="E277" i="97" s="1"/>
  <c r="D278" i="97"/>
  <c r="D277" i="97" s="1"/>
  <c r="AE277" i="97"/>
  <c r="AD277" i="97"/>
  <c r="AC277" i="97"/>
  <c r="Y277" i="97"/>
  <c r="X277" i="97"/>
  <c r="W277" i="97"/>
  <c r="V277" i="97"/>
  <c r="S277" i="97"/>
  <c r="R277" i="97"/>
  <c r="Q277" i="97"/>
  <c r="P277" i="97"/>
  <c r="O277" i="97"/>
  <c r="N277" i="97"/>
  <c r="K277" i="97"/>
  <c r="J277" i="97"/>
  <c r="I277" i="97"/>
  <c r="G277" i="97"/>
  <c r="F277" i="97"/>
  <c r="AA276" i="97"/>
  <c r="AB276" i="97" s="1"/>
  <c r="Z276" i="97"/>
  <c r="U276" i="97"/>
  <c r="T276" i="97"/>
  <c r="AA275" i="97"/>
  <c r="AB275" i="97" s="1"/>
  <c r="Z275" i="97"/>
  <c r="U275" i="97"/>
  <c r="T275" i="97"/>
  <c r="AG275" i="97" s="1"/>
  <c r="AA274" i="97"/>
  <c r="AB274" i="97" s="1"/>
  <c r="Z274" i="97"/>
  <c r="U274" i="97"/>
  <c r="T274" i="97"/>
  <c r="AG274" i="97" s="1"/>
  <c r="E274" i="97"/>
  <c r="AF273" i="97"/>
  <c r="AA273" i="97"/>
  <c r="AB273" i="97" s="1"/>
  <c r="Z273" i="97"/>
  <c r="U273" i="97"/>
  <c r="T273" i="97"/>
  <c r="AG273" i="97" s="1"/>
  <c r="AF272" i="97"/>
  <c r="AA272" i="97"/>
  <c r="AB272" i="97" s="1"/>
  <c r="Z272" i="97"/>
  <c r="U272" i="97"/>
  <c r="AG272" i="97" s="1"/>
  <c r="T272" i="97"/>
  <c r="AA271" i="97"/>
  <c r="AB271" i="97" s="1"/>
  <c r="Z271" i="97"/>
  <c r="V271" i="97"/>
  <c r="U271" i="97"/>
  <c r="F271" i="97"/>
  <c r="T271" i="97" s="1"/>
  <c r="AG271" i="97" s="1"/>
  <c r="E271" i="97"/>
  <c r="AF270" i="97"/>
  <c r="Z270" i="97"/>
  <c r="T270" i="97"/>
  <c r="Q270" i="97"/>
  <c r="AA270" i="97" s="1"/>
  <c r="AB270" i="97" s="1"/>
  <c r="E270" i="97"/>
  <c r="AA269" i="97"/>
  <c r="AB269" i="97" s="1"/>
  <c r="Z269" i="97"/>
  <c r="U269" i="97"/>
  <c r="T269" i="97"/>
  <c r="AA268" i="97"/>
  <c r="AB268" i="97" s="1"/>
  <c r="Z268" i="97"/>
  <c r="U268" i="97"/>
  <c r="T268" i="97"/>
  <c r="AF267" i="97"/>
  <c r="AA267" i="97"/>
  <c r="AB267" i="97" s="1"/>
  <c r="Z267" i="97"/>
  <c r="U267" i="97"/>
  <c r="F267" i="97"/>
  <c r="T267" i="97" s="1"/>
  <c r="AA266" i="97"/>
  <c r="AB266" i="97" s="1"/>
  <c r="Z266" i="97"/>
  <c r="T266" i="97"/>
  <c r="G266" i="97"/>
  <c r="U266" i="97" s="1"/>
  <c r="E266" i="97"/>
  <c r="AA265" i="97"/>
  <c r="Z265" i="97"/>
  <c r="W265" i="97"/>
  <c r="W107" i="97" s="1"/>
  <c r="W106" i="97" s="1"/>
  <c r="V265" i="97"/>
  <c r="U265" i="97"/>
  <c r="T265" i="97"/>
  <c r="AF264" i="97"/>
  <c r="AA264" i="97"/>
  <c r="AB264" i="97" s="1"/>
  <c r="Z264" i="97"/>
  <c r="T264" i="97"/>
  <c r="G264" i="97"/>
  <c r="U264" i="97" s="1"/>
  <c r="E264" i="97"/>
  <c r="AA263" i="97"/>
  <c r="AB263" i="97" s="1"/>
  <c r="Z263" i="97"/>
  <c r="U263" i="97"/>
  <c r="T263" i="97"/>
  <c r="AF262" i="97"/>
  <c r="AA262" i="97"/>
  <c r="AB262" i="97" s="1"/>
  <c r="Z262" i="97"/>
  <c r="U262" i="97"/>
  <c r="T262" i="97"/>
  <c r="AA261" i="97"/>
  <c r="AB261" i="97" s="1"/>
  <c r="Z261" i="97"/>
  <c r="U261" i="97"/>
  <c r="F261" i="97"/>
  <c r="T261" i="97" s="1"/>
  <c r="AA260" i="97"/>
  <c r="AB260" i="97" s="1"/>
  <c r="Z260" i="97"/>
  <c r="U260" i="97"/>
  <c r="T260" i="97"/>
  <c r="AA259" i="97"/>
  <c r="AB259" i="97" s="1"/>
  <c r="Z259" i="97"/>
  <c r="U259" i="97"/>
  <c r="T259" i="97"/>
  <c r="AA258" i="97"/>
  <c r="AB258" i="97" s="1"/>
  <c r="Z258" i="97"/>
  <c r="U258" i="97"/>
  <c r="T258" i="97"/>
  <c r="AA257" i="97"/>
  <c r="AB257" i="97" s="1"/>
  <c r="Z257" i="97"/>
  <c r="U257" i="97"/>
  <c r="T257" i="97"/>
  <c r="AA256" i="97"/>
  <c r="AB256" i="97" s="1"/>
  <c r="Z256" i="97"/>
  <c r="U256" i="97"/>
  <c r="T256" i="97"/>
  <c r="AA255" i="97"/>
  <c r="AB255" i="97" s="1"/>
  <c r="Z255" i="97"/>
  <c r="U255" i="97"/>
  <c r="T255" i="97"/>
  <c r="AA254" i="97"/>
  <c r="AB254" i="97" s="1"/>
  <c r="Z254" i="97"/>
  <c r="U254" i="97"/>
  <c r="T254" i="97"/>
  <c r="AA253" i="97"/>
  <c r="AB253" i="97" s="1"/>
  <c r="Z253" i="97"/>
  <c r="U253" i="97"/>
  <c r="T253" i="97"/>
  <c r="AA252" i="97"/>
  <c r="AB252" i="97" s="1"/>
  <c r="Z252" i="97"/>
  <c r="U252" i="97"/>
  <c r="T252" i="97"/>
  <c r="AA251" i="97"/>
  <c r="AB251" i="97" s="1"/>
  <c r="Z251" i="97"/>
  <c r="U251" i="97"/>
  <c r="T251" i="97"/>
  <c r="AA250" i="97"/>
  <c r="AB250" i="97" s="1"/>
  <c r="Z250" i="97"/>
  <c r="U250" i="97"/>
  <c r="T250" i="97"/>
  <c r="AA249" i="97"/>
  <c r="AB249" i="97" s="1"/>
  <c r="Z249" i="97"/>
  <c r="U249" i="97"/>
  <c r="T249" i="97"/>
  <c r="AA248" i="97"/>
  <c r="AB248" i="97" s="1"/>
  <c r="Z248" i="97"/>
  <c r="U248" i="97"/>
  <c r="T248" i="97"/>
  <c r="AA247" i="97"/>
  <c r="AB247" i="97" s="1"/>
  <c r="Z247" i="97"/>
  <c r="U247" i="97"/>
  <c r="T247" i="97"/>
  <c r="AA246" i="97"/>
  <c r="AB246" i="97" s="1"/>
  <c r="Z246" i="97"/>
  <c r="U246" i="97"/>
  <c r="T246" i="97"/>
  <c r="AA245" i="97"/>
  <c r="AB245" i="97" s="1"/>
  <c r="Z245" i="97"/>
  <c r="U245" i="97"/>
  <c r="T245" i="97"/>
  <c r="E245" i="97"/>
  <c r="AA244" i="97"/>
  <c r="AB244" i="97" s="1"/>
  <c r="Z244" i="97"/>
  <c r="G244" i="97"/>
  <c r="U244" i="97" s="1"/>
  <c r="F244" i="97"/>
  <c r="T244" i="97" s="1"/>
  <c r="AA243" i="97"/>
  <c r="AB243" i="97" s="1"/>
  <c r="Z243" i="97"/>
  <c r="U243" i="97"/>
  <c r="T243" i="97"/>
  <c r="AA242" i="97"/>
  <c r="AB242" i="97" s="1"/>
  <c r="Z242" i="97"/>
  <c r="U242" i="97"/>
  <c r="T242" i="97"/>
  <c r="E242" i="97"/>
  <c r="AA241" i="97"/>
  <c r="AB241" i="97" s="1"/>
  <c r="Z241" i="97"/>
  <c r="U241" i="97"/>
  <c r="T241" i="97"/>
  <c r="AA240" i="97"/>
  <c r="AB240" i="97" s="1"/>
  <c r="Z240" i="97"/>
  <c r="U240" i="97"/>
  <c r="T240" i="97"/>
  <c r="E240" i="97"/>
  <c r="AA239" i="97"/>
  <c r="AB239" i="97" s="1"/>
  <c r="Z239" i="97"/>
  <c r="U239" i="97"/>
  <c r="T239" i="97"/>
  <c r="AA238" i="97"/>
  <c r="AB238" i="97" s="1"/>
  <c r="Z238" i="97"/>
  <c r="U238" i="97"/>
  <c r="T238" i="97"/>
  <c r="E238" i="97"/>
  <c r="AA237" i="97"/>
  <c r="AB237" i="97" s="1"/>
  <c r="Z237" i="97"/>
  <c r="U237" i="97"/>
  <c r="T237" i="97"/>
  <c r="AA236" i="97"/>
  <c r="AB236" i="97" s="1"/>
  <c r="Z236" i="97"/>
  <c r="U236" i="97"/>
  <c r="T236" i="97"/>
  <c r="AA235" i="97"/>
  <c r="AB235" i="97" s="1"/>
  <c r="Z235" i="97"/>
  <c r="U235" i="97"/>
  <c r="T235" i="97"/>
  <c r="AA234" i="97"/>
  <c r="AB234" i="97" s="1"/>
  <c r="Z234" i="97"/>
  <c r="U234" i="97"/>
  <c r="T234" i="97"/>
  <c r="AA233" i="97"/>
  <c r="AB233" i="97" s="1"/>
  <c r="Z233" i="97"/>
  <c r="U233" i="97"/>
  <c r="T233" i="97"/>
  <c r="AA232" i="97"/>
  <c r="AB232" i="97" s="1"/>
  <c r="Z232" i="97"/>
  <c r="U232" i="97"/>
  <c r="T232" i="97"/>
  <c r="AH231" i="97"/>
  <c r="AA231" i="97"/>
  <c r="AB231" i="97" s="1"/>
  <c r="Z231" i="97"/>
  <c r="U231" i="97"/>
  <c r="T231" i="97"/>
  <c r="AA230" i="97"/>
  <c r="AB230" i="97" s="1"/>
  <c r="Z230" i="97"/>
  <c r="U230" i="97"/>
  <c r="T230" i="97"/>
  <c r="AA229" i="97"/>
  <c r="AB229" i="97" s="1"/>
  <c r="Z229" i="97"/>
  <c r="U229" i="97"/>
  <c r="T229" i="97"/>
  <c r="AA228" i="97"/>
  <c r="AB228" i="97" s="1"/>
  <c r="Z228" i="97"/>
  <c r="U228" i="97"/>
  <c r="T228" i="97"/>
  <c r="AA227" i="97"/>
  <c r="AB227" i="97" s="1"/>
  <c r="Z227" i="97"/>
  <c r="U227" i="97"/>
  <c r="T227" i="97"/>
  <c r="AA226" i="97"/>
  <c r="AB226" i="97" s="1"/>
  <c r="Z226" i="97"/>
  <c r="U226" i="97"/>
  <c r="T226" i="97"/>
  <c r="AA225" i="97"/>
  <c r="AB225" i="97" s="1"/>
  <c r="Z225" i="97"/>
  <c r="U225" i="97"/>
  <c r="F225" i="97"/>
  <c r="T225" i="97" s="1"/>
  <c r="AA224" i="97"/>
  <c r="AB224" i="97" s="1"/>
  <c r="Z224" i="97"/>
  <c r="U224" i="97"/>
  <c r="F224" i="97"/>
  <c r="T224" i="97" s="1"/>
  <c r="AA223" i="97"/>
  <c r="AB223" i="97" s="1"/>
  <c r="Z223" i="97"/>
  <c r="U223" i="97"/>
  <c r="F223" i="97"/>
  <c r="T223" i="97" s="1"/>
  <c r="AA222" i="97"/>
  <c r="AB222" i="97" s="1"/>
  <c r="Z222" i="97"/>
  <c r="U222" i="97"/>
  <c r="T222" i="97"/>
  <c r="AA221" i="97"/>
  <c r="AB221" i="97" s="1"/>
  <c r="Z221" i="97"/>
  <c r="U221" i="97"/>
  <c r="T221" i="97"/>
  <c r="AA220" i="97"/>
  <c r="AB220" i="97" s="1"/>
  <c r="Z220" i="97"/>
  <c r="U220" i="97"/>
  <c r="T220" i="97"/>
  <c r="AA219" i="97"/>
  <c r="AB219" i="97" s="1"/>
  <c r="Z219" i="97"/>
  <c r="U219" i="97"/>
  <c r="T219" i="97"/>
  <c r="AA218" i="97"/>
  <c r="AB218" i="97" s="1"/>
  <c r="Z218" i="97"/>
  <c r="U218" i="97"/>
  <c r="T218" i="97"/>
  <c r="AA217" i="97"/>
  <c r="AB217" i="97" s="1"/>
  <c r="Z217" i="97"/>
  <c r="U217" i="97"/>
  <c r="T217" i="97"/>
  <c r="AA216" i="97"/>
  <c r="AB216" i="97" s="1"/>
  <c r="Z216" i="97"/>
  <c r="U216" i="97"/>
  <c r="T216" i="97"/>
  <c r="AA215" i="97"/>
  <c r="AB215" i="97" s="1"/>
  <c r="Z215" i="97"/>
  <c r="U215" i="97"/>
  <c r="T215" i="97"/>
  <c r="AA214" i="97"/>
  <c r="AB214" i="97" s="1"/>
  <c r="Z214" i="97"/>
  <c r="U214" i="97"/>
  <c r="T214" i="97"/>
  <c r="AA213" i="97"/>
  <c r="AB213" i="97" s="1"/>
  <c r="Z213" i="97"/>
  <c r="U213" i="97"/>
  <c r="T213" i="97"/>
  <c r="E213" i="97"/>
  <c r="AA212" i="97"/>
  <c r="AB212" i="97" s="1"/>
  <c r="Z212" i="97"/>
  <c r="U212" i="97"/>
  <c r="T212" i="97"/>
  <c r="E212" i="97"/>
  <c r="AA211" i="97"/>
  <c r="AB211" i="97" s="1"/>
  <c r="Z211" i="97"/>
  <c r="T211" i="97"/>
  <c r="G211" i="97"/>
  <c r="U211" i="97" s="1"/>
  <c r="E211" i="97"/>
  <c r="AA210" i="97"/>
  <c r="AB210" i="97" s="1"/>
  <c r="Z210" i="97"/>
  <c r="U210" i="97"/>
  <c r="T210" i="97"/>
  <c r="AF209" i="97"/>
  <c r="AA209" i="97"/>
  <c r="AB209" i="97" s="1"/>
  <c r="Z209" i="97"/>
  <c r="U209" i="97"/>
  <c r="T209" i="97"/>
  <c r="E209" i="97"/>
  <c r="AF208" i="97"/>
  <c r="AA208" i="97"/>
  <c r="AB208" i="97" s="1"/>
  <c r="Z208" i="97"/>
  <c r="U208" i="97"/>
  <c r="T208" i="97"/>
  <c r="AA207" i="97"/>
  <c r="AB207" i="97" s="1"/>
  <c r="Z207" i="97"/>
  <c r="U207" i="97"/>
  <c r="T207" i="97"/>
  <c r="E207" i="97"/>
  <c r="AA206" i="97"/>
  <c r="AB206" i="97" s="1"/>
  <c r="Z206" i="97"/>
  <c r="U206" i="97"/>
  <c r="T206" i="97"/>
  <c r="AF205" i="97"/>
  <c r="AA205" i="97"/>
  <c r="AB205" i="97" s="1"/>
  <c r="Z205" i="97"/>
  <c r="U205" i="97"/>
  <c r="T205" i="97"/>
  <c r="AA204" i="97"/>
  <c r="AB204" i="97" s="1"/>
  <c r="Z204" i="97"/>
  <c r="U204" i="97"/>
  <c r="T204" i="97"/>
  <c r="AF203" i="97"/>
  <c r="AA203" i="97"/>
  <c r="AB203" i="97" s="1"/>
  <c r="Z203" i="97"/>
  <c r="U203" i="97"/>
  <c r="T203" i="97"/>
  <c r="AA202" i="97"/>
  <c r="AB202" i="97" s="1"/>
  <c r="Z202" i="97"/>
  <c r="U202" i="97"/>
  <c r="T202" i="97"/>
  <c r="AA201" i="97"/>
  <c r="AB201" i="97" s="1"/>
  <c r="Z201" i="97"/>
  <c r="U201" i="97"/>
  <c r="T201" i="97"/>
  <c r="AA200" i="97"/>
  <c r="AB200" i="97" s="1"/>
  <c r="Z200" i="97"/>
  <c r="U200" i="97"/>
  <c r="T200" i="97"/>
  <c r="AF199" i="97"/>
  <c r="AA199" i="97"/>
  <c r="AB199" i="97" s="1"/>
  <c r="Z199" i="97"/>
  <c r="U199" i="97"/>
  <c r="T199" i="97"/>
  <c r="AF198" i="97"/>
  <c r="AA198" i="97"/>
  <c r="AB198" i="97" s="1"/>
  <c r="Z198" i="97"/>
  <c r="U198" i="97"/>
  <c r="T198" i="97"/>
  <c r="E198" i="97"/>
  <c r="AA197" i="97"/>
  <c r="AB197" i="97" s="1"/>
  <c r="Z197" i="97"/>
  <c r="U197" i="97"/>
  <c r="T197" i="97"/>
  <c r="AA196" i="97"/>
  <c r="AB196" i="97" s="1"/>
  <c r="Z196" i="97"/>
  <c r="U196" i="97"/>
  <c r="F196" i="97"/>
  <c r="T196" i="97" s="1"/>
  <c r="E196" i="97"/>
  <c r="AF195" i="97"/>
  <c r="AA195" i="97"/>
  <c r="AB195" i="97" s="1"/>
  <c r="Z195" i="97"/>
  <c r="U195" i="97"/>
  <c r="T195" i="97"/>
  <c r="E195" i="97"/>
  <c r="AA194" i="97"/>
  <c r="AB194" i="97" s="1"/>
  <c r="Z194" i="97"/>
  <c r="U194" i="97"/>
  <c r="T194" i="97"/>
  <c r="AA193" i="97"/>
  <c r="AB193" i="97" s="1"/>
  <c r="Z193" i="97"/>
  <c r="U193" i="97"/>
  <c r="T193" i="97"/>
  <c r="AA192" i="97"/>
  <c r="AB192" i="97" s="1"/>
  <c r="Z192" i="97"/>
  <c r="U192" i="97"/>
  <c r="T192" i="97"/>
  <c r="AF191" i="97"/>
  <c r="AA191" i="97"/>
  <c r="AB191" i="97" s="1"/>
  <c r="Z191" i="97"/>
  <c r="U191" i="97"/>
  <c r="T191" i="97"/>
  <c r="E191" i="97"/>
  <c r="AF190" i="97"/>
  <c r="AA190" i="97"/>
  <c r="AB190" i="97" s="1"/>
  <c r="Z190" i="97"/>
  <c r="U190" i="97"/>
  <c r="T190" i="97"/>
  <c r="AA189" i="97"/>
  <c r="AB189" i="97" s="1"/>
  <c r="Z189" i="97"/>
  <c r="U189" i="97"/>
  <c r="T189" i="97"/>
  <c r="E189" i="97"/>
  <c r="AF188" i="97"/>
  <c r="AA188" i="97"/>
  <c r="AB188" i="97" s="1"/>
  <c r="Z188" i="97"/>
  <c r="G188" i="97"/>
  <c r="U188" i="97" s="1"/>
  <c r="F188" i="97"/>
  <c r="T188" i="97" s="1"/>
  <c r="AA187" i="97"/>
  <c r="AB187" i="97" s="1"/>
  <c r="Z187" i="97"/>
  <c r="U187" i="97"/>
  <c r="T187" i="97"/>
  <c r="E187" i="97"/>
  <c r="D187" i="97"/>
  <c r="AF186" i="97"/>
  <c r="AA186" i="97"/>
  <c r="AB186" i="97" s="1"/>
  <c r="Z186" i="97"/>
  <c r="U186" i="97"/>
  <c r="T186" i="97"/>
  <c r="E186" i="97"/>
  <c r="AF185" i="97"/>
  <c r="AA185" i="97"/>
  <c r="AB185" i="97" s="1"/>
  <c r="Z185" i="97"/>
  <c r="U185" i="97"/>
  <c r="T185" i="97"/>
  <c r="E185" i="97"/>
  <c r="AF184" i="97"/>
  <c r="AA184" i="97"/>
  <c r="AB184" i="97" s="1"/>
  <c r="Z184" i="97"/>
  <c r="U184" i="97"/>
  <c r="T184" i="97"/>
  <c r="E184" i="97"/>
  <c r="AF183" i="97"/>
  <c r="AA183" i="97"/>
  <c r="AB183" i="97" s="1"/>
  <c r="Z183" i="97"/>
  <c r="U183" i="97"/>
  <c r="T183" i="97"/>
  <c r="AF182" i="97"/>
  <c r="Z182" i="97"/>
  <c r="T182" i="97"/>
  <c r="M182" i="97"/>
  <c r="AA182" i="97" s="1"/>
  <c r="AB182" i="97" s="1"/>
  <c r="E182" i="97"/>
  <c r="AA181" i="97"/>
  <c r="AB181" i="97" s="1"/>
  <c r="Z181" i="97"/>
  <c r="U181" i="97"/>
  <c r="T181" i="97"/>
  <c r="AF180" i="97"/>
  <c r="AA180" i="97"/>
  <c r="AB180" i="97" s="1"/>
  <c r="Z180" i="97"/>
  <c r="U180" i="97"/>
  <c r="T180" i="97"/>
  <c r="AF179" i="97"/>
  <c r="AA179" i="97"/>
  <c r="AB179" i="97" s="1"/>
  <c r="Z179" i="97"/>
  <c r="U179" i="97"/>
  <c r="T179" i="97"/>
  <c r="E179" i="97"/>
  <c r="AA178" i="97"/>
  <c r="AB178" i="97" s="1"/>
  <c r="Z178" i="97"/>
  <c r="U178" i="97"/>
  <c r="T178" i="97"/>
  <c r="E178" i="97"/>
  <c r="AF177" i="97"/>
  <c r="AA177" i="97"/>
  <c r="AB177" i="97" s="1"/>
  <c r="Z177" i="97"/>
  <c r="U177" i="97"/>
  <c r="T177" i="97"/>
  <c r="AA176" i="97"/>
  <c r="AB176" i="97" s="1"/>
  <c r="Z176" i="97"/>
  <c r="U176" i="97"/>
  <c r="T176" i="97"/>
  <c r="L175" i="97"/>
  <c r="Z175" i="97" s="1"/>
  <c r="G175" i="97"/>
  <c r="F175" i="97"/>
  <c r="T175" i="97" s="1"/>
  <c r="E175" i="97"/>
  <c r="D175" i="97"/>
  <c r="AA174" i="97"/>
  <c r="AB174" i="97" s="1"/>
  <c r="Z174" i="97"/>
  <c r="U174" i="97"/>
  <c r="T174" i="97"/>
  <c r="E174" i="97"/>
  <c r="AA173" i="97"/>
  <c r="AB173" i="97" s="1"/>
  <c r="Z173" i="97"/>
  <c r="U173" i="97"/>
  <c r="T173" i="97"/>
  <c r="E173" i="97"/>
  <c r="AA172" i="97"/>
  <c r="AB172" i="97" s="1"/>
  <c r="Z172" i="97"/>
  <c r="U172" i="97"/>
  <c r="T172" i="97"/>
  <c r="AA171" i="97"/>
  <c r="AB171" i="97" s="1"/>
  <c r="Z171" i="97"/>
  <c r="U171" i="97"/>
  <c r="T171" i="97"/>
  <c r="AA170" i="97"/>
  <c r="AB170" i="97" s="1"/>
  <c r="Z170" i="97"/>
  <c r="U170" i="97"/>
  <c r="T170" i="97"/>
  <c r="AA169" i="97"/>
  <c r="AB169" i="97" s="1"/>
  <c r="Z169" i="97"/>
  <c r="U169" i="97"/>
  <c r="T169" i="97"/>
  <c r="AA168" i="97"/>
  <c r="AB168" i="97" s="1"/>
  <c r="Z168" i="97"/>
  <c r="U168" i="97"/>
  <c r="T168" i="97"/>
  <c r="AF167" i="97"/>
  <c r="AA167" i="97"/>
  <c r="AB167" i="97" s="1"/>
  <c r="Z167" i="97"/>
  <c r="U167" i="97"/>
  <c r="T167" i="97"/>
  <c r="AA166" i="97"/>
  <c r="AB166" i="97" s="1"/>
  <c r="Z166" i="97"/>
  <c r="U166" i="97"/>
  <c r="T166" i="97"/>
  <c r="AA165" i="97"/>
  <c r="AB165" i="97" s="1"/>
  <c r="Z165" i="97"/>
  <c r="U165" i="97"/>
  <c r="T165" i="97"/>
  <c r="AA164" i="97"/>
  <c r="AB164" i="97" s="1"/>
  <c r="Z164" i="97"/>
  <c r="U164" i="97"/>
  <c r="T164" i="97"/>
  <c r="AA163" i="97"/>
  <c r="AB163" i="97" s="1"/>
  <c r="Z163" i="97"/>
  <c r="U163" i="97"/>
  <c r="T163" i="97"/>
  <c r="E163" i="97"/>
  <c r="AA162" i="97"/>
  <c r="AB162" i="97" s="1"/>
  <c r="Z162" i="97"/>
  <c r="U162" i="97"/>
  <c r="T162" i="97"/>
  <c r="E162" i="97"/>
  <c r="AA161" i="97"/>
  <c r="AB161" i="97" s="1"/>
  <c r="Z161" i="97"/>
  <c r="U161" i="97"/>
  <c r="T161" i="97"/>
  <c r="AA160" i="97"/>
  <c r="AB160" i="97" s="1"/>
  <c r="Z160" i="97"/>
  <c r="U160" i="97"/>
  <c r="T160" i="97"/>
  <c r="AF159" i="97"/>
  <c r="AA159" i="97"/>
  <c r="AB159" i="97" s="1"/>
  <c r="Z159" i="97"/>
  <c r="U159" i="97"/>
  <c r="T159" i="97"/>
  <c r="AF158" i="97"/>
  <c r="AA158" i="97"/>
  <c r="AB158" i="97" s="1"/>
  <c r="Z158" i="97"/>
  <c r="U158" i="97"/>
  <c r="T158" i="97"/>
  <c r="AA157" i="97"/>
  <c r="AB157" i="97" s="1"/>
  <c r="Z157" i="97"/>
  <c r="U157" i="97"/>
  <c r="F157" i="97"/>
  <c r="T157" i="97" s="1"/>
  <c r="AA156" i="97"/>
  <c r="AB156" i="97" s="1"/>
  <c r="Z156" i="97"/>
  <c r="U156" i="97"/>
  <c r="T156" i="97"/>
  <c r="AA155" i="97"/>
  <c r="AB155" i="97" s="1"/>
  <c r="Z155" i="97"/>
  <c r="U155" i="97"/>
  <c r="T155" i="97"/>
  <c r="AA154" i="97"/>
  <c r="AB154" i="97" s="1"/>
  <c r="Z154" i="97"/>
  <c r="U154" i="97"/>
  <c r="F154" i="97"/>
  <c r="T154" i="97" s="1"/>
  <c r="AF153" i="97"/>
  <c r="AA153" i="97"/>
  <c r="AB153" i="97" s="1"/>
  <c r="Z153" i="97"/>
  <c r="U153" i="97"/>
  <c r="T153" i="97"/>
  <c r="AA152" i="97"/>
  <c r="AB152" i="97" s="1"/>
  <c r="Z152" i="97"/>
  <c r="U152" i="97"/>
  <c r="T152" i="97"/>
  <c r="AA151" i="97"/>
  <c r="AB151" i="97" s="1"/>
  <c r="Z151" i="97"/>
  <c r="G151" i="97"/>
  <c r="U151" i="97" s="1"/>
  <c r="F151" i="97"/>
  <c r="T151" i="97" s="1"/>
  <c r="AA150" i="97"/>
  <c r="AB150" i="97" s="1"/>
  <c r="Z150" i="97"/>
  <c r="U150" i="97"/>
  <c r="T150" i="97"/>
  <c r="AF149" i="97"/>
  <c r="AA149" i="97"/>
  <c r="AB149" i="97" s="1"/>
  <c r="Z149" i="97"/>
  <c r="U149" i="97"/>
  <c r="T149" i="97"/>
  <c r="AA148" i="97"/>
  <c r="AB148" i="97" s="1"/>
  <c r="Z148" i="97"/>
  <c r="U148" i="97"/>
  <c r="T148" i="97"/>
  <c r="AA147" i="97"/>
  <c r="AB147" i="97" s="1"/>
  <c r="Z147" i="97"/>
  <c r="U147" i="97"/>
  <c r="T147" i="97"/>
  <c r="AF146" i="97"/>
  <c r="AA146" i="97"/>
  <c r="AB146" i="97" s="1"/>
  <c r="Z146" i="97"/>
  <c r="U146" i="97"/>
  <c r="T146" i="97"/>
  <c r="E146" i="97"/>
  <c r="AF145" i="97"/>
  <c r="AA145" i="97"/>
  <c r="AB145" i="97" s="1"/>
  <c r="Z145" i="97"/>
  <c r="U145" i="97"/>
  <c r="T145" i="97"/>
  <c r="E145" i="97"/>
  <c r="AF144" i="97"/>
  <c r="AA144" i="97"/>
  <c r="AB144" i="97" s="1"/>
  <c r="Z144" i="97"/>
  <c r="U144" i="97"/>
  <c r="T144" i="97"/>
  <c r="AF143" i="97"/>
  <c r="AA143" i="97"/>
  <c r="AB143" i="97" s="1"/>
  <c r="Z143" i="97"/>
  <c r="U143" i="97"/>
  <c r="T143" i="97"/>
  <c r="AA142" i="97"/>
  <c r="AB142" i="97" s="1"/>
  <c r="Z142" i="97"/>
  <c r="U142" i="97"/>
  <c r="T142" i="97"/>
  <c r="AF141" i="97"/>
  <c r="AA141" i="97"/>
  <c r="AB141" i="97" s="1"/>
  <c r="Z141" i="97"/>
  <c r="U141" i="97"/>
  <c r="T141" i="97"/>
  <c r="AF140" i="97"/>
  <c r="AA140" i="97"/>
  <c r="AB140" i="97" s="1"/>
  <c r="Z140" i="97"/>
  <c r="U140" i="97"/>
  <c r="T140" i="97"/>
  <c r="AF139" i="97"/>
  <c r="AA139" i="97"/>
  <c r="AB139" i="97" s="1"/>
  <c r="Z139" i="97"/>
  <c r="U139" i="97"/>
  <c r="F139" i="97"/>
  <c r="T139" i="97" s="1"/>
  <c r="AF138" i="97"/>
  <c r="AA138" i="97"/>
  <c r="AB138" i="97" s="1"/>
  <c r="Z138" i="97"/>
  <c r="U138" i="97"/>
  <c r="T138" i="97"/>
  <c r="AF137" i="97"/>
  <c r="AA137" i="97"/>
  <c r="AB137" i="97" s="1"/>
  <c r="Z137" i="97"/>
  <c r="U137" i="97"/>
  <c r="T137" i="97"/>
  <c r="AF136" i="97"/>
  <c r="AA136" i="97"/>
  <c r="AB136" i="97" s="1"/>
  <c r="Z136" i="97"/>
  <c r="U136" i="97"/>
  <c r="T136" i="97"/>
  <c r="AF135" i="97"/>
  <c r="AA135" i="97"/>
  <c r="AB135" i="97" s="1"/>
  <c r="Z135" i="97"/>
  <c r="U135" i="97"/>
  <c r="T135" i="97"/>
  <c r="E135" i="97"/>
  <c r="AF134" i="97"/>
  <c r="AA134" i="97"/>
  <c r="AB134" i="97" s="1"/>
  <c r="Z134" i="97"/>
  <c r="F134" i="97"/>
  <c r="T134" i="97" s="1"/>
  <c r="AF133" i="97"/>
  <c r="AA133" i="97"/>
  <c r="AB133" i="97" s="1"/>
  <c r="Z133" i="97"/>
  <c r="U133" i="97"/>
  <c r="T133" i="97"/>
  <c r="AF132" i="97"/>
  <c r="AA132" i="97"/>
  <c r="AB132" i="97" s="1"/>
  <c r="Z132" i="97"/>
  <c r="U132" i="97"/>
  <c r="T132" i="97"/>
  <c r="E132" i="97"/>
  <c r="AF131" i="97"/>
  <c r="AA131" i="97"/>
  <c r="AB131" i="97" s="1"/>
  <c r="Z131" i="97"/>
  <c r="U131" i="97"/>
  <c r="T131" i="97"/>
  <c r="AA130" i="97"/>
  <c r="AB130" i="97" s="1"/>
  <c r="Z130" i="97"/>
  <c r="U130" i="97"/>
  <c r="T130" i="97"/>
  <c r="AF129" i="97"/>
  <c r="AA129" i="97"/>
  <c r="AB129" i="97" s="1"/>
  <c r="Z129" i="97"/>
  <c r="U129" i="97"/>
  <c r="T129" i="97"/>
  <c r="E129" i="97"/>
  <c r="AA128" i="97"/>
  <c r="AB128" i="97" s="1"/>
  <c r="Z128" i="97"/>
  <c r="U128" i="97"/>
  <c r="T128" i="97"/>
  <c r="E128" i="97"/>
  <c r="AA127" i="97"/>
  <c r="AB127" i="97" s="1"/>
  <c r="Z127" i="97"/>
  <c r="U127" i="97"/>
  <c r="T127" i="97"/>
  <c r="E127" i="97"/>
  <c r="AF126" i="97"/>
  <c r="AA126" i="97"/>
  <c r="AB126" i="97" s="1"/>
  <c r="Z126" i="97"/>
  <c r="U126" i="97"/>
  <c r="T126" i="97"/>
  <c r="AF125" i="97"/>
  <c r="AA125" i="97"/>
  <c r="AB125" i="97" s="1"/>
  <c r="Z125" i="97"/>
  <c r="U125" i="97"/>
  <c r="T125" i="97"/>
  <c r="AF124" i="97"/>
  <c r="AA124" i="97"/>
  <c r="AB124" i="97" s="1"/>
  <c r="Z124" i="97"/>
  <c r="U124" i="97"/>
  <c r="T124" i="97"/>
  <c r="AF123" i="97"/>
  <c r="AA123" i="97"/>
  <c r="AB123" i="97" s="1"/>
  <c r="Z123" i="97"/>
  <c r="U123" i="97"/>
  <c r="T123" i="97"/>
  <c r="AA122" i="97"/>
  <c r="AB122" i="97" s="1"/>
  <c r="Z122" i="97"/>
  <c r="U122" i="97"/>
  <c r="T122" i="97"/>
  <c r="AF121" i="97"/>
  <c r="AA121" i="97"/>
  <c r="AB121" i="97" s="1"/>
  <c r="Z121" i="97"/>
  <c r="U121" i="97"/>
  <c r="T121" i="97"/>
  <c r="AA120" i="97"/>
  <c r="AB120" i="97" s="1"/>
  <c r="Z120" i="97"/>
  <c r="U120" i="97"/>
  <c r="T120" i="97"/>
  <c r="AF119" i="97"/>
  <c r="AA119" i="97"/>
  <c r="AB119" i="97" s="1"/>
  <c r="Z119" i="97"/>
  <c r="U119" i="97"/>
  <c r="T119" i="97"/>
  <c r="AF118" i="97"/>
  <c r="AA118" i="97"/>
  <c r="AB118" i="97" s="1"/>
  <c r="Z118" i="97"/>
  <c r="U118" i="97"/>
  <c r="T118" i="97"/>
  <c r="AA116" i="97"/>
  <c r="AB116" i="97" s="1"/>
  <c r="Z116" i="97"/>
  <c r="U116" i="97"/>
  <c r="T116" i="97"/>
  <c r="E116" i="97"/>
  <c r="AA115" i="97"/>
  <c r="AB115" i="97" s="1"/>
  <c r="Z115" i="97"/>
  <c r="U115" i="97"/>
  <c r="T115" i="97"/>
  <c r="AF114" i="97"/>
  <c r="AA114" i="97"/>
  <c r="AB114" i="97" s="1"/>
  <c r="Z114" i="97"/>
  <c r="U114" i="97"/>
  <c r="T114" i="97"/>
  <c r="AF113" i="97"/>
  <c r="AA113" i="97"/>
  <c r="AB113" i="97" s="1"/>
  <c r="Z113" i="97"/>
  <c r="U113" i="97"/>
  <c r="T113" i="97"/>
  <c r="AA112" i="97"/>
  <c r="AB112" i="97" s="1"/>
  <c r="Z112" i="97"/>
  <c r="U112" i="97"/>
  <c r="T112" i="97"/>
  <c r="E112" i="97"/>
  <c r="AF111" i="97"/>
  <c r="AA111" i="97"/>
  <c r="AB111" i="97" s="1"/>
  <c r="Z111" i="97"/>
  <c r="U111" i="97"/>
  <c r="T111" i="97"/>
  <c r="AF110" i="97"/>
  <c r="AA110" i="97"/>
  <c r="AB110" i="97" s="1"/>
  <c r="Z110" i="97"/>
  <c r="U110" i="97"/>
  <c r="T110" i="97"/>
  <c r="AF109" i="97"/>
  <c r="AA109" i="97"/>
  <c r="AB109" i="97" s="1"/>
  <c r="Z109" i="97"/>
  <c r="U109" i="97"/>
  <c r="T109" i="97"/>
  <c r="E109" i="97"/>
  <c r="AF108" i="97"/>
  <c r="AA108" i="97"/>
  <c r="AB108" i="97" s="1"/>
  <c r="Z108" i="97"/>
  <c r="U108" i="97"/>
  <c r="T108" i="97"/>
  <c r="E108" i="97"/>
  <c r="AE107" i="97"/>
  <c r="AE106" i="97" s="1"/>
  <c r="AD106" i="97"/>
  <c r="AC107" i="97"/>
  <c r="AC106" i="97" s="1"/>
  <c r="Y107" i="97"/>
  <c r="X107" i="97"/>
  <c r="X106" i="97" s="1"/>
  <c r="V107" i="97"/>
  <c r="S107" i="97"/>
  <c r="R107" i="97"/>
  <c r="Q107" i="97"/>
  <c r="Q106" i="97" s="1"/>
  <c r="P107" i="97"/>
  <c r="P106" i="97" s="1"/>
  <c r="O107" i="97"/>
  <c r="O106" i="97" s="1"/>
  <c r="N107" i="97"/>
  <c r="N106" i="97" s="1"/>
  <c r="K107" i="97"/>
  <c r="K106" i="97" s="1"/>
  <c r="J107" i="97"/>
  <c r="I107" i="97"/>
  <c r="I106" i="97" s="1"/>
  <c r="H107" i="97"/>
  <c r="D107" i="97"/>
  <c r="D106" i="97" s="1"/>
  <c r="Y106" i="97"/>
  <c r="S106" i="97"/>
  <c r="J106" i="97"/>
  <c r="AF105" i="97"/>
  <c r="AE105" i="97"/>
  <c r="AB105" i="97"/>
  <c r="AA105" i="97"/>
  <c r="Z105" i="97"/>
  <c r="Y105" i="97"/>
  <c r="X105" i="97"/>
  <c r="W105" i="97"/>
  <c r="V105" i="97"/>
  <c r="U105" i="97"/>
  <c r="T105" i="97"/>
  <c r="S105" i="97"/>
  <c r="R105" i="97"/>
  <c r="Q105" i="97"/>
  <c r="P105" i="97"/>
  <c r="O105" i="97"/>
  <c r="N105" i="97"/>
  <c r="M105" i="97"/>
  <c r="L105" i="97"/>
  <c r="K105" i="97"/>
  <c r="J105" i="97"/>
  <c r="I105" i="97"/>
  <c r="H105" i="97"/>
  <c r="G105" i="97"/>
  <c r="F105" i="97"/>
  <c r="E105" i="97"/>
  <c r="D105" i="97"/>
  <c r="AA104" i="97"/>
  <c r="AB104" i="97" s="1"/>
  <c r="Z104" i="97"/>
  <c r="U104" i="97"/>
  <c r="T104" i="97"/>
  <c r="AA103" i="97"/>
  <c r="AB103" i="97" s="1"/>
  <c r="Z103" i="97"/>
  <c r="U103" i="97"/>
  <c r="T103" i="97"/>
  <c r="AA102" i="97"/>
  <c r="AB102" i="97" s="1"/>
  <c r="Z102" i="97"/>
  <c r="U102" i="97"/>
  <c r="T102" i="97"/>
  <c r="AA101" i="97"/>
  <c r="AB101" i="97" s="1"/>
  <c r="Z101" i="97"/>
  <c r="U101" i="97"/>
  <c r="T101" i="97"/>
  <c r="AA98" i="97"/>
  <c r="AB98" i="97" s="1"/>
  <c r="Z98" i="97"/>
  <c r="U98" i="97"/>
  <c r="AC98" i="97" s="1"/>
  <c r="AD98" i="97" s="1"/>
  <c r="AG98" i="97" s="1"/>
  <c r="T98" i="97"/>
  <c r="AA97" i="97"/>
  <c r="AB97" i="97" s="1"/>
  <c r="Z97" i="97"/>
  <c r="U97" i="97"/>
  <c r="AC97" i="97" s="1"/>
  <c r="AD97" i="97" s="1"/>
  <c r="AG97" i="97" s="1"/>
  <c r="T97" i="97"/>
  <c r="AA96" i="97"/>
  <c r="AB96" i="97" s="1"/>
  <c r="Z96" i="97"/>
  <c r="U96" i="97"/>
  <c r="AC96" i="97" s="1"/>
  <c r="AD96" i="97" s="1"/>
  <c r="AG96" i="97" s="1"/>
  <c r="T96" i="97"/>
  <c r="AA95" i="97"/>
  <c r="AB95" i="97" s="1"/>
  <c r="Z95" i="97"/>
  <c r="U95" i="97"/>
  <c r="AC95" i="97" s="1"/>
  <c r="AD95" i="97" s="1"/>
  <c r="AG95" i="97" s="1"/>
  <c r="T95" i="97"/>
  <c r="AA94" i="97"/>
  <c r="AB94" i="97" s="1"/>
  <c r="Z94" i="97"/>
  <c r="U94" i="97"/>
  <c r="AG94" i="97" s="1"/>
  <c r="T94" i="97"/>
  <c r="AA93" i="97"/>
  <c r="AB93" i="97" s="1"/>
  <c r="Z93" i="97"/>
  <c r="U93" i="97"/>
  <c r="AC93" i="97" s="1"/>
  <c r="AD93" i="97" s="1"/>
  <c r="AG93" i="97" s="1"/>
  <c r="T93" i="97"/>
  <c r="AA92" i="97"/>
  <c r="AB92" i="97" s="1"/>
  <c r="Z92" i="97"/>
  <c r="U92" i="97"/>
  <c r="AC92" i="97" s="1"/>
  <c r="AD92" i="97" s="1"/>
  <c r="AG92" i="97" s="1"/>
  <c r="T92" i="97"/>
  <c r="AA91" i="97"/>
  <c r="AB91" i="97" s="1"/>
  <c r="Z91" i="97"/>
  <c r="U91" i="97"/>
  <c r="AC91" i="97" s="1"/>
  <c r="AD91" i="97" s="1"/>
  <c r="AG91" i="97" s="1"/>
  <c r="T91" i="97"/>
  <c r="AA90" i="97"/>
  <c r="AB90" i="97" s="1"/>
  <c r="Z90" i="97"/>
  <c r="U90" i="97"/>
  <c r="AC90" i="97" s="1"/>
  <c r="T90" i="97"/>
  <c r="AF89" i="97"/>
  <c r="AE89" i="97"/>
  <c r="AA89" i="97"/>
  <c r="Y89" i="97"/>
  <c r="X89" i="97"/>
  <c r="W89" i="97"/>
  <c r="V89" i="97"/>
  <c r="S89" i="97"/>
  <c r="R89" i="97"/>
  <c r="Q89" i="97"/>
  <c r="P89" i="97"/>
  <c r="O89" i="97"/>
  <c r="N89" i="97"/>
  <c r="M89" i="97"/>
  <c r="L89" i="97"/>
  <c r="K89" i="97"/>
  <c r="J89" i="97"/>
  <c r="I89" i="97"/>
  <c r="H89" i="97"/>
  <c r="G89" i="97"/>
  <c r="F89" i="97"/>
  <c r="E89" i="97"/>
  <c r="D89" i="97"/>
  <c r="AA88" i="97"/>
  <c r="AB88" i="97" s="1"/>
  <c r="AC88" i="97" s="1"/>
  <c r="AD88" i="97" s="1"/>
  <c r="Z88" i="97"/>
  <c r="U88" i="97"/>
  <c r="T88" i="97"/>
  <c r="AA87" i="97"/>
  <c r="AB87" i="97" s="1"/>
  <c r="AC87" i="97" s="1"/>
  <c r="AD87" i="97" s="1"/>
  <c r="Z87" i="97"/>
  <c r="U87" i="97"/>
  <c r="T87" i="97"/>
  <c r="AA86" i="97"/>
  <c r="AB86" i="97" s="1"/>
  <c r="AC86" i="97" s="1"/>
  <c r="AD86" i="97" s="1"/>
  <c r="Z86" i="97"/>
  <c r="U86" i="97"/>
  <c r="T86" i="97"/>
  <c r="AA85" i="97"/>
  <c r="AB85" i="97" s="1"/>
  <c r="AC85" i="97" s="1"/>
  <c r="AD85" i="97" s="1"/>
  <c r="Z85" i="97"/>
  <c r="U85" i="97"/>
  <c r="T85" i="97"/>
  <c r="AA84" i="97"/>
  <c r="AB84" i="97" s="1"/>
  <c r="AC84" i="97" s="1"/>
  <c r="AD84" i="97" s="1"/>
  <c r="Z84" i="97"/>
  <c r="U84" i="97"/>
  <c r="T84" i="97"/>
  <c r="AA83" i="97"/>
  <c r="AB83" i="97" s="1"/>
  <c r="AC83" i="97" s="1"/>
  <c r="AD83" i="97" s="1"/>
  <c r="Z83" i="97"/>
  <c r="U83" i="97"/>
  <c r="T83" i="97"/>
  <c r="AA82" i="97"/>
  <c r="AB82" i="97" s="1"/>
  <c r="AC82" i="97" s="1"/>
  <c r="AD82" i="97" s="1"/>
  <c r="Z82" i="97"/>
  <c r="U82" i="97"/>
  <c r="T82" i="97"/>
  <c r="AA81" i="97"/>
  <c r="AB81" i="97" s="1"/>
  <c r="AC81" i="97" s="1"/>
  <c r="AD81" i="97" s="1"/>
  <c r="Z81" i="97"/>
  <c r="U81" i="97"/>
  <c r="T81" i="97"/>
  <c r="AA80" i="97"/>
  <c r="AB80" i="97" s="1"/>
  <c r="AC80" i="97" s="1"/>
  <c r="AD80" i="97" s="1"/>
  <c r="Z80" i="97"/>
  <c r="U80" i="97"/>
  <c r="T80" i="97"/>
  <c r="AA79" i="97"/>
  <c r="AB79" i="97" s="1"/>
  <c r="AC79" i="97" s="1"/>
  <c r="AD79" i="97" s="1"/>
  <c r="Z79" i="97"/>
  <c r="U79" i="97"/>
  <c r="T79" i="97"/>
  <c r="AA78" i="97"/>
  <c r="AB78" i="97" s="1"/>
  <c r="Z78" i="97"/>
  <c r="U78" i="97"/>
  <c r="T78" i="97"/>
  <c r="E78" i="97"/>
  <c r="AA77" i="97"/>
  <c r="AB77" i="97" s="1"/>
  <c r="AC77" i="97" s="1"/>
  <c r="AD77" i="97" s="1"/>
  <c r="Z77" i="97"/>
  <c r="U77" i="97"/>
  <c r="T77" i="97"/>
  <c r="AA76" i="97"/>
  <c r="AB76" i="97" s="1"/>
  <c r="AC76" i="97" s="1"/>
  <c r="AD76" i="97" s="1"/>
  <c r="Z76" i="97"/>
  <c r="U76" i="97"/>
  <c r="T76" i="97"/>
  <c r="AA75" i="97"/>
  <c r="AB75" i="97" s="1"/>
  <c r="AC75" i="97" s="1"/>
  <c r="AD75" i="97" s="1"/>
  <c r="Z75" i="97"/>
  <c r="U75" i="97"/>
  <c r="T75" i="97"/>
  <c r="AA74" i="97"/>
  <c r="AB74" i="97" s="1"/>
  <c r="AC74" i="97" s="1"/>
  <c r="Z74" i="97"/>
  <c r="U74" i="97"/>
  <c r="T74" i="97"/>
  <c r="E74" i="97"/>
  <c r="AA73" i="97"/>
  <c r="AB73" i="97" s="1"/>
  <c r="Z73" i="97"/>
  <c r="U73" i="97"/>
  <c r="T73" i="97"/>
  <c r="AF72" i="97"/>
  <c r="AE72" i="97"/>
  <c r="Y72" i="97"/>
  <c r="X72" i="97"/>
  <c r="W72" i="97"/>
  <c r="V72" i="97"/>
  <c r="S72" i="97"/>
  <c r="R72" i="97"/>
  <c r="Q72" i="97"/>
  <c r="P72" i="97"/>
  <c r="O72" i="97"/>
  <c r="N72" i="97"/>
  <c r="M72" i="97"/>
  <c r="L72" i="97"/>
  <c r="K72" i="97"/>
  <c r="J72" i="97"/>
  <c r="I72" i="97"/>
  <c r="H72" i="97"/>
  <c r="G72" i="97"/>
  <c r="F72" i="97"/>
  <c r="D72" i="97"/>
  <c r="AA71" i="97"/>
  <c r="AB71" i="97" s="1"/>
  <c r="U71" i="97"/>
  <c r="L71" i="97"/>
  <c r="Z71" i="97" s="1"/>
  <c r="AD70" i="97"/>
  <c r="AD60" i="97" s="1"/>
  <c r="AA70" i="97"/>
  <c r="AB70" i="97" s="1"/>
  <c r="Z70" i="97"/>
  <c r="U70" i="97"/>
  <c r="T70" i="97"/>
  <c r="AG70" i="97" s="1"/>
  <c r="AA69" i="97"/>
  <c r="AB69" i="97" s="1"/>
  <c r="Z69" i="97"/>
  <c r="U69" i="97"/>
  <c r="T69" i="97"/>
  <c r="AG69" i="97" s="1"/>
  <c r="E69" i="97"/>
  <c r="AA68" i="97"/>
  <c r="AB68" i="97" s="1"/>
  <c r="Z68" i="97"/>
  <c r="T68" i="97"/>
  <c r="AG68" i="97" s="1"/>
  <c r="G68" i="97"/>
  <c r="U68" i="97" s="1"/>
  <c r="E68" i="97"/>
  <c r="AA67" i="97"/>
  <c r="AB67" i="97" s="1"/>
  <c r="Z67" i="97"/>
  <c r="U67" i="97"/>
  <c r="F67" i="97"/>
  <c r="T67" i="97" s="1"/>
  <c r="AG67" i="97" s="1"/>
  <c r="E67" i="97"/>
  <c r="AA66" i="97"/>
  <c r="AB66" i="97" s="1"/>
  <c r="Z66" i="97"/>
  <c r="U66" i="97"/>
  <c r="T66" i="97"/>
  <c r="AA65" i="97"/>
  <c r="AB65" i="97" s="1"/>
  <c r="Z65" i="97"/>
  <c r="G65" i="97"/>
  <c r="F65" i="97"/>
  <c r="T65" i="97" s="1"/>
  <c r="E65" i="97"/>
  <c r="AA64" i="97"/>
  <c r="AB64" i="97" s="1"/>
  <c r="Z64" i="97"/>
  <c r="U64" i="97"/>
  <c r="T64" i="97"/>
  <c r="AG64" i="97" s="1"/>
  <c r="AA63" i="97"/>
  <c r="AB63" i="97" s="1"/>
  <c r="Z63" i="97"/>
  <c r="U63" i="97"/>
  <c r="T63" i="97"/>
  <c r="AG63" i="97" s="1"/>
  <c r="AA62" i="97"/>
  <c r="AB62" i="97" s="1"/>
  <c r="Z62" i="97"/>
  <c r="U62" i="97"/>
  <c r="T62" i="97"/>
  <c r="AG62" i="97" s="1"/>
  <c r="AA61" i="97"/>
  <c r="AB61" i="97" s="1"/>
  <c r="Z61" i="97"/>
  <c r="U61" i="97"/>
  <c r="T61" i="97"/>
  <c r="AG61" i="97" s="1"/>
  <c r="AF60" i="97"/>
  <c r="AE60" i="97"/>
  <c r="AC60" i="97"/>
  <c r="Y60" i="97"/>
  <c r="X60" i="97"/>
  <c r="W60" i="97"/>
  <c r="V60" i="97"/>
  <c r="S60" i="97"/>
  <c r="R60" i="97"/>
  <c r="Q60" i="97"/>
  <c r="P60" i="97"/>
  <c r="O60" i="97"/>
  <c r="N60" i="97"/>
  <c r="M60" i="97"/>
  <c r="L60" i="97"/>
  <c r="K60" i="97"/>
  <c r="J60" i="97"/>
  <c r="I60" i="97"/>
  <c r="H60" i="97"/>
  <c r="D60" i="97"/>
  <c r="AA59" i="97"/>
  <c r="AB59" i="97" s="1"/>
  <c r="AC59" i="97" s="1"/>
  <c r="Z59" i="97"/>
  <c r="U59" i="97"/>
  <c r="T59" i="97"/>
  <c r="AA58" i="97"/>
  <c r="AB58" i="97" s="1"/>
  <c r="Z58" i="97"/>
  <c r="U58" i="97"/>
  <c r="T58" i="97"/>
  <c r="E58" i="97"/>
  <c r="AA57" i="97"/>
  <c r="AB57" i="97" s="1"/>
  <c r="Z57" i="97"/>
  <c r="U57" i="97"/>
  <c r="T57" i="97"/>
  <c r="E57" i="97"/>
  <c r="AA56" i="97"/>
  <c r="AB56" i="97" s="1"/>
  <c r="Z56" i="97"/>
  <c r="U56" i="97"/>
  <c r="T56" i="97"/>
  <c r="AA55" i="97"/>
  <c r="AB55" i="97" s="1"/>
  <c r="Z55" i="97"/>
  <c r="U55" i="97"/>
  <c r="T55" i="97"/>
  <c r="AF54" i="97"/>
  <c r="AA54" i="97"/>
  <c r="AB54" i="97" s="1"/>
  <c r="Z54" i="97"/>
  <c r="U54" i="97"/>
  <c r="T54" i="97"/>
  <c r="E54" i="97"/>
  <c r="AA53" i="97"/>
  <c r="AB53" i="97" s="1"/>
  <c r="Z53" i="97"/>
  <c r="U53" i="97"/>
  <c r="T53" i="97"/>
  <c r="E53" i="97"/>
  <c r="AA52" i="97"/>
  <c r="AB52" i="97" s="1"/>
  <c r="Z52" i="97"/>
  <c r="U52" i="97"/>
  <c r="T52" i="97"/>
  <c r="AA51" i="97"/>
  <c r="AB51" i="97" s="1"/>
  <c r="Z51" i="97"/>
  <c r="U51" i="97"/>
  <c r="T51" i="97"/>
  <c r="AA50" i="97"/>
  <c r="AB50" i="97" s="1"/>
  <c r="Z50" i="97"/>
  <c r="U50" i="97"/>
  <c r="T50" i="97"/>
  <c r="AA49" i="97"/>
  <c r="AB49" i="97" s="1"/>
  <c r="Z49" i="97"/>
  <c r="U49" i="97"/>
  <c r="T49" i="97"/>
  <c r="AF48" i="97"/>
  <c r="AA48" i="97"/>
  <c r="AB48" i="97" s="1"/>
  <c r="Z48" i="97"/>
  <c r="U48" i="97"/>
  <c r="T48" i="97"/>
  <c r="AA47" i="97"/>
  <c r="AB47" i="97" s="1"/>
  <c r="Z47" i="97"/>
  <c r="U47" i="97"/>
  <c r="T47" i="97"/>
  <c r="AA46" i="97"/>
  <c r="AB46" i="97" s="1"/>
  <c r="Z46" i="97"/>
  <c r="U46" i="97"/>
  <c r="T46" i="97"/>
  <c r="AA45" i="97"/>
  <c r="AB45" i="97" s="1"/>
  <c r="Z45" i="97"/>
  <c r="U45" i="97"/>
  <c r="T45" i="97"/>
  <c r="AA44" i="97"/>
  <c r="AB44" i="97" s="1"/>
  <c r="Z44" i="97"/>
  <c r="U44" i="97"/>
  <c r="T44" i="97"/>
  <c r="AA43" i="97"/>
  <c r="AB43" i="97" s="1"/>
  <c r="Z43" i="97"/>
  <c r="U43" i="97"/>
  <c r="T43" i="97"/>
  <c r="AA42" i="97"/>
  <c r="AB42" i="97" s="1"/>
  <c r="Z42" i="97"/>
  <c r="U42" i="97"/>
  <c r="T42" i="97"/>
  <c r="AA41" i="97"/>
  <c r="AB41" i="97" s="1"/>
  <c r="Z41" i="97"/>
  <c r="U41" i="97"/>
  <c r="T41" i="97"/>
  <c r="E41" i="97"/>
  <c r="AA40" i="97"/>
  <c r="AB40" i="97" s="1"/>
  <c r="Z40" i="97"/>
  <c r="U40" i="97"/>
  <c r="T40" i="97"/>
  <c r="E40" i="97"/>
  <c r="AA39" i="97"/>
  <c r="AB39" i="97" s="1"/>
  <c r="Z39" i="97"/>
  <c r="U39" i="97"/>
  <c r="T39" i="97"/>
  <c r="AA38" i="97"/>
  <c r="AB38" i="97" s="1"/>
  <c r="Z38" i="97"/>
  <c r="U38" i="97"/>
  <c r="T38" i="97"/>
  <c r="AA37" i="97"/>
  <c r="AB37" i="97" s="1"/>
  <c r="Z37" i="97"/>
  <c r="U37" i="97"/>
  <c r="T37" i="97"/>
  <c r="AA36" i="97"/>
  <c r="AB36" i="97" s="1"/>
  <c r="Z36" i="97"/>
  <c r="U36" i="97"/>
  <c r="T36" i="97"/>
  <c r="AA35" i="97"/>
  <c r="AB35" i="97" s="1"/>
  <c r="Z35" i="97"/>
  <c r="U35" i="97"/>
  <c r="T35" i="97"/>
  <c r="AG35" i="97" s="1"/>
  <c r="AE34" i="97"/>
  <c r="Y34" i="97"/>
  <c r="Y33" i="97" s="1"/>
  <c r="Y32" i="97" s="1"/>
  <c r="X34" i="97"/>
  <c r="W34" i="97"/>
  <c r="W33" i="97" s="1"/>
  <c r="W32" i="97" s="1"/>
  <c r="V34" i="97"/>
  <c r="S34" i="97"/>
  <c r="S33" i="97" s="1"/>
  <c r="S32" i="97" s="1"/>
  <c r="R34" i="97"/>
  <c r="Q34" i="97"/>
  <c r="Q33" i="97" s="1"/>
  <c r="Q32" i="97" s="1"/>
  <c r="P34" i="97"/>
  <c r="O34" i="97"/>
  <c r="O33" i="97" s="1"/>
  <c r="O32" i="97" s="1"/>
  <c r="N34" i="97"/>
  <c r="M34" i="97"/>
  <c r="M33" i="97" s="1"/>
  <c r="M32" i="97" s="1"/>
  <c r="L34" i="97"/>
  <c r="K34" i="97"/>
  <c r="K33" i="97" s="1"/>
  <c r="K32" i="97" s="1"/>
  <c r="J34" i="97"/>
  <c r="I34" i="97"/>
  <c r="I33" i="97" s="1"/>
  <c r="I32" i="97" s="1"/>
  <c r="H34" i="97"/>
  <c r="G34" i="97"/>
  <c r="F34" i="97"/>
  <c r="D34" i="97"/>
  <c r="D33" i="97" s="1"/>
  <c r="AA31" i="97"/>
  <c r="AB31" i="97" s="1"/>
  <c r="AB30" i="97" s="1"/>
  <c r="Z31" i="97"/>
  <c r="U31" i="97"/>
  <c r="T31" i="97"/>
  <c r="AG31" i="97" s="1"/>
  <c r="AF30" i="97"/>
  <c r="AE30" i="97"/>
  <c r="AD30" i="97"/>
  <c r="AC30" i="97"/>
  <c r="AA30" i="97"/>
  <c r="Z30" i="97"/>
  <c r="Y30" i="97"/>
  <c r="X30" i="97"/>
  <c r="W30" i="97"/>
  <c r="V30" i="97"/>
  <c r="U30" i="97"/>
  <c r="T30" i="97"/>
  <c r="S30" i="97"/>
  <c r="R30" i="97"/>
  <c r="Q30" i="97"/>
  <c r="P30" i="97"/>
  <c r="O30" i="97"/>
  <c r="N30" i="97"/>
  <c r="M30" i="97"/>
  <c r="L30" i="97"/>
  <c r="K30" i="97"/>
  <c r="J30" i="97"/>
  <c r="I30" i="97"/>
  <c r="H30" i="97"/>
  <c r="G30" i="97"/>
  <c r="F30" i="97"/>
  <c r="E30" i="97"/>
  <c r="D30" i="97"/>
  <c r="AA29" i="97"/>
  <c r="AB29" i="97" s="1"/>
  <c r="Z29" i="97"/>
  <c r="U29" i="97"/>
  <c r="T29" i="97"/>
  <c r="AG29" i="97" s="1"/>
  <c r="AA28" i="97"/>
  <c r="AB28" i="97" s="1"/>
  <c r="Z28" i="97"/>
  <c r="U28" i="97"/>
  <c r="T28" i="97"/>
  <c r="AG28" i="97" s="1"/>
  <c r="AA27" i="97"/>
  <c r="AB27" i="97" s="1"/>
  <c r="Z27" i="97"/>
  <c r="U27" i="97"/>
  <c r="AG27" i="97" s="1"/>
  <c r="T27" i="97"/>
  <c r="AA26" i="97"/>
  <c r="AB26" i="97" s="1"/>
  <c r="AB25" i="97" s="1"/>
  <c r="Z26" i="97"/>
  <c r="U26" i="97"/>
  <c r="AG26" i="97" s="1"/>
  <c r="T26" i="97"/>
  <c r="AF25" i="97"/>
  <c r="AE25" i="97"/>
  <c r="AD25" i="97"/>
  <c r="AC25" i="97"/>
  <c r="AA25" i="97"/>
  <c r="Z25" i="97"/>
  <c r="Y25" i="97"/>
  <c r="X25" i="97"/>
  <c r="W25" i="97"/>
  <c r="V25" i="97"/>
  <c r="U25" i="97"/>
  <c r="T25" i="97"/>
  <c r="S25" i="97"/>
  <c r="R25" i="97"/>
  <c r="Q25" i="97"/>
  <c r="P25" i="97"/>
  <c r="O25" i="97"/>
  <c r="N25" i="97"/>
  <c r="M25" i="97"/>
  <c r="L25" i="97"/>
  <c r="K25" i="97"/>
  <c r="J25" i="97"/>
  <c r="I25" i="97"/>
  <c r="H25" i="97"/>
  <c r="G25" i="97"/>
  <c r="F25" i="97"/>
  <c r="E25" i="97"/>
  <c r="D25" i="97"/>
  <c r="AA24" i="97"/>
  <c r="AB24" i="97" s="1"/>
  <c r="Z24" i="97"/>
  <c r="U24" i="97"/>
  <c r="T24" i="97"/>
  <c r="AG24" i="97" s="1"/>
  <c r="AC23" i="97"/>
  <c r="AA23" i="97"/>
  <c r="AB23" i="97" s="1"/>
  <c r="Z23" i="97"/>
  <c r="T23" i="97"/>
  <c r="G23" i="97"/>
  <c r="U23" i="97" s="1"/>
  <c r="AC22" i="97"/>
  <c r="AA22" i="97"/>
  <c r="AB22" i="97" s="1"/>
  <c r="Z22" i="97"/>
  <c r="U22" i="97"/>
  <c r="T22" i="97"/>
  <c r="AG22" i="97" s="1"/>
  <c r="AC21" i="97"/>
  <c r="AA21" i="97"/>
  <c r="AB21" i="97" s="1"/>
  <c r="Z21" i="97"/>
  <c r="U21" i="97"/>
  <c r="T21" i="97"/>
  <c r="AG21" i="97" s="1"/>
  <c r="AF20" i="97"/>
  <c r="AE20" i="97"/>
  <c r="AD20" i="97"/>
  <c r="Y20" i="97"/>
  <c r="X20" i="97"/>
  <c r="W20" i="97"/>
  <c r="V20" i="97"/>
  <c r="S20" i="97"/>
  <c r="R20" i="97"/>
  <c r="Q20" i="97"/>
  <c r="P20" i="97"/>
  <c r="O20" i="97"/>
  <c r="N20" i="97"/>
  <c r="M20" i="97"/>
  <c r="L20" i="97"/>
  <c r="K20" i="97"/>
  <c r="J20" i="97"/>
  <c r="I20" i="97"/>
  <c r="H20" i="97"/>
  <c r="G20" i="97"/>
  <c r="F20" i="97"/>
  <c r="E20" i="97"/>
  <c r="D20" i="97"/>
  <c r="AA19" i="97"/>
  <c r="AB19" i="97" s="1"/>
  <c r="Z19" i="97"/>
  <c r="U19" i="97"/>
  <c r="T19" i="97"/>
  <c r="AF18" i="97"/>
  <c r="AF17" i="97" s="1"/>
  <c r="AA18" i="97"/>
  <c r="AB18" i="97" s="1"/>
  <c r="Z18" i="97"/>
  <c r="U18" i="97"/>
  <c r="T18" i="97"/>
  <c r="AE17" i="97"/>
  <c r="AD17" i="97"/>
  <c r="AC17" i="97"/>
  <c r="Y17" i="97"/>
  <c r="X17" i="97"/>
  <c r="X16" i="97" s="1"/>
  <c r="X15" i="97" s="1"/>
  <c r="W17" i="97"/>
  <c r="V17" i="97"/>
  <c r="V16" i="97" s="1"/>
  <c r="V15" i="97" s="1"/>
  <c r="S17" i="97"/>
  <c r="S16" i="97" s="1"/>
  <c r="S15" i="97" s="1"/>
  <c r="R17" i="97"/>
  <c r="R16" i="97" s="1"/>
  <c r="Q17" i="97"/>
  <c r="Q16" i="97" s="1"/>
  <c r="Q15" i="97" s="1"/>
  <c r="P17" i="97"/>
  <c r="P16" i="97" s="1"/>
  <c r="O17" i="97"/>
  <c r="O16" i="97" s="1"/>
  <c r="O15" i="97" s="1"/>
  <c r="N17" i="97"/>
  <c r="N16" i="97" s="1"/>
  <c r="M17" i="97"/>
  <c r="M16" i="97" s="1"/>
  <c r="M15" i="97" s="1"/>
  <c r="L17" i="97"/>
  <c r="L16" i="97" s="1"/>
  <c r="K17" i="97"/>
  <c r="K16" i="97" s="1"/>
  <c r="K15" i="97" s="1"/>
  <c r="J17" i="97"/>
  <c r="J16" i="97" s="1"/>
  <c r="I17" i="97"/>
  <c r="H17" i="97"/>
  <c r="H16" i="97" s="1"/>
  <c r="G17" i="97"/>
  <c r="G16" i="97" s="1"/>
  <c r="G15" i="97" s="1"/>
  <c r="F17" i="97"/>
  <c r="F16" i="97" s="1"/>
  <c r="E17" i="97"/>
  <c r="E16" i="97" s="1"/>
  <c r="E15" i="97" s="1"/>
  <c r="D17" i="97"/>
  <c r="D16" i="97" s="1"/>
  <c r="AA14" i="97"/>
  <c r="AB14" i="97" s="1"/>
  <c r="Z14" i="97"/>
  <c r="AA12" i="97"/>
  <c r="AB12" i="97" s="1"/>
  <c r="Z12" i="97"/>
  <c r="B9" i="97"/>
  <c r="AJ7" i="97"/>
  <c r="AJ8" i="97" s="1"/>
  <c r="I15" i="80" l="1"/>
  <c r="AE33" i="97"/>
  <c r="AE32" i="97" s="1"/>
  <c r="R106" i="97"/>
  <c r="V106" i="97"/>
  <c r="AF305" i="97"/>
  <c r="AE16" i="97"/>
  <c r="AE15" i="97" s="1"/>
  <c r="E72" i="97"/>
  <c r="E107" i="97"/>
  <c r="E106" i="97" s="1"/>
  <c r="M277" i="97"/>
  <c r="AA305" i="97"/>
  <c r="U305" i="97"/>
  <c r="E305" i="97"/>
  <c r="AD16" i="97"/>
  <c r="AD15" i="97" s="1"/>
  <c r="D32" i="97"/>
  <c r="AF34" i="97"/>
  <c r="AF33" i="97" s="1"/>
  <c r="AF32" i="97" s="1"/>
  <c r="AD100" i="97"/>
  <c r="F107" i="97"/>
  <c r="F106" i="97" s="1"/>
  <c r="F100" i="97" s="1"/>
  <c r="F99" i="97" s="1"/>
  <c r="I16" i="97"/>
  <c r="I15" i="97" s="1"/>
  <c r="T17" i="97"/>
  <c r="AF16" i="97"/>
  <c r="AF15" i="97" s="1"/>
  <c r="F60" i="97"/>
  <c r="F33" i="97" s="1"/>
  <c r="F32" i="97" s="1"/>
  <c r="E60" i="97"/>
  <c r="D100" i="97"/>
  <c r="D99" i="97" s="1"/>
  <c r="M320" i="97"/>
  <c r="AD373" i="97"/>
  <c r="J100" i="97"/>
  <c r="J99" i="97" s="1"/>
  <c r="O100" i="97"/>
  <c r="O99" i="97" s="1"/>
  <c r="O11" i="97" s="1"/>
  <c r="O10" i="97" s="1"/>
  <c r="S100" i="97"/>
  <c r="S99" i="97" s="1"/>
  <c r="S11" i="97" s="1"/>
  <c r="S10" i="97" s="1"/>
  <c r="I100" i="97"/>
  <c r="I99" i="97" s="1"/>
  <c r="K100" i="97"/>
  <c r="K99" i="97" s="1"/>
  <c r="K11" i="97" s="1"/>
  <c r="K10" i="97" s="1"/>
  <c r="X100" i="97"/>
  <c r="X99" i="97" s="1"/>
  <c r="AC100" i="97"/>
  <c r="AE100" i="97"/>
  <c r="AE99" i="97" s="1"/>
  <c r="W100" i="97"/>
  <c r="W99" i="97" s="1"/>
  <c r="AC329" i="97"/>
  <c r="W16" i="97"/>
  <c r="W15" i="97" s="1"/>
  <c r="Y16" i="97"/>
  <c r="Y15" i="97" s="1"/>
  <c r="Z34" i="97"/>
  <c r="Q100" i="97"/>
  <c r="Q99" i="97" s="1"/>
  <c r="Q11" i="97" s="1"/>
  <c r="Q10" i="97" s="1"/>
  <c r="Y100" i="97"/>
  <c r="Y99" i="97" s="1"/>
  <c r="N100" i="97"/>
  <c r="N99" i="97" s="1"/>
  <c r="P100" i="97"/>
  <c r="P99" i="97" s="1"/>
  <c r="R100" i="97"/>
  <c r="R99" i="97" s="1"/>
  <c r="V100" i="97"/>
  <c r="V99" i="97" s="1"/>
  <c r="AF107" i="97"/>
  <c r="H106" i="97"/>
  <c r="H33" i="97"/>
  <c r="H32" i="97" s="1"/>
  <c r="J33" i="97"/>
  <c r="J32" i="97" s="1"/>
  <c r="L33" i="97"/>
  <c r="L32" i="97" s="1"/>
  <c r="N33" i="97"/>
  <c r="N32" i="97" s="1"/>
  <c r="P33" i="97"/>
  <c r="P32" i="97" s="1"/>
  <c r="R33" i="97"/>
  <c r="R32" i="97" s="1"/>
  <c r="V33" i="97"/>
  <c r="V32" i="97" s="1"/>
  <c r="X33" i="97"/>
  <c r="X32" i="97" s="1"/>
  <c r="E34" i="97"/>
  <c r="U65" i="97"/>
  <c r="U60" i="97" s="1"/>
  <c r="G60" i="97"/>
  <c r="G33" i="97" s="1"/>
  <c r="G32" i="97" s="1"/>
  <c r="H100" i="97"/>
  <c r="H99" i="97" s="1"/>
  <c r="D15" i="97"/>
  <c r="F15" i="97"/>
  <c r="H15" i="97"/>
  <c r="J15" i="97"/>
  <c r="L15" i="97"/>
  <c r="N15" i="97"/>
  <c r="P15" i="97"/>
  <c r="R15" i="97"/>
  <c r="U17" i="97"/>
  <c r="Z17" i="97"/>
  <c r="AB20" i="97"/>
  <c r="Z20" i="97"/>
  <c r="AC20" i="97"/>
  <c r="AC16" i="97" s="1"/>
  <c r="AC15" i="97" s="1"/>
  <c r="AG23" i="97"/>
  <c r="L107" i="97"/>
  <c r="L277" i="97"/>
  <c r="G305" i="97"/>
  <c r="L320" i="97"/>
  <c r="AC320" i="97"/>
  <c r="AG76" i="97"/>
  <c r="AF277" i="97"/>
  <c r="AA17" i="97"/>
  <c r="T20" i="97"/>
  <c r="U34" i="97"/>
  <c r="AA20" i="97"/>
  <c r="T34" i="97"/>
  <c r="AA34" i="97"/>
  <c r="AA60" i="97"/>
  <c r="U89" i="97"/>
  <c r="T89" i="97"/>
  <c r="Z89" i="97"/>
  <c r="Z320" i="97"/>
  <c r="T72" i="97"/>
  <c r="Z72" i="97"/>
  <c r="U72" i="97"/>
  <c r="AB265" i="97"/>
  <c r="AD320" i="97"/>
  <c r="AG77" i="97"/>
  <c r="Z307" i="97"/>
  <c r="Z305" i="97" s="1"/>
  <c r="AG75" i="97"/>
  <c r="AB17" i="97"/>
  <c r="AB16" i="97" s="1"/>
  <c r="AB15" i="97" s="1"/>
  <c r="U20" i="97"/>
  <c r="Z60" i="97"/>
  <c r="AA72" i="97"/>
  <c r="AB89" i="97"/>
  <c r="Z107" i="97"/>
  <c r="AG312" i="97"/>
  <c r="AB34" i="97"/>
  <c r="AB60" i="97"/>
  <c r="AG79" i="97"/>
  <c r="AG80" i="97"/>
  <c r="AG81" i="97"/>
  <c r="AG82" i="97"/>
  <c r="AG83" i="97"/>
  <c r="AG84" i="97"/>
  <c r="AG85" i="97"/>
  <c r="AG86" i="97"/>
  <c r="AG87" i="97"/>
  <c r="AG88" i="97"/>
  <c r="T107" i="97"/>
  <c r="Z288" i="97"/>
  <c r="Z277" i="97" s="1"/>
  <c r="AC34" i="97"/>
  <c r="AC33" i="97" s="1"/>
  <c r="AD59" i="97"/>
  <c r="AG65" i="97"/>
  <c r="AD74" i="97"/>
  <c r="AC78" i="97"/>
  <c r="AD78" i="97" s="1"/>
  <c r="AG78" i="97" s="1"/>
  <c r="AB72" i="97"/>
  <c r="AD90" i="97"/>
  <c r="AC89" i="97"/>
  <c r="AK8" i="97"/>
  <c r="T71" i="97"/>
  <c r="AG71" i="97" s="1"/>
  <c r="G134" i="97"/>
  <c r="M175" i="97"/>
  <c r="U182" i="97"/>
  <c r="AB305" i="97"/>
  <c r="AB321" i="97"/>
  <c r="AB320" i="97" s="1"/>
  <c r="AA320" i="97"/>
  <c r="AA277" i="97"/>
  <c r="AB301" i="97"/>
  <c r="AB277" i="97" s="1"/>
  <c r="AG306" i="97"/>
  <c r="AG305" i="97" s="1"/>
  <c r="T305" i="97"/>
  <c r="U270" i="97"/>
  <c r="T288" i="97"/>
  <c r="T301" i="97"/>
  <c r="T289" i="97"/>
  <c r="AG289" i="97" s="1"/>
  <c r="U301" i="97"/>
  <c r="U277" i="97" s="1"/>
  <c r="U16" i="97" l="1"/>
  <c r="U15" i="97" s="1"/>
  <c r="D11" i="97"/>
  <c r="D10" i="97" s="1"/>
  <c r="N11" i="97"/>
  <c r="N10" i="97" s="1"/>
  <c r="R11" i="97"/>
  <c r="R10" i="97" s="1"/>
  <c r="X11" i="97"/>
  <c r="X10" i="97" s="1"/>
  <c r="E100" i="97"/>
  <c r="E99" i="97" s="1"/>
  <c r="Z33" i="97"/>
  <c r="Z32" i="97" s="1"/>
  <c r="H11" i="97"/>
  <c r="H10" i="97" s="1"/>
  <c r="Y11" i="97"/>
  <c r="Y10" i="97" s="1"/>
  <c r="AE11" i="97"/>
  <c r="AE10" i="97" s="1"/>
  <c r="I11" i="97"/>
  <c r="I10" i="97" s="1"/>
  <c r="T16" i="97"/>
  <c r="T15" i="97" s="1"/>
  <c r="W11" i="97"/>
  <c r="W10" i="97" s="1"/>
  <c r="J11" i="97"/>
  <c r="J10" i="97" s="1"/>
  <c r="AD99" i="97"/>
  <c r="AF106" i="97"/>
  <c r="AF100" i="97" s="1"/>
  <c r="AF99" i="97" s="1"/>
  <c r="AF11" i="97" s="1"/>
  <c r="AF10" i="97" s="1"/>
  <c r="Z16" i="97"/>
  <c r="Z15" i="97" s="1"/>
  <c r="U33" i="97"/>
  <c r="U32" i="97" s="1"/>
  <c r="AC99" i="97"/>
  <c r="L106" i="97"/>
  <c r="L100" i="97" s="1"/>
  <c r="L99" i="97" s="1"/>
  <c r="L11" i="97" s="1"/>
  <c r="L10" i="97" s="1"/>
  <c r="P11" i="97"/>
  <c r="P10" i="97" s="1"/>
  <c r="E33" i="97"/>
  <c r="E32" i="97" s="1"/>
  <c r="E11" i="97" s="1"/>
  <c r="E10" i="97" s="1"/>
  <c r="V11" i="97"/>
  <c r="V10" i="97" s="1"/>
  <c r="F11" i="97"/>
  <c r="F10" i="97" s="1"/>
  <c r="AA16" i="97"/>
  <c r="AA15" i="97" s="1"/>
  <c r="AA33" i="97"/>
  <c r="AA32" i="97" s="1"/>
  <c r="AC339" i="97"/>
  <c r="AB33" i="97"/>
  <c r="AB32" i="97" s="1"/>
  <c r="Z106" i="97"/>
  <c r="Z100" i="97" s="1"/>
  <c r="Z99" i="97" s="1"/>
  <c r="M107" i="97"/>
  <c r="M106" i="97" s="1"/>
  <c r="M100" i="97" s="1"/>
  <c r="M99" i="97" s="1"/>
  <c r="M11" i="97" s="1"/>
  <c r="M10" i="97" s="1"/>
  <c r="AA175" i="97"/>
  <c r="U175" i="97"/>
  <c r="AC72" i="97"/>
  <c r="AC32" i="97" s="1"/>
  <c r="T60" i="97"/>
  <c r="T33" i="97" s="1"/>
  <c r="T32" i="97" s="1"/>
  <c r="AG288" i="97"/>
  <c r="T277" i="97"/>
  <c r="T106" i="97" s="1"/>
  <c r="T100" i="97" s="1"/>
  <c r="T99" i="97" s="1"/>
  <c r="G107" i="97"/>
  <c r="G106" i="97" s="1"/>
  <c r="G100" i="97" s="1"/>
  <c r="G99" i="97" s="1"/>
  <c r="G11" i="97" s="1"/>
  <c r="G10" i="97" s="1"/>
  <c r="U134" i="97"/>
  <c r="AG90" i="97"/>
  <c r="AD89" i="97"/>
  <c r="AG74" i="97"/>
  <c r="AD72" i="97"/>
  <c r="AG59" i="97"/>
  <c r="AD34" i="97"/>
  <c r="AD33" i="97" s="1"/>
  <c r="AD32" i="97" s="1"/>
  <c r="AD11" i="97" l="1"/>
  <c r="AC11" i="97"/>
  <c r="Z11" i="97"/>
  <c r="Z10" i="97" s="1"/>
  <c r="T11" i="97"/>
  <c r="T10" i="97" s="1"/>
  <c r="U107" i="97"/>
  <c r="U106" i="97" s="1"/>
  <c r="U100" i="97" s="1"/>
  <c r="U99" i="97" s="1"/>
  <c r="U11" i="97" s="1"/>
  <c r="U10" i="97" s="1"/>
  <c r="AB175" i="97"/>
  <c r="AB107" i="97" s="1"/>
  <c r="AB106" i="97" s="1"/>
  <c r="AB100" i="97" s="1"/>
  <c r="AB99" i="97" s="1"/>
  <c r="AB11" i="97" s="1"/>
  <c r="AB10" i="97" s="1"/>
  <c r="AA107" i="97"/>
  <c r="AA106" i="97" s="1"/>
  <c r="AA100" i="97" s="1"/>
  <c r="AA99" i="97" s="1"/>
  <c r="AA11" i="97" s="1"/>
  <c r="AA10" i="97" s="1"/>
  <c r="J307" i="96" l="1"/>
  <c r="J306" i="96" s="1"/>
  <c r="J325" i="96"/>
  <c r="I325" i="96"/>
  <c r="H325" i="96"/>
  <c r="G325" i="96"/>
  <c r="F325" i="96"/>
  <c r="J315" i="96"/>
  <c r="I315" i="96"/>
  <c r="H315" i="96"/>
  <c r="G315" i="96"/>
  <c r="F315" i="96"/>
  <c r="I306" i="96"/>
  <c r="H306" i="96"/>
  <c r="G306" i="96"/>
  <c r="F306" i="96"/>
  <c r="J303" i="96"/>
  <c r="J302" i="96" s="1"/>
  <c r="I303" i="96"/>
  <c r="H303" i="96"/>
  <c r="H302" i="96" s="1"/>
  <c r="G303" i="96"/>
  <c r="F303" i="96"/>
  <c r="F302" i="96" s="1"/>
  <c r="I302" i="96"/>
  <c r="G302" i="96"/>
  <c r="J300" i="96"/>
  <c r="J299" i="96" s="1"/>
  <c r="I300" i="96"/>
  <c r="H300" i="96"/>
  <c r="H299" i="96" s="1"/>
  <c r="G300" i="96"/>
  <c r="F300" i="96"/>
  <c r="F299" i="96" s="1"/>
  <c r="I299" i="96"/>
  <c r="G299" i="96"/>
  <c r="J297" i="96"/>
  <c r="I297" i="96"/>
  <c r="H297" i="96"/>
  <c r="G297" i="96"/>
  <c r="F297" i="96"/>
  <c r="J295" i="96"/>
  <c r="I295" i="96"/>
  <c r="I294" i="96" s="1"/>
  <c r="H295" i="96"/>
  <c r="G295" i="96"/>
  <c r="G294" i="96" s="1"/>
  <c r="F295" i="96"/>
  <c r="J294" i="96"/>
  <c r="F294" i="96"/>
  <c r="J292" i="96"/>
  <c r="I292" i="96"/>
  <c r="H292" i="96"/>
  <c r="G292" i="96"/>
  <c r="F292" i="96"/>
  <c r="J290" i="96"/>
  <c r="J289" i="96" s="1"/>
  <c r="J288" i="96" s="1"/>
  <c r="I290" i="96"/>
  <c r="H290" i="96"/>
  <c r="H289" i="96" s="1"/>
  <c r="G290" i="96"/>
  <c r="F290" i="96"/>
  <c r="F289" i="96" s="1"/>
  <c r="F288" i="96" s="1"/>
  <c r="G289" i="96"/>
  <c r="G288" i="96" s="1"/>
  <c r="J286" i="96"/>
  <c r="J285" i="96" s="1"/>
  <c r="J271" i="96" s="1"/>
  <c r="I286" i="96"/>
  <c r="I285" i="96" s="1"/>
  <c r="H286" i="96"/>
  <c r="G286" i="96"/>
  <c r="G285" i="96" s="1"/>
  <c r="F286" i="96"/>
  <c r="F285" i="96" s="1"/>
  <c r="F271" i="96" s="1"/>
  <c r="H285" i="96"/>
  <c r="J283" i="96"/>
  <c r="I283" i="96"/>
  <c r="H283" i="96"/>
  <c r="G283" i="96"/>
  <c r="F283" i="96"/>
  <c r="J279" i="96"/>
  <c r="J278" i="96" s="1"/>
  <c r="I279" i="96"/>
  <c r="H279" i="96"/>
  <c r="H278" i="96" s="1"/>
  <c r="G279" i="96"/>
  <c r="F279" i="96"/>
  <c r="F278" i="96" s="1"/>
  <c r="I278" i="96"/>
  <c r="G278" i="96"/>
  <c r="J276" i="96"/>
  <c r="J275" i="96" s="1"/>
  <c r="I276" i="96"/>
  <c r="H276" i="96"/>
  <c r="H275" i="96" s="1"/>
  <c r="G276" i="96"/>
  <c r="F276" i="96"/>
  <c r="F275" i="96" s="1"/>
  <c r="I275" i="96"/>
  <c r="G275" i="96"/>
  <c r="J273" i="96"/>
  <c r="J272" i="96" s="1"/>
  <c r="I273" i="96"/>
  <c r="H273" i="96"/>
  <c r="H272" i="96" s="1"/>
  <c r="G273" i="96"/>
  <c r="F273" i="96"/>
  <c r="F272" i="96" s="1"/>
  <c r="I272" i="96"/>
  <c r="I271" i="96" s="1"/>
  <c r="G272" i="96"/>
  <c r="J269" i="96"/>
  <c r="I269" i="96"/>
  <c r="H269" i="96"/>
  <c r="G269" i="96"/>
  <c r="F269" i="96"/>
  <c r="J267" i="96"/>
  <c r="J266" i="96" s="1"/>
  <c r="J265" i="96" s="1"/>
  <c r="I267" i="96"/>
  <c r="H267" i="96"/>
  <c r="H266" i="96" s="1"/>
  <c r="H265" i="96" s="1"/>
  <c r="G267" i="96"/>
  <c r="F267" i="96"/>
  <c r="F266" i="96" s="1"/>
  <c r="F265" i="96" s="1"/>
  <c r="J263" i="96"/>
  <c r="I263" i="96"/>
  <c r="I262" i="96" s="1"/>
  <c r="I261" i="96" s="1"/>
  <c r="H263" i="96"/>
  <c r="G263" i="96"/>
  <c r="G262" i="96" s="1"/>
  <c r="G261" i="96" s="1"/>
  <c r="F263" i="96"/>
  <c r="J262" i="96"/>
  <c r="J261" i="96" s="1"/>
  <c r="H262" i="96"/>
  <c r="H261" i="96" s="1"/>
  <c r="F262" i="96"/>
  <c r="F261" i="96" s="1"/>
  <c r="J255" i="96"/>
  <c r="J254" i="96" s="1"/>
  <c r="I255" i="96"/>
  <c r="H255" i="96"/>
  <c r="H254" i="96" s="1"/>
  <c r="G255" i="96"/>
  <c r="G254" i="96" s="1"/>
  <c r="F255" i="96"/>
  <c r="F254" i="96" s="1"/>
  <c r="I254" i="96"/>
  <c r="J252" i="96"/>
  <c r="J251" i="96" s="1"/>
  <c r="I252" i="96"/>
  <c r="H252" i="96"/>
  <c r="H251" i="96" s="1"/>
  <c r="G252" i="96"/>
  <c r="F252" i="96"/>
  <c r="F251" i="96" s="1"/>
  <c r="I251" i="96"/>
  <c r="G251" i="96"/>
  <c r="J249" i="96"/>
  <c r="J248" i="96" s="1"/>
  <c r="I249" i="96"/>
  <c r="H249" i="96"/>
  <c r="H248" i="96" s="1"/>
  <c r="G249" i="96"/>
  <c r="G248" i="96" s="1"/>
  <c r="F249" i="96"/>
  <c r="F248" i="96" s="1"/>
  <c r="I248" i="96"/>
  <c r="J246" i="96"/>
  <c r="J245" i="96" s="1"/>
  <c r="I246" i="96"/>
  <c r="H246" i="96"/>
  <c r="H245" i="96" s="1"/>
  <c r="G246" i="96"/>
  <c r="G245" i="96" s="1"/>
  <c r="F246" i="96"/>
  <c r="F245" i="96" s="1"/>
  <c r="I245" i="96"/>
  <c r="J243" i="96"/>
  <c r="I243" i="96"/>
  <c r="I242" i="96" s="1"/>
  <c r="H243" i="96"/>
  <c r="G243" i="96"/>
  <c r="G242" i="96" s="1"/>
  <c r="F243" i="96"/>
  <c r="J242" i="96"/>
  <c r="H242" i="96"/>
  <c r="F242" i="96"/>
  <c r="J240" i="96"/>
  <c r="I240" i="96"/>
  <c r="H240" i="96"/>
  <c r="G240" i="96"/>
  <c r="F240" i="96"/>
  <c r="J238" i="96"/>
  <c r="I238" i="96"/>
  <c r="H238" i="96"/>
  <c r="G238" i="96"/>
  <c r="F238" i="96"/>
  <c r="J235" i="96"/>
  <c r="I235" i="96"/>
  <c r="I234" i="96" s="1"/>
  <c r="H235" i="96"/>
  <c r="G235" i="96"/>
  <c r="G234" i="96" s="1"/>
  <c r="F235" i="96"/>
  <c r="J234" i="96"/>
  <c r="H234" i="96"/>
  <c r="F234" i="96"/>
  <c r="J232" i="96"/>
  <c r="I232" i="96"/>
  <c r="I231" i="96" s="1"/>
  <c r="H232" i="96"/>
  <c r="G232" i="96"/>
  <c r="G231" i="96" s="1"/>
  <c r="F232" i="96"/>
  <c r="J231" i="96"/>
  <c r="H231" i="96"/>
  <c r="F231" i="96"/>
  <c r="J229" i="96"/>
  <c r="I229" i="96"/>
  <c r="H229" i="96"/>
  <c r="G229" i="96"/>
  <c r="F229" i="96"/>
  <c r="J227" i="96"/>
  <c r="J226" i="96" s="1"/>
  <c r="I227" i="96"/>
  <c r="H227" i="96"/>
  <c r="H226" i="96" s="1"/>
  <c r="G227" i="96"/>
  <c r="F227" i="96"/>
  <c r="F226" i="96" s="1"/>
  <c r="I226" i="96"/>
  <c r="G226" i="96"/>
  <c r="I225" i="96"/>
  <c r="J223" i="96"/>
  <c r="J222" i="96" s="1"/>
  <c r="I223" i="96"/>
  <c r="H223" i="96"/>
  <c r="H222" i="96" s="1"/>
  <c r="G223" i="96"/>
  <c r="F223" i="96"/>
  <c r="F222" i="96" s="1"/>
  <c r="I222" i="96"/>
  <c r="G222" i="96"/>
  <c r="J220" i="96"/>
  <c r="J219" i="96" s="1"/>
  <c r="I220" i="96"/>
  <c r="H220" i="96"/>
  <c r="G220" i="96"/>
  <c r="F220" i="96"/>
  <c r="I219" i="96"/>
  <c r="H219" i="96"/>
  <c r="G219" i="96"/>
  <c r="F219" i="96"/>
  <c r="J217" i="96"/>
  <c r="I217" i="96"/>
  <c r="I216" i="96" s="1"/>
  <c r="H217" i="96"/>
  <c r="H216" i="96" s="1"/>
  <c r="G217" i="96"/>
  <c r="G216" i="96" s="1"/>
  <c r="F217" i="96"/>
  <c r="J216" i="96"/>
  <c r="F216" i="96"/>
  <c r="J214" i="96"/>
  <c r="I214" i="96"/>
  <c r="H214" i="96"/>
  <c r="G214" i="96"/>
  <c r="F214" i="96"/>
  <c r="J210" i="96"/>
  <c r="I210" i="96"/>
  <c r="I209" i="96" s="1"/>
  <c r="H210" i="96"/>
  <c r="G210" i="96"/>
  <c r="G209" i="96" s="1"/>
  <c r="F210" i="96"/>
  <c r="J209" i="96"/>
  <c r="H209" i="96"/>
  <c r="F209" i="96"/>
  <c r="J204" i="96"/>
  <c r="J203" i="96" s="1"/>
  <c r="I204" i="96"/>
  <c r="H204" i="96"/>
  <c r="H203" i="96" s="1"/>
  <c r="G204" i="96"/>
  <c r="F204" i="96"/>
  <c r="F203" i="96" s="1"/>
  <c r="I203" i="96"/>
  <c r="G203" i="96"/>
  <c r="J201" i="96"/>
  <c r="I201" i="96"/>
  <c r="H201" i="96"/>
  <c r="G201" i="96"/>
  <c r="F201" i="96"/>
  <c r="J199" i="96"/>
  <c r="I199" i="96"/>
  <c r="H199" i="96"/>
  <c r="G199" i="96"/>
  <c r="F199" i="96"/>
  <c r="J197" i="96"/>
  <c r="I197" i="96"/>
  <c r="H197" i="96"/>
  <c r="G197" i="96"/>
  <c r="F197" i="96"/>
  <c r="J195" i="96"/>
  <c r="I195" i="96"/>
  <c r="I194" i="96" s="1"/>
  <c r="H195" i="96"/>
  <c r="G195" i="96"/>
  <c r="G194" i="96" s="1"/>
  <c r="F195" i="96"/>
  <c r="J194" i="96"/>
  <c r="F194" i="96"/>
  <c r="J192" i="96"/>
  <c r="I192" i="96"/>
  <c r="I191" i="96" s="1"/>
  <c r="H192" i="96"/>
  <c r="G192" i="96"/>
  <c r="G191" i="96" s="1"/>
  <c r="F192" i="96"/>
  <c r="J191" i="96"/>
  <c r="H191" i="96"/>
  <c r="F191" i="96"/>
  <c r="J189" i="96"/>
  <c r="I189" i="96"/>
  <c r="I188" i="96" s="1"/>
  <c r="H189" i="96"/>
  <c r="G189" i="96"/>
  <c r="G188" i="96" s="1"/>
  <c r="F189" i="96"/>
  <c r="J188" i="96"/>
  <c r="H188" i="96"/>
  <c r="F188" i="96"/>
  <c r="J185" i="96"/>
  <c r="I185" i="96"/>
  <c r="I184" i="96" s="1"/>
  <c r="H185" i="96"/>
  <c r="G185" i="96"/>
  <c r="G184" i="96" s="1"/>
  <c r="F185" i="96"/>
  <c r="J184" i="96"/>
  <c r="H184" i="96"/>
  <c r="F184" i="96"/>
  <c r="J182" i="96"/>
  <c r="I182" i="96"/>
  <c r="I181" i="96" s="1"/>
  <c r="H182" i="96"/>
  <c r="G182" i="96"/>
  <c r="G181" i="96" s="1"/>
  <c r="F182" i="96"/>
  <c r="J181" i="96"/>
  <c r="H181" i="96"/>
  <c r="F181" i="96"/>
  <c r="J177" i="96"/>
  <c r="I177" i="96"/>
  <c r="H177" i="96"/>
  <c r="G177" i="96"/>
  <c r="F177" i="96"/>
  <c r="J174" i="96"/>
  <c r="I174" i="96"/>
  <c r="H174" i="96"/>
  <c r="G174" i="96"/>
  <c r="F174" i="96"/>
  <c r="F171" i="96" s="1"/>
  <c r="J172" i="96"/>
  <c r="I172" i="96"/>
  <c r="H172" i="96"/>
  <c r="G172" i="96"/>
  <c r="F172" i="96"/>
  <c r="J171" i="96"/>
  <c r="J169" i="96"/>
  <c r="J168" i="96" s="1"/>
  <c r="I169" i="96"/>
  <c r="I168" i="96" s="1"/>
  <c r="H169" i="96"/>
  <c r="G169" i="96"/>
  <c r="G168" i="96" s="1"/>
  <c r="F169" i="96"/>
  <c r="F168" i="96" s="1"/>
  <c r="H168" i="96"/>
  <c r="J166" i="96"/>
  <c r="I166" i="96"/>
  <c r="H166" i="96"/>
  <c r="G166" i="96"/>
  <c r="F166" i="96"/>
  <c r="J164" i="96"/>
  <c r="J163" i="96" s="1"/>
  <c r="I164" i="96"/>
  <c r="H164" i="96"/>
  <c r="H163" i="96" s="1"/>
  <c r="G164" i="96"/>
  <c r="F164" i="96"/>
  <c r="F163" i="96" s="1"/>
  <c r="G163" i="96"/>
  <c r="J158" i="96"/>
  <c r="J157" i="96" s="1"/>
  <c r="I158" i="96"/>
  <c r="H158" i="96"/>
  <c r="H157" i="96" s="1"/>
  <c r="G158" i="96"/>
  <c r="F158" i="96"/>
  <c r="F157" i="96" s="1"/>
  <c r="I157" i="96"/>
  <c r="G157" i="96"/>
  <c r="J155" i="96"/>
  <c r="I155" i="96"/>
  <c r="H155" i="96"/>
  <c r="G155" i="96"/>
  <c r="F155" i="96"/>
  <c r="J153" i="96"/>
  <c r="I153" i="96"/>
  <c r="I152" i="96" s="1"/>
  <c r="H153" i="96"/>
  <c r="G153" i="96"/>
  <c r="G152" i="96" s="1"/>
  <c r="F153" i="96"/>
  <c r="J152" i="96"/>
  <c r="F152" i="96"/>
  <c r="J150" i="96"/>
  <c r="I150" i="96"/>
  <c r="I149" i="96" s="1"/>
  <c r="H150" i="96"/>
  <c r="G150" i="96"/>
  <c r="G149" i="96" s="1"/>
  <c r="F150" i="96"/>
  <c r="J149" i="96"/>
  <c r="H149" i="96"/>
  <c r="F149" i="96"/>
  <c r="J147" i="96"/>
  <c r="I147" i="96"/>
  <c r="I146" i="96" s="1"/>
  <c r="H147" i="96"/>
  <c r="G147" i="96"/>
  <c r="G146" i="96" s="1"/>
  <c r="F147" i="96"/>
  <c r="J146" i="96"/>
  <c r="H146" i="96"/>
  <c r="F146" i="96"/>
  <c r="J144" i="96"/>
  <c r="I144" i="96"/>
  <c r="H144" i="96"/>
  <c r="G144" i="96"/>
  <c r="F144" i="96"/>
  <c r="J142" i="96"/>
  <c r="J141" i="96" s="1"/>
  <c r="I142" i="96"/>
  <c r="H142" i="96"/>
  <c r="H141" i="96" s="1"/>
  <c r="G142" i="96"/>
  <c r="F142" i="96"/>
  <c r="F141" i="96" s="1"/>
  <c r="I141" i="96"/>
  <c r="G141" i="96"/>
  <c r="J139" i="96"/>
  <c r="J138" i="96" s="1"/>
  <c r="I139" i="96"/>
  <c r="H139" i="96"/>
  <c r="H138" i="96" s="1"/>
  <c r="G139" i="96"/>
  <c r="G138" i="96" s="1"/>
  <c r="F139" i="96"/>
  <c r="F138" i="96" s="1"/>
  <c r="I138" i="96"/>
  <c r="J136" i="96"/>
  <c r="J135" i="96" s="1"/>
  <c r="I136" i="96"/>
  <c r="H136" i="96"/>
  <c r="H135" i="96" s="1"/>
  <c r="G136" i="96"/>
  <c r="F136" i="96"/>
  <c r="F135" i="96" s="1"/>
  <c r="I135" i="96"/>
  <c r="G135" i="96"/>
  <c r="J132" i="96"/>
  <c r="I132" i="96"/>
  <c r="H132" i="96"/>
  <c r="G132" i="96"/>
  <c r="F132" i="96"/>
  <c r="J128" i="96"/>
  <c r="I128" i="96"/>
  <c r="I127" i="96" s="1"/>
  <c r="H128" i="96"/>
  <c r="G128" i="96"/>
  <c r="G127" i="96" s="1"/>
  <c r="F128" i="96"/>
  <c r="J127" i="96"/>
  <c r="H127" i="96"/>
  <c r="F127" i="96"/>
  <c r="J125" i="96"/>
  <c r="I125" i="96"/>
  <c r="I124" i="96" s="1"/>
  <c r="H125" i="96"/>
  <c r="G125" i="96"/>
  <c r="G124" i="96" s="1"/>
  <c r="F125" i="96"/>
  <c r="J124" i="96"/>
  <c r="H124" i="96"/>
  <c r="F124" i="96"/>
  <c r="J122" i="96"/>
  <c r="I122" i="96"/>
  <c r="I121" i="96" s="1"/>
  <c r="H122" i="96"/>
  <c r="G122" i="96"/>
  <c r="G121" i="96" s="1"/>
  <c r="F122" i="96"/>
  <c r="J121" i="96"/>
  <c r="H121" i="96"/>
  <c r="F121" i="96"/>
  <c r="J119" i="96"/>
  <c r="I119" i="96"/>
  <c r="I118" i="96" s="1"/>
  <c r="H119" i="96"/>
  <c r="G119" i="96"/>
  <c r="G118" i="96" s="1"/>
  <c r="F119" i="96"/>
  <c r="J118" i="96"/>
  <c r="H118" i="96"/>
  <c r="F118" i="96"/>
  <c r="J116" i="96"/>
  <c r="I116" i="96"/>
  <c r="I115" i="96" s="1"/>
  <c r="H116" i="96"/>
  <c r="G116" i="96"/>
  <c r="G115" i="96" s="1"/>
  <c r="F116" i="96"/>
  <c r="J115" i="96"/>
  <c r="H115" i="96"/>
  <c r="F115" i="96"/>
  <c r="J111" i="96"/>
  <c r="I111" i="96"/>
  <c r="H111" i="96"/>
  <c r="G111" i="96"/>
  <c r="F111" i="96"/>
  <c r="J105" i="96"/>
  <c r="J104" i="96" s="1"/>
  <c r="I105" i="96"/>
  <c r="H105" i="96"/>
  <c r="H104" i="96" s="1"/>
  <c r="G105" i="96"/>
  <c r="F105" i="96"/>
  <c r="F104" i="96" s="1"/>
  <c r="I104" i="96"/>
  <c r="G104" i="96"/>
  <c r="J100" i="96"/>
  <c r="I100" i="96"/>
  <c r="I96" i="96" s="1"/>
  <c r="H100" i="96"/>
  <c r="G100" i="96"/>
  <c r="G96" i="96" s="1"/>
  <c r="F100" i="96"/>
  <c r="J97" i="96"/>
  <c r="J96" i="96" s="1"/>
  <c r="I97" i="96"/>
  <c r="H97" i="96"/>
  <c r="H96" i="96" s="1"/>
  <c r="G97" i="96"/>
  <c r="F97" i="96"/>
  <c r="F96" i="96" s="1"/>
  <c r="J94" i="96"/>
  <c r="I94" i="96"/>
  <c r="H94" i="96"/>
  <c r="G94" i="96"/>
  <c r="F94" i="96"/>
  <c r="J91" i="96"/>
  <c r="I91" i="96"/>
  <c r="H91" i="96"/>
  <c r="G91" i="96"/>
  <c r="G90" i="96" s="1"/>
  <c r="F91" i="96"/>
  <c r="I90" i="96"/>
  <c r="J88" i="96"/>
  <c r="I88" i="96"/>
  <c r="H88" i="96"/>
  <c r="G88" i="96"/>
  <c r="F88" i="96"/>
  <c r="J86" i="96"/>
  <c r="I86" i="96"/>
  <c r="H86" i="96"/>
  <c r="G86" i="96"/>
  <c r="F86" i="96"/>
  <c r="J83" i="96"/>
  <c r="J82" i="96" s="1"/>
  <c r="I83" i="96"/>
  <c r="H83" i="96"/>
  <c r="H82" i="96" s="1"/>
  <c r="G83" i="96"/>
  <c r="F83" i="96"/>
  <c r="F82" i="96" s="1"/>
  <c r="I82" i="96"/>
  <c r="G82" i="96"/>
  <c r="J79" i="96"/>
  <c r="I79" i="96"/>
  <c r="H79" i="96"/>
  <c r="G79" i="96"/>
  <c r="F79" i="96"/>
  <c r="J76" i="96"/>
  <c r="J75" i="96" s="1"/>
  <c r="I76" i="96"/>
  <c r="H76" i="96"/>
  <c r="G76" i="96"/>
  <c r="F76" i="96"/>
  <c r="F75" i="96" s="1"/>
  <c r="H75" i="96"/>
  <c r="J73" i="96"/>
  <c r="I73" i="96"/>
  <c r="H73" i="96"/>
  <c r="G73" i="96"/>
  <c r="F73" i="96"/>
  <c r="J70" i="96"/>
  <c r="I70" i="96"/>
  <c r="H70" i="96"/>
  <c r="G70" i="96"/>
  <c r="F70" i="96"/>
  <c r="J67" i="96"/>
  <c r="I67" i="96"/>
  <c r="I66" i="96" s="1"/>
  <c r="H67" i="96"/>
  <c r="G67" i="96"/>
  <c r="G66" i="96" s="1"/>
  <c r="F67" i="96"/>
  <c r="J66" i="96"/>
  <c r="H66" i="96"/>
  <c r="F66" i="96"/>
  <c r="J64" i="96"/>
  <c r="I64" i="96"/>
  <c r="H64" i="96"/>
  <c r="G64" i="96"/>
  <c r="F64" i="96"/>
  <c r="J60" i="96"/>
  <c r="J59" i="96" s="1"/>
  <c r="I60" i="96"/>
  <c r="H60" i="96"/>
  <c r="H59" i="96" s="1"/>
  <c r="G60" i="96"/>
  <c r="F60" i="96"/>
  <c r="F59" i="96" s="1"/>
  <c r="I59" i="96"/>
  <c r="G59" i="96"/>
  <c r="J57" i="96"/>
  <c r="I57" i="96"/>
  <c r="H57" i="96"/>
  <c r="G57" i="96"/>
  <c r="F57" i="96"/>
  <c r="J55" i="96"/>
  <c r="I55" i="96"/>
  <c r="H55" i="96"/>
  <c r="G55" i="96"/>
  <c r="F55" i="96"/>
  <c r="J53" i="96"/>
  <c r="J52" i="96" s="1"/>
  <c r="I53" i="96"/>
  <c r="H53" i="96"/>
  <c r="H52" i="96" s="1"/>
  <c r="G53" i="96"/>
  <c r="F53" i="96"/>
  <c r="F52" i="96" s="1"/>
  <c r="I52" i="96"/>
  <c r="G52" i="96"/>
  <c r="J50" i="96"/>
  <c r="I50" i="96"/>
  <c r="H50" i="96"/>
  <c r="G50" i="96"/>
  <c r="F50" i="96"/>
  <c r="J46" i="96"/>
  <c r="I46" i="96"/>
  <c r="H46" i="96"/>
  <c r="G46" i="96"/>
  <c r="F46" i="96"/>
  <c r="J44" i="96"/>
  <c r="J43" i="96" s="1"/>
  <c r="I44" i="96"/>
  <c r="H44" i="96"/>
  <c r="H43" i="96" s="1"/>
  <c r="G44" i="96"/>
  <c r="F44" i="96"/>
  <c r="F43" i="96" s="1"/>
  <c r="I43" i="96"/>
  <c r="G43" i="96"/>
  <c r="J41" i="96"/>
  <c r="J40" i="96" s="1"/>
  <c r="I41" i="96"/>
  <c r="H41" i="96"/>
  <c r="H40" i="96" s="1"/>
  <c r="G41" i="96"/>
  <c r="G40" i="96" s="1"/>
  <c r="F41" i="96"/>
  <c r="F40" i="96" s="1"/>
  <c r="I40" i="96"/>
  <c r="J38" i="96"/>
  <c r="J37" i="96" s="1"/>
  <c r="I38" i="96"/>
  <c r="H38" i="96"/>
  <c r="H37" i="96" s="1"/>
  <c r="G38" i="96"/>
  <c r="F38" i="96"/>
  <c r="F37" i="96" s="1"/>
  <c r="I37" i="96"/>
  <c r="G37" i="96"/>
  <c r="J35" i="96"/>
  <c r="I35" i="96"/>
  <c r="H35" i="96"/>
  <c r="G35" i="96"/>
  <c r="F35" i="96"/>
  <c r="J31" i="96"/>
  <c r="I31" i="96"/>
  <c r="H31" i="96"/>
  <c r="G31" i="96"/>
  <c r="F31" i="96"/>
  <c r="J23" i="96"/>
  <c r="J22" i="96" s="1"/>
  <c r="I23" i="96"/>
  <c r="H23" i="96"/>
  <c r="H22" i="96" s="1"/>
  <c r="G23" i="96"/>
  <c r="F23" i="96"/>
  <c r="F22" i="96" s="1"/>
  <c r="I22" i="96"/>
  <c r="G22" i="96"/>
  <c r="J19" i="96"/>
  <c r="J18" i="96" s="1"/>
  <c r="I19" i="96"/>
  <c r="H19" i="96"/>
  <c r="H18" i="96" s="1"/>
  <c r="G19" i="96"/>
  <c r="F19" i="96"/>
  <c r="F18" i="96" s="1"/>
  <c r="I18" i="96"/>
  <c r="G18" i="96"/>
  <c r="J16" i="96"/>
  <c r="J15" i="96" s="1"/>
  <c r="I16" i="96"/>
  <c r="H16" i="96"/>
  <c r="H15" i="96" s="1"/>
  <c r="G16" i="96"/>
  <c r="F16" i="96"/>
  <c r="F15" i="96" s="1"/>
  <c r="I15" i="96"/>
  <c r="I14" i="96" s="1"/>
  <c r="G15" i="96"/>
  <c r="G14" i="96" s="1"/>
  <c r="J12" i="96"/>
  <c r="I12" i="96"/>
  <c r="I9" i="96" s="1"/>
  <c r="I8" i="96" s="1"/>
  <c r="H12" i="96"/>
  <c r="G12" i="96"/>
  <c r="F12" i="96"/>
  <c r="J10" i="96"/>
  <c r="J9" i="96" s="1"/>
  <c r="J8" i="96" s="1"/>
  <c r="I10" i="96"/>
  <c r="H10" i="96"/>
  <c r="H9" i="96" s="1"/>
  <c r="H8" i="96" s="1"/>
  <c r="G10" i="96"/>
  <c r="F10" i="96"/>
  <c r="F9" i="96" s="1"/>
  <c r="F8" i="96" s="1"/>
  <c r="G9" i="96"/>
  <c r="G8" i="96" s="1"/>
  <c r="E6" i="96"/>
  <c r="M41" i="26"/>
  <c r="C41" i="26" s="1"/>
  <c r="D44" i="25" s="1"/>
  <c r="C44" i="25" s="1"/>
  <c r="C37" i="26"/>
  <c r="D69" i="25" s="1"/>
  <c r="G75" i="96" l="1"/>
  <c r="I75" i="96"/>
  <c r="F90" i="96"/>
  <c r="F21" i="96" s="1"/>
  <c r="H90" i="96"/>
  <c r="J90" i="96"/>
  <c r="J21" i="96" s="1"/>
  <c r="I163" i="96"/>
  <c r="H194" i="96"/>
  <c r="G208" i="96"/>
  <c r="G266" i="96"/>
  <c r="G265" i="96" s="1"/>
  <c r="I266" i="96"/>
  <c r="I265" i="96" s="1"/>
  <c r="H294" i="96"/>
  <c r="H288" i="96" s="1"/>
  <c r="H152" i="96"/>
  <c r="H171" i="96"/>
  <c r="H271" i="96"/>
  <c r="I289" i="96"/>
  <c r="I288" i="96" s="1"/>
  <c r="I21" i="96"/>
  <c r="I7" i="96" s="1"/>
  <c r="F14" i="96"/>
  <c r="F7" i="96" s="1"/>
  <c r="H14" i="96"/>
  <c r="H7" i="96" s="1"/>
  <c r="J14" i="96"/>
  <c r="J7" i="96" s="1"/>
  <c r="G21" i="96"/>
  <c r="G7" i="96" s="1"/>
  <c r="F103" i="96"/>
  <c r="H103" i="96"/>
  <c r="J103" i="96"/>
  <c r="F208" i="96"/>
  <c r="I208" i="96"/>
  <c r="G225" i="96"/>
  <c r="F225" i="96"/>
  <c r="H225" i="96"/>
  <c r="J225" i="96"/>
  <c r="G271" i="96"/>
  <c r="H21" i="96"/>
  <c r="G171" i="96"/>
  <c r="G103" i="96" s="1"/>
  <c r="I171" i="96"/>
  <c r="I103" i="96" s="1"/>
  <c r="J208" i="96"/>
  <c r="H208" i="96"/>
  <c r="T13" i="77"/>
  <c r="T9" i="77"/>
  <c r="S9" i="77"/>
  <c r="S8" i="77" s="1"/>
  <c r="P9" i="77"/>
  <c r="T8" i="77" l="1"/>
  <c r="G5" i="76"/>
  <c r="E5" i="76"/>
  <c r="P43" i="77" l="1"/>
  <c r="C48" i="77"/>
  <c r="M24" i="77"/>
  <c r="M16" i="77"/>
  <c r="C56" i="77" l="1"/>
  <c r="M17" i="77"/>
  <c r="I30" i="80" l="1"/>
  <c r="G30" i="80"/>
  <c r="C30" i="80"/>
  <c r="I60" i="80" l="1"/>
  <c r="I59" i="80" s="1"/>
  <c r="G60" i="80"/>
  <c r="G59" i="80" s="1"/>
  <c r="F108" i="25" l="1"/>
  <c r="S34" i="77" l="1"/>
  <c r="H17" i="70"/>
  <c r="C35" i="77" l="1"/>
  <c r="Q18" i="77"/>
  <c r="V18" i="52"/>
  <c r="A2" i="86" l="1"/>
  <c r="A2" i="87"/>
  <c r="M30" i="68" l="1"/>
  <c r="J53" i="80"/>
  <c r="J11" i="80" l="1"/>
  <c r="J12" i="80"/>
  <c r="J13" i="80"/>
  <c r="J15" i="80"/>
  <c r="J16" i="80"/>
  <c r="J18" i="80"/>
  <c r="J19" i="80"/>
  <c r="J20" i="80"/>
  <c r="J22" i="80"/>
  <c r="J23" i="80"/>
  <c r="J24" i="80"/>
  <c r="J25" i="80"/>
  <c r="J27" i="80"/>
  <c r="J28" i="80"/>
  <c r="J30" i="80"/>
  <c r="J32" i="80"/>
  <c r="J33" i="80"/>
  <c r="J34" i="80"/>
  <c r="J35" i="80"/>
  <c r="J36" i="80"/>
  <c r="J38" i="80"/>
  <c r="J39" i="80"/>
  <c r="J40" i="80"/>
  <c r="J42" i="80"/>
  <c r="J43" i="80"/>
  <c r="J45" i="80"/>
  <c r="J46" i="80"/>
  <c r="J47" i="80"/>
  <c r="J48" i="80"/>
  <c r="J49" i="80"/>
  <c r="J50" i="80"/>
  <c r="J51" i="80"/>
  <c r="J52" i="80"/>
  <c r="J55" i="80"/>
  <c r="J56" i="80"/>
  <c r="J57" i="80"/>
  <c r="J58" i="80"/>
  <c r="J59" i="80"/>
  <c r="J60" i="80"/>
  <c r="J9" i="80"/>
  <c r="D54" i="80"/>
  <c r="E54" i="80"/>
  <c r="F54" i="80"/>
  <c r="G54" i="80"/>
  <c r="H54" i="80"/>
  <c r="I54" i="80"/>
  <c r="C54" i="80"/>
  <c r="J54" i="80" s="1"/>
  <c r="D49" i="80"/>
  <c r="E49" i="80"/>
  <c r="F49" i="80"/>
  <c r="G49" i="80"/>
  <c r="H49" i="80"/>
  <c r="I49" i="80"/>
  <c r="C49" i="80"/>
  <c r="D44" i="80"/>
  <c r="E44" i="80"/>
  <c r="F44" i="80"/>
  <c r="G44" i="80"/>
  <c r="H44" i="80"/>
  <c r="I44" i="80"/>
  <c r="C44" i="80"/>
  <c r="J44" i="80" s="1"/>
  <c r="D41" i="80"/>
  <c r="E41" i="80"/>
  <c r="F41" i="80"/>
  <c r="G41" i="80"/>
  <c r="H41" i="80"/>
  <c r="I41" i="80"/>
  <c r="C41" i="80"/>
  <c r="J41" i="80" s="1"/>
  <c r="D37" i="80"/>
  <c r="E37" i="80"/>
  <c r="F37" i="80"/>
  <c r="G37" i="80"/>
  <c r="H37" i="80"/>
  <c r="I37" i="80"/>
  <c r="C37" i="80"/>
  <c r="J37" i="80" s="1"/>
  <c r="D31" i="80"/>
  <c r="E31" i="80"/>
  <c r="F31" i="80"/>
  <c r="G31" i="80"/>
  <c r="H31" i="80"/>
  <c r="I31" i="80"/>
  <c r="C31" i="80"/>
  <c r="J31" i="80" s="1"/>
  <c r="D29" i="80"/>
  <c r="E29" i="80"/>
  <c r="F29" i="80"/>
  <c r="G29" i="80"/>
  <c r="H29" i="80"/>
  <c r="I29" i="80"/>
  <c r="C29" i="80"/>
  <c r="J29" i="80" s="1"/>
  <c r="D26" i="80"/>
  <c r="E26" i="80"/>
  <c r="F26" i="80"/>
  <c r="G26" i="80"/>
  <c r="H26" i="80"/>
  <c r="I26" i="80"/>
  <c r="C26" i="80"/>
  <c r="J26" i="80" s="1"/>
  <c r="D21" i="80"/>
  <c r="E21" i="80"/>
  <c r="F21" i="80"/>
  <c r="G21" i="80"/>
  <c r="H21" i="80"/>
  <c r="C21" i="80"/>
  <c r="J21" i="80" s="1"/>
  <c r="D17" i="80"/>
  <c r="E17" i="80"/>
  <c r="F17" i="80"/>
  <c r="G17" i="80"/>
  <c r="H17" i="80"/>
  <c r="C17" i="80"/>
  <c r="J17" i="80" s="1"/>
  <c r="D14" i="80"/>
  <c r="E14" i="80"/>
  <c r="F14" i="80"/>
  <c r="H14" i="80"/>
  <c r="I14" i="80"/>
  <c r="I8" i="80" s="1"/>
  <c r="C14" i="80"/>
  <c r="D10" i="80"/>
  <c r="E10" i="80"/>
  <c r="F10" i="80"/>
  <c r="G10" i="80"/>
  <c r="H10" i="80"/>
  <c r="I10" i="80"/>
  <c r="C10" i="80"/>
  <c r="J10" i="80" s="1"/>
  <c r="D8" i="80" l="1"/>
  <c r="C8" i="80"/>
  <c r="H8" i="80"/>
  <c r="G8" i="80"/>
  <c r="E8" i="80"/>
  <c r="F8" i="80"/>
  <c r="J14" i="80"/>
  <c r="H25" i="67"/>
  <c r="G17" i="87" l="1"/>
  <c r="F17" i="87"/>
  <c r="I36" i="85"/>
  <c r="I28" i="85" s="1"/>
  <c r="G23" i="89"/>
  <c r="F23" i="89"/>
  <c r="H36" i="85"/>
  <c r="J36" i="85"/>
  <c r="C59" i="77" l="1"/>
  <c r="V60" i="77" s="1"/>
  <c r="M20" i="77" l="1"/>
  <c r="H27" i="68" l="1"/>
  <c r="G22" i="68"/>
  <c r="D126" i="55"/>
  <c r="D41" i="54"/>
  <c r="G25" i="53"/>
  <c r="G19" i="53"/>
  <c r="Q57" i="56"/>
  <c r="E52" i="65" l="1"/>
  <c r="D47" i="79"/>
  <c r="AC186" i="84"/>
  <c r="AC187" i="84"/>
  <c r="AC188" i="84"/>
  <c r="AC189" i="84"/>
  <c r="AC190" i="84"/>
  <c r="AC191" i="84"/>
  <c r="AC192" i="84"/>
  <c r="AC193" i="84"/>
  <c r="AD185" i="84"/>
  <c r="AC185" i="84" s="1"/>
  <c r="AC184" i="84" s="1"/>
  <c r="AC175" i="84"/>
  <c r="AC154" i="84"/>
  <c r="AC155" i="84"/>
  <c r="AC156" i="84"/>
  <c r="AC157" i="84"/>
  <c r="AC158" i="84"/>
  <c r="AC159" i="84"/>
  <c r="AC160" i="84"/>
  <c r="AC161" i="84"/>
  <c r="AC164" i="84"/>
  <c r="AC167" i="84"/>
  <c r="AC168" i="84"/>
  <c r="AC169" i="84"/>
  <c r="AC170" i="84"/>
  <c r="AC171" i="84"/>
  <c r="AC172" i="84"/>
  <c r="AC173" i="84"/>
  <c r="AD184" i="84" l="1"/>
  <c r="AD142" i="84"/>
  <c r="AC144" i="84"/>
  <c r="AC145" i="84"/>
  <c r="AC146" i="84"/>
  <c r="AC147" i="84"/>
  <c r="AC148" i="84"/>
  <c r="AC149" i="84"/>
  <c r="AC150" i="84"/>
  <c r="AC143" i="84"/>
  <c r="AD166" i="84"/>
  <c r="AD163" i="84"/>
  <c r="AD153" i="84"/>
  <c r="AD141" i="84"/>
  <c r="M141" i="84"/>
  <c r="AA141" i="84" s="1"/>
  <c r="AB141" i="84" s="1"/>
  <c r="L141" i="84"/>
  <c r="Z141" i="84" s="1"/>
  <c r="AD140" i="84"/>
  <c r="AA140" i="84"/>
  <c r="AB140" i="84" s="1"/>
  <c r="Z140" i="84"/>
  <c r="AD139" i="84"/>
  <c r="M139" i="84"/>
  <c r="AA139" i="84" s="1"/>
  <c r="AB139" i="84" s="1"/>
  <c r="L139" i="84"/>
  <c r="Z139" i="84" s="1"/>
  <c r="AD138" i="84"/>
  <c r="M138" i="84"/>
  <c r="AA138" i="84" s="1"/>
  <c r="AB138" i="84" s="1"/>
  <c r="L138" i="84"/>
  <c r="Z138" i="84" s="1"/>
  <c r="AD137" i="84"/>
  <c r="M137" i="84"/>
  <c r="AA137" i="84" s="1"/>
  <c r="AB137" i="84" s="1"/>
  <c r="L137" i="84"/>
  <c r="Z137" i="84" s="1"/>
  <c r="AD136" i="84"/>
  <c r="AA136" i="84"/>
  <c r="AB136" i="84" s="1"/>
  <c r="Z136" i="84"/>
  <c r="AD135" i="84"/>
  <c r="M135" i="84"/>
  <c r="AA135" i="84" s="1"/>
  <c r="AB135" i="84" s="1"/>
  <c r="L135" i="84"/>
  <c r="Z135" i="84" s="1"/>
  <c r="AD134" i="84"/>
  <c r="AD133" i="84" s="1"/>
  <c r="M134" i="84"/>
  <c r="AA134" i="84" s="1"/>
  <c r="L134" i="84"/>
  <c r="Z134" i="84" s="1"/>
  <c r="Z133" i="84" s="1"/>
  <c r="AF133" i="84"/>
  <c r="AE133" i="84"/>
  <c r="AC133" i="84"/>
  <c r="Y133" i="84"/>
  <c r="X133" i="84"/>
  <c r="W133" i="84"/>
  <c r="V133" i="84"/>
  <c r="S133" i="84"/>
  <c r="R133" i="84"/>
  <c r="Q133" i="84"/>
  <c r="P133" i="84"/>
  <c r="O133" i="84"/>
  <c r="N133" i="84"/>
  <c r="L133" i="84"/>
  <c r="K133" i="84"/>
  <c r="J133" i="84"/>
  <c r="I133" i="84"/>
  <c r="H133" i="84"/>
  <c r="G133" i="84"/>
  <c r="F133" i="84"/>
  <c r="E133" i="84"/>
  <c r="D133" i="84"/>
  <c r="AF132" i="84"/>
  <c r="AE132" i="84"/>
  <c r="AD132" i="84"/>
  <c r="AC132" i="84"/>
  <c r="AB132" i="84"/>
  <c r="AA132" i="84"/>
  <c r="Z132" i="84"/>
  <c r="Y132" i="84"/>
  <c r="X132" i="84"/>
  <c r="W132" i="84"/>
  <c r="V132" i="84"/>
  <c r="U132" i="84"/>
  <c r="T132" i="84"/>
  <c r="S132" i="84"/>
  <c r="R132" i="84"/>
  <c r="Q132" i="84"/>
  <c r="P132" i="84"/>
  <c r="O132" i="84"/>
  <c r="N132" i="84"/>
  <c r="M132" i="84"/>
  <c r="L132" i="84"/>
  <c r="K132" i="84"/>
  <c r="J132" i="84"/>
  <c r="I132" i="84"/>
  <c r="H132" i="84"/>
  <c r="G132" i="84"/>
  <c r="F132" i="84"/>
  <c r="E132" i="84"/>
  <c r="D132" i="84"/>
  <c r="AA131" i="84"/>
  <c r="AB131" i="84" s="1"/>
  <c r="AH131" i="84" s="1"/>
  <c r="Z131" i="84"/>
  <c r="U131" i="84"/>
  <c r="T131" i="84"/>
  <c r="AA130" i="84"/>
  <c r="AB130" i="84" s="1"/>
  <c r="AH130" i="84" s="1"/>
  <c r="Z130" i="84"/>
  <c r="U130" i="84"/>
  <c r="T130" i="84"/>
  <c r="AG130" i="84" s="1"/>
  <c r="E130" i="84"/>
  <c r="AA129" i="84"/>
  <c r="AB129" i="84" s="1"/>
  <c r="AH129" i="84" s="1"/>
  <c r="Z129" i="84"/>
  <c r="U129" i="84"/>
  <c r="T129" i="84"/>
  <c r="AG129" i="84" s="1"/>
  <c r="AF128" i="84"/>
  <c r="AA128" i="84"/>
  <c r="AB128" i="84" s="1"/>
  <c r="AH128" i="84" s="1"/>
  <c r="Z128" i="84"/>
  <c r="U128" i="84"/>
  <c r="T128" i="84"/>
  <c r="AG128" i="84" s="1"/>
  <c r="E128" i="84"/>
  <c r="AA127" i="84"/>
  <c r="AB127" i="84" s="1"/>
  <c r="AH127" i="84" s="1"/>
  <c r="Z127" i="84"/>
  <c r="U127" i="84"/>
  <c r="T127" i="84"/>
  <c r="AG127" i="84" s="1"/>
  <c r="E127" i="84"/>
  <c r="AA126" i="84"/>
  <c r="AB126" i="84" s="1"/>
  <c r="AH126" i="84" s="1"/>
  <c r="Z126" i="84"/>
  <c r="U126" i="84"/>
  <c r="T126" i="84"/>
  <c r="AG126" i="84" s="1"/>
  <c r="E126" i="84"/>
  <c r="E123" i="84" s="1"/>
  <c r="AF125" i="84"/>
  <c r="AA125" i="84"/>
  <c r="AB125" i="84" s="1"/>
  <c r="AH125" i="84" s="1"/>
  <c r="Z125" i="84"/>
  <c r="V125" i="84"/>
  <c r="U125" i="84"/>
  <c r="T125" i="84"/>
  <c r="AG125" i="84" s="1"/>
  <c r="AA124" i="84"/>
  <c r="AB124" i="84" s="1"/>
  <c r="Z124" i="84"/>
  <c r="G124" i="84"/>
  <c r="U124" i="84" s="1"/>
  <c r="F124" i="84"/>
  <c r="T124" i="84" s="1"/>
  <c r="AF123" i="84"/>
  <c r="AE123" i="84"/>
  <c r="AD123" i="84"/>
  <c r="AC123" i="84"/>
  <c r="Z123" i="84"/>
  <c r="Y123" i="84"/>
  <c r="X123" i="84"/>
  <c r="W123" i="84"/>
  <c r="V123" i="84"/>
  <c r="S123" i="84"/>
  <c r="R123" i="84"/>
  <c r="Q123" i="84"/>
  <c r="P123" i="84"/>
  <c r="O123" i="84"/>
  <c r="N123" i="84"/>
  <c r="M123" i="84"/>
  <c r="L123" i="84"/>
  <c r="K123" i="84"/>
  <c r="J123" i="84"/>
  <c r="I123" i="84"/>
  <c r="H123" i="84"/>
  <c r="G123" i="84"/>
  <c r="F123" i="84"/>
  <c r="D123" i="84"/>
  <c r="AA122" i="84"/>
  <c r="AB122" i="84" s="1"/>
  <c r="AH122" i="84" s="1"/>
  <c r="Z122" i="84"/>
  <c r="U122" i="84"/>
  <c r="T122" i="84"/>
  <c r="AG122" i="84" s="1"/>
  <c r="E122" i="84"/>
  <c r="AA121" i="84"/>
  <c r="AB121" i="84" s="1"/>
  <c r="AH121" i="84" s="1"/>
  <c r="Z121" i="84"/>
  <c r="U121" i="84"/>
  <c r="T121" i="84"/>
  <c r="AG121" i="84" s="1"/>
  <c r="AA120" i="84"/>
  <c r="AB120" i="84" s="1"/>
  <c r="AH120" i="84" s="1"/>
  <c r="Z120" i="84"/>
  <c r="U120" i="84"/>
  <c r="T120" i="84"/>
  <c r="AG120" i="84" s="1"/>
  <c r="AF119" i="84"/>
  <c r="AA119" i="84"/>
  <c r="AB119" i="84" s="1"/>
  <c r="AH119" i="84" s="1"/>
  <c r="Z119" i="84"/>
  <c r="U119" i="84"/>
  <c r="T119" i="84"/>
  <c r="AG119" i="84" s="1"/>
  <c r="AA118" i="84"/>
  <c r="AB118" i="84" s="1"/>
  <c r="AH118" i="84" s="1"/>
  <c r="Z118" i="84"/>
  <c r="U118" i="84"/>
  <c r="T118" i="84"/>
  <c r="AG118" i="84" s="1"/>
  <c r="AA117" i="84"/>
  <c r="AB117" i="84" s="1"/>
  <c r="AH117" i="84" s="1"/>
  <c r="U117" i="84"/>
  <c r="H117" i="84"/>
  <c r="Z117" i="84" s="1"/>
  <c r="AA116" i="84"/>
  <c r="AB116" i="84" s="1"/>
  <c r="AH116" i="84" s="1"/>
  <c r="U116" i="84"/>
  <c r="L116" i="84"/>
  <c r="L104" i="84" s="1"/>
  <c r="L65" i="84" s="1"/>
  <c r="H116" i="84"/>
  <c r="E116" i="84"/>
  <c r="AA115" i="84"/>
  <c r="AB115" i="84" s="1"/>
  <c r="AH115" i="84" s="1"/>
  <c r="Z115" i="84"/>
  <c r="U115" i="84"/>
  <c r="T115" i="84"/>
  <c r="AG115" i="84" s="1"/>
  <c r="AF114" i="84"/>
  <c r="AA114" i="84"/>
  <c r="AB114" i="84" s="1"/>
  <c r="AH114" i="84" s="1"/>
  <c r="Z114" i="84"/>
  <c r="U114" i="84"/>
  <c r="T114" i="84"/>
  <c r="AG114" i="84" s="1"/>
  <c r="AF113" i="84"/>
  <c r="AA113" i="84"/>
  <c r="AB113" i="84" s="1"/>
  <c r="AH113" i="84" s="1"/>
  <c r="Z113" i="84"/>
  <c r="U113" i="84"/>
  <c r="T113" i="84"/>
  <c r="AG113" i="84" s="1"/>
  <c r="AA112" i="84"/>
  <c r="AB112" i="84" s="1"/>
  <c r="AH112" i="84" s="1"/>
  <c r="Z112" i="84"/>
  <c r="U112" i="84"/>
  <c r="T112" i="84"/>
  <c r="AG112" i="84" s="1"/>
  <c r="AA111" i="84"/>
  <c r="AB111" i="84" s="1"/>
  <c r="AH111" i="84" s="1"/>
  <c r="Z111" i="84"/>
  <c r="U111" i="84"/>
  <c r="T111" i="84"/>
  <c r="AG111" i="84" s="1"/>
  <c r="AA110" i="84"/>
  <c r="AB110" i="84" s="1"/>
  <c r="AH110" i="84" s="1"/>
  <c r="Z110" i="84"/>
  <c r="U110" i="84"/>
  <c r="T110" i="84"/>
  <c r="AG110" i="84" s="1"/>
  <c r="E110" i="84"/>
  <c r="AA109" i="84"/>
  <c r="AB109" i="84" s="1"/>
  <c r="AH109" i="84" s="1"/>
  <c r="Z109" i="84"/>
  <c r="U109" i="84"/>
  <c r="T109" i="84"/>
  <c r="AG109" i="84" s="1"/>
  <c r="AA108" i="84"/>
  <c r="AB108" i="84" s="1"/>
  <c r="AH108" i="84" s="1"/>
  <c r="Z108" i="84"/>
  <c r="U108" i="84"/>
  <c r="T108" i="84"/>
  <c r="AG108" i="84" s="1"/>
  <c r="AA107" i="84"/>
  <c r="AB107" i="84" s="1"/>
  <c r="AH107" i="84" s="1"/>
  <c r="Z107" i="84"/>
  <c r="U107" i="84"/>
  <c r="T107" i="84"/>
  <c r="AF106" i="84"/>
  <c r="AA106" i="84"/>
  <c r="AB106" i="84" s="1"/>
  <c r="AH106" i="84" s="1"/>
  <c r="Z106" i="84"/>
  <c r="U106" i="84"/>
  <c r="T106" i="84"/>
  <c r="AG106" i="84" s="1"/>
  <c r="AF105" i="84"/>
  <c r="AA105" i="84"/>
  <c r="AB105" i="84" s="1"/>
  <c r="Z105" i="84"/>
  <c r="U105" i="84"/>
  <c r="AG105" i="84" s="1"/>
  <c r="T105" i="84"/>
  <c r="AF104" i="84"/>
  <c r="AE104" i="84"/>
  <c r="AD104" i="84"/>
  <c r="AC104" i="84"/>
  <c r="Y104" i="84"/>
  <c r="X104" i="84"/>
  <c r="W104" i="84"/>
  <c r="V104" i="84"/>
  <c r="S104" i="84"/>
  <c r="R104" i="84"/>
  <c r="Q104" i="84"/>
  <c r="P104" i="84"/>
  <c r="O104" i="84"/>
  <c r="N104" i="84"/>
  <c r="M104" i="84"/>
  <c r="K104" i="84"/>
  <c r="J104" i="84"/>
  <c r="I104" i="84"/>
  <c r="H104" i="84"/>
  <c r="G104" i="84"/>
  <c r="F104" i="84"/>
  <c r="E104" i="84"/>
  <c r="D104" i="84"/>
  <c r="AA103" i="84"/>
  <c r="AB103" i="84" s="1"/>
  <c r="Z103" i="84"/>
  <c r="U103" i="84"/>
  <c r="T103" i="84"/>
  <c r="AA102" i="84"/>
  <c r="AB102" i="84" s="1"/>
  <c r="Z102" i="84"/>
  <c r="V102" i="84"/>
  <c r="U102" i="84"/>
  <c r="F102" i="84"/>
  <c r="T102" i="84" s="1"/>
  <c r="AG102" i="84" s="1"/>
  <c r="E102" i="84"/>
  <c r="AF101" i="84"/>
  <c r="AA101" i="84"/>
  <c r="AB101" i="84" s="1"/>
  <c r="Z101" i="84"/>
  <c r="U101" i="84"/>
  <c r="T101" i="84"/>
  <c r="E101" i="84"/>
  <c r="AA100" i="84"/>
  <c r="AB100" i="84" s="1"/>
  <c r="Z100" i="84"/>
  <c r="U100" i="84"/>
  <c r="T100" i="84"/>
  <c r="AA99" i="84"/>
  <c r="AB99" i="84" s="1"/>
  <c r="Z99" i="84"/>
  <c r="U99" i="84"/>
  <c r="T99" i="84"/>
  <c r="AF98" i="84"/>
  <c r="AA98" i="84"/>
  <c r="AB98" i="84" s="1"/>
  <c r="Z98" i="84"/>
  <c r="U98" i="84"/>
  <c r="F98" i="84"/>
  <c r="T98" i="84" s="1"/>
  <c r="AA97" i="84"/>
  <c r="AB97" i="84" s="1"/>
  <c r="Z97" i="84"/>
  <c r="T97" i="84"/>
  <c r="G97" i="84"/>
  <c r="U97" i="84" s="1"/>
  <c r="E97" i="84"/>
  <c r="AA96" i="84"/>
  <c r="Z96" i="84"/>
  <c r="W96" i="84"/>
  <c r="AB96" i="84" s="1"/>
  <c r="V96" i="84"/>
  <c r="U96" i="84"/>
  <c r="T96" i="84"/>
  <c r="AF95" i="84"/>
  <c r="AA95" i="84"/>
  <c r="AB95" i="84" s="1"/>
  <c r="Z95" i="84"/>
  <c r="T95" i="84"/>
  <c r="G95" i="84"/>
  <c r="U95" i="84" s="1"/>
  <c r="E95" i="84"/>
  <c r="AA94" i="84"/>
  <c r="AB94" i="84" s="1"/>
  <c r="Z94" i="84"/>
  <c r="U94" i="84"/>
  <c r="T94" i="84"/>
  <c r="AF93" i="84"/>
  <c r="AA93" i="84"/>
  <c r="AB93" i="84" s="1"/>
  <c r="Z93" i="84"/>
  <c r="U93" i="84"/>
  <c r="T93" i="84"/>
  <c r="AA92" i="84"/>
  <c r="AB92" i="84" s="1"/>
  <c r="Z92" i="84"/>
  <c r="U92" i="84"/>
  <c r="F92" i="84"/>
  <c r="T92" i="84" s="1"/>
  <c r="AA91" i="84"/>
  <c r="AB91" i="84" s="1"/>
  <c r="Z91" i="84"/>
  <c r="U91" i="84"/>
  <c r="T91" i="84"/>
  <c r="AA90" i="84"/>
  <c r="AB90" i="84" s="1"/>
  <c r="Z90" i="84"/>
  <c r="U90" i="84"/>
  <c r="T90" i="84"/>
  <c r="AA89" i="84"/>
  <c r="AB89" i="84" s="1"/>
  <c r="Z89" i="84"/>
  <c r="U89" i="84"/>
  <c r="T89" i="84"/>
  <c r="AA88" i="84"/>
  <c r="AB88" i="84" s="1"/>
  <c r="Z88" i="84"/>
  <c r="U88" i="84"/>
  <c r="T88" i="84"/>
  <c r="AA87" i="84"/>
  <c r="AB87" i="84" s="1"/>
  <c r="Z87" i="84"/>
  <c r="U87" i="84"/>
  <c r="T87" i="84"/>
  <c r="AA86" i="84"/>
  <c r="AB86" i="84" s="1"/>
  <c r="Z86" i="84"/>
  <c r="U86" i="84"/>
  <c r="T86" i="84"/>
  <c r="AA85" i="84"/>
  <c r="AB85" i="84" s="1"/>
  <c r="Z85" i="84"/>
  <c r="U85" i="84"/>
  <c r="T85" i="84"/>
  <c r="AA84" i="84"/>
  <c r="AB84" i="84" s="1"/>
  <c r="Z84" i="84"/>
  <c r="U84" i="84"/>
  <c r="T84" i="84"/>
  <c r="AA83" i="84"/>
  <c r="AB83" i="84" s="1"/>
  <c r="Z83" i="84"/>
  <c r="U83" i="84"/>
  <c r="T83" i="84"/>
  <c r="AA82" i="84"/>
  <c r="AB82" i="84" s="1"/>
  <c r="Z82" i="84"/>
  <c r="U82" i="84"/>
  <c r="T82" i="84"/>
  <c r="AA81" i="84"/>
  <c r="AB81" i="84" s="1"/>
  <c r="Z81" i="84"/>
  <c r="U81" i="84"/>
  <c r="T81" i="84"/>
  <c r="AA80" i="84"/>
  <c r="AB80" i="84" s="1"/>
  <c r="Z80" i="84"/>
  <c r="U80" i="84"/>
  <c r="T80" i="84"/>
  <c r="AA79" i="84"/>
  <c r="AB79" i="84" s="1"/>
  <c r="Z79" i="84"/>
  <c r="U79" i="84"/>
  <c r="T79" i="84"/>
  <c r="AA78" i="84"/>
  <c r="AB78" i="84" s="1"/>
  <c r="Z78" i="84"/>
  <c r="U78" i="84"/>
  <c r="T78" i="84"/>
  <c r="AA77" i="84"/>
  <c r="AB77" i="84" s="1"/>
  <c r="Z77" i="84"/>
  <c r="U77" i="84"/>
  <c r="T77" i="84"/>
  <c r="AA76" i="84"/>
  <c r="AB76" i="84" s="1"/>
  <c r="Z76" i="84"/>
  <c r="U76" i="84"/>
  <c r="T76" i="84"/>
  <c r="AA75" i="84"/>
  <c r="AB75" i="84" s="1"/>
  <c r="Z75" i="84"/>
  <c r="U75" i="84"/>
  <c r="T75" i="84"/>
  <c r="AA74" i="84"/>
  <c r="AB74" i="84" s="1"/>
  <c r="Z74" i="84"/>
  <c r="U74" i="84"/>
  <c r="T74" i="84"/>
  <c r="AA73" i="84"/>
  <c r="AB73" i="84" s="1"/>
  <c r="Z73" i="84"/>
  <c r="U73" i="84"/>
  <c r="T73" i="84"/>
  <c r="E73" i="84"/>
  <c r="AA72" i="84"/>
  <c r="AB72" i="84" s="1"/>
  <c r="Z72" i="84"/>
  <c r="G72" i="84"/>
  <c r="U72" i="84" s="1"/>
  <c r="F72" i="84"/>
  <c r="T72" i="84" s="1"/>
  <c r="AA71" i="84"/>
  <c r="AB71" i="84" s="1"/>
  <c r="Z71" i="84"/>
  <c r="U71" i="84"/>
  <c r="T71" i="84"/>
  <c r="AA70" i="84"/>
  <c r="AB70" i="84" s="1"/>
  <c r="Z70" i="84"/>
  <c r="Z66" i="84" s="1"/>
  <c r="U70" i="84"/>
  <c r="T70" i="84"/>
  <c r="E70" i="84"/>
  <c r="AA69" i="84"/>
  <c r="AB69" i="84" s="1"/>
  <c r="Z69" i="84"/>
  <c r="U69" i="84"/>
  <c r="T69" i="84"/>
  <c r="AA68" i="84"/>
  <c r="AB68" i="84" s="1"/>
  <c r="Z68" i="84"/>
  <c r="U68" i="84"/>
  <c r="T68" i="84"/>
  <c r="AA67" i="84"/>
  <c r="AB67" i="84" s="1"/>
  <c r="Z67" i="84"/>
  <c r="U67" i="84"/>
  <c r="T67" i="84"/>
  <c r="AF66" i="84"/>
  <c r="AE66" i="84"/>
  <c r="AD66" i="84"/>
  <c r="AC66" i="84"/>
  <c r="AA66" i="84"/>
  <c r="Y66" i="84"/>
  <c r="X66" i="84"/>
  <c r="W66" i="84"/>
  <c r="V66" i="84"/>
  <c r="S66" i="84"/>
  <c r="R66" i="84"/>
  <c r="Q66" i="84"/>
  <c r="P66" i="84"/>
  <c r="O66" i="84"/>
  <c r="N66" i="84"/>
  <c r="M66" i="84"/>
  <c r="L66" i="84"/>
  <c r="K66" i="84"/>
  <c r="J66" i="84"/>
  <c r="I66" i="84"/>
  <c r="H66" i="84"/>
  <c r="G66" i="84"/>
  <c r="E66" i="84"/>
  <c r="D66" i="84"/>
  <c r="AF65" i="84"/>
  <c r="AE65" i="84"/>
  <c r="AD65" i="84"/>
  <c r="AC65" i="84"/>
  <c r="Y65" i="84"/>
  <c r="X65" i="84"/>
  <c r="W65" i="84"/>
  <c r="V65" i="84"/>
  <c r="S65" i="84"/>
  <c r="R65" i="84"/>
  <c r="Q65" i="84"/>
  <c r="P65" i="84"/>
  <c r="O65" i="84"/>
  <c r="N65" i="84"/>
  <c r="M65" i="84"/>
  <c r="K65" i="84"/>
  <c r="J65" i="84"/>
  <c r="I65" i="84"/>
  <c r="H65" i="84"/>
  <c r="G65" i="84"/>
  <c r="E65" i="84"/>
  <c r="D65" i="84"/>
  <c r="AF64" i="84"/>
  <c r="AE64" i="84"/>
  <c r="AD64" i="84"/>
  <c r="AC64" i="84"/>
  <c r="AB64" i="84"/>
  <c r="AA64" i="84"/>
  <c r="Z64" i="84"/>
  <c r="Y64" i="84"/>
  <c r="X64" i="84"/>
  <c r="W64" i="84"/>
  <c r="V64" i="84"/>
  <c r="U64" i="84"/>
  <c r="T64" i="84"/>
  <c r="S64" i="84"/>
  <c r="R64" i="84"/>
  <c r="Q64" i="84"/>
  <c r="P64" i="84"/>
  <c r="O64" i="84"/>
  <c r="N64" i="84"/>
  <c r="M64" i="84"/>
  <c r="L64" i="84"/>
  <c r="K64" i="84"/>
  <c r="J64" i="84"/>
  <c r="I64" i="84"/>
  <c r="H64" i="84"/>
  <c r="G64" i="84"/>
  <c r="F64" i="84"/>
  <c r="E64" i="84"/>
  <c r="D64" i="84"/>
  <c r="AA61" i="84"/>
  <c r="AB61" i="84" s="1"/>
  <c r="Z61" i="84"/>
  <c r="U61" i="84"/>
  <c r="AC61" i="84" s="1"/>
  <c r="AD61" i="84" s="1"/>
  <c r="AG61" i="84" s="1"/>
  <c r="T61" i="84"/>
  <c r="AA60" i="84"/>
  <c r="AB60" i="84" s="1"/>
  <c r="Z60" i="84"/>
  <c r="U60" i="84"/>
  <c r="AC60" i="84" s="1"/>
  <c r="AD60" i="84" s="1"/>
  <c r="AG60" i="84" s="1"/>
  <c r="T60" i="84"/>
  <c r="AA59" i="84"/>
  <c r="AB59" i="84" s="1"/>
  <c r="Z59" i="84"/>
  <c r="U59" i="84"/>
  <c r="AC59" i="84" s="1"/>
  <c r="AD59" i="84" s="1"/>
  <c r="AG59" i="84" s="1"/>
  <c r="T59" i="84"/>
  <c r="AA58" i="84"/>
  <c r="AB58" i="84" s="1"/>
  <c r="Z58" i="84"/>
  <c r="U58" i="84"/>
  <c r="AC58" i="84" s="1"/>
  <c r="AD58" i="84" s="1"/>
  <c r="AG58" i="84" s="1"/>
  <c r="T58" i="84"/>
  <c r="AA57" i="84"/>
  <c r="AB57" i="84" s="1"/>
  <c r="Z57" i="84"/>
  <c r="U57" i="84"/>
  <c r="AC57" i="84" s="1"/>
  <c r="AD57" i="84" s="1"/>
  <c r="AG57" i="84" s="1"/>
  <c r="T57" i="84"/>
  <c r="AA56" i="84"/>
  <c r="AB56" i="84" s="1"/>
  <c r="Z56" i="84"/>
  <c r="U56" i="84"/>
  <c r="AC56" i="84" s="1"/>
  <c r="AD56" i="84" s="1"/>
  <c r="AG56" i="84" s="1"/>
  <c r="T56" i="84"/>
  <c r="AA55" i="84"/>
  <c r="AB55" i="84" s="1"/>
  <c r="Z55" i="84"/>
  <c r="U55" i="84"/>
  <c r="AC55" i="84" s="1"/>
  <c r="AD55" i="84" s="1"/>
  <c r="AG55" i="84" s="1"/>
  <c r="T55" i="84"/>
  <c r="AA54" i="84"/>
  <c r="AB54" i="84" s="1"/>
  <c r="Z54" i="84"/>
  <c r="U54" i="84"/>
  <c r="AC54" i="84" s="1"/>
  <c r="AD54" i="84" s="1"/>
  <c r="AG54" i="84" s="1"/>
  <c r="T54" i="84"/>
  <c r="AA53" i="84"/>
  <c r="AB53" i="84" s="1"/>
  <c r="AB52" i="84" s="1"/>
  <c r="Z53" i="84"/>
  <c r="Z52" i="84" s="1"/>
  <c r="U53" i="84"/>
  <c r="U52" i="84" s="1"/>
  <c r="T53" i="84"/>
  <c r="AF52" i="84"/>
  <c r="AE52" i="84"/>
  <c r="Y52" i="84"/>
  <c r="X52" i="84"/>
  <c r="W52" i="84"/>
  <c r="V52" i="84"/>
  <c r="T52" i="84"/>
  <c r="S52" i="84"/>
  <c r="R52" i="84"/>
  <c r="Q52" i="84"/>
  <c r="P52" i="84"/>
  <c r="O52" i="84"/>
  <c r="N52" i="84"/>
  <c r="M52" i="84"/>
  <c r="L52" i="84"/>
  <c r="K52" i="84"/>
  <c r="J52" i="84"/>
  <c r="I52" i="84"/>
  <c r="H52" i="84"/>
  <c r="G52" i="84"/>
  <c r="F52" i="84"/>
  <c r="E52" i="84"/>
  <c r="D52" i="84"/>
  <c r="AA51" i="84"/>
  <c r="AB51" i="84" s="1"/>
  <c r="AC51" i="84" s="1"/>
  <c r="AD51" i="84" s="1"/>
  <c r="AG51" i="84" s="1"/>
  <c r="Z51" i="84"/>
  <c r="U51" i="84"/>
  <c r="T51" i="84"/>
  <c r="AA50" i="84"/>
  <c r="AB50" i="84" s="1"/>
  <c r="AC50" i="84" s="1"/>
  <c r="AD50" i="84" s="1"/>
  <c r="Z50" i="84"/>
  <c r="U50" i="84"/>
  <c r="T50" i="84"/>
  <c r="AA49" i="84"/>
  <c r="AB49" i="84" s="1"/>
  <c r="AC49" i="84" s="1"/>
  <c r="AD49" i="84" s="1"/>
  <c r="Z49" i="84"/>
  <c r="U49" i="84"/>
  <c r="T49" i="84"/>
  <c r="AA48" i="84"/>
  <c r="AB48" i="84" s="1"/>
  <c r="AC48" i="84" s="1"/>
  <c r="AD48" i="84" s="1"/>
  <c r="Z48" i="84"/>
  <c r="U48" i="84"/>
  <c r="T48" i="84"/>
  <c r="AA47" i="84"/>
  <c r="AB47" i="84" s="1"/>
  <c r="AC47" i="84" s="1"/>
  <c r="AD47" i="84" s="1"/>
  <c r="Z47" i="84"/>
  <c r="U47" i="84"/>
  <c r="T47" i="84"/>
  <c r="AA46" i="84"/>
  <c r="AB46" i="84" s="1"/>
  <c r="AC46" i="84" s="1"/>
  <c r="AD46" i="84" s="1"/>
  <c r="Z46" i="84"/>
  <c r="U46" i="84"/>
  <c r="T46" i="84"/>
  <c r="AA45" i="84"/>
  <c r="AB45" i="84" s="1"/>
  <c r="AC45" i="84" s="1"/>
  <c r="AD45" i="84" s="1"/>
  <c r="Z45" i="84"/>
  <c r="U45" i="84"/>
  <c r="T45" i="84"/>
  <c r="AA44" i="84"/>
  <c r="AB44" i="84" s="1"/>
  <c r="AC44" i="84" s="1"/>
  <c r="AD44" i="84" s="1"/>
  <c r="Z44" i="84"/>
  <c r="U44" i="84"/>
  <c r="T44" i="84"/>
  <c r="AB43" i="84"/>
  <c r="AC43" i="84" s="1"/>
  <c r="AD43" i="84" s="1"/>
  <c r="AG43" i="84" s="1"/>
  <c r="AA43" i="84"/>
  <c r="Z43" i="84"/>
  <c r="U43" i="84"/>
  <c r="T43" i="84"/>
  <c r="AA42" i="84"/>
  <c r="AB42" i="84" s="1"/>
  <c r="AC42" i="84" s="1"/>
  <c r="AD42" i="84" s="1"/>
  <c r="Z42" i="84"/>
  <c r="U42" i="84"/>
  <c r="T42" i="84"/>
  <c r="AA41" i="84"/>
  <c r="AB41" i="84" s="1"/>
  <c r="AC41" i="84" s="1"/>
  <c r="AD41" i="84" s="1"/>
  <c r="Z41" i="84"/>
  <c r="Z36" i="84" s="1"/>
  <c r="U41" i="84"/>
  <c r="T41" i="84"/>
  <c r="E41" i="84"/>
  <c r="AA40" i="84"/>
  <c r="AB40" i="84" s="1"/>
  <c r="AC40" i="84" s="1"/>
  <c r="AD40" i="84" s="1"/>
  <c r="Z40" i="84"/>
  <c r="U40" i="84"/>
  <c r="T40" i="84"/>
  <c r="AA39" i="84"/>
  <c r="AB39" i="84" s="1"/>
  <c r="AC39" i="84" s="1"/>
  <c r="AD39" i="84" s="1"/>
  <c r="Z39" i="84"/>
  <c r="U39" i="84"/>
  <c r="T39" i="84"/>
  <c r="AA38" i="84"/>
  <c r="AB38" i="84" s="1"/>
  <c r="AC38" i="84" s="1"/>
  <c r="AD38" i="84" s="1"/>
  <c r="Z38" i="84"/>
  <c r="U38" i="84"/>
  <c r="T38" i="84"/>
  <c r="AA37" i="84"/>
  <c r="AB37" i="84" s="1"/>
  <c r="Z37" i="84"/>
  <c r="U37" i="84"/>
  <c r="T37" i="84"/>
  <c r="E37" i="84"/>
  <c r="E36" i="84" s="1"/>
  <c r="AF36" i="84"/>
  <c r="AE36" i="84"/>
  <c r="Y36" i="84"/>
  <c r="X36" i="84"/>
  <c r="W36" i="84"/>
  <c r="V36" i="84"/>
  <c r="S36" i="84"/>
  <c r="R36" i="84"/>
  <c r="Q36" i="84"/>
  <c r="P36" i="84"/>
  <c r="O36" i="84"/>
  <c r="N36" i="84"/>
  <c r="M36" i="84"/>
  <c r="L36" i="84"/>
  <c r="K36" i="84"/>
  <c r="J36" i="84"/>
  <c r="I36" i="84"/>
  <c r="H36" i="84"/>
  <c r="G36" i="84"/>
  <c r="F36" i="84"/>
  <c r="D36" i="84"/>
  <c r="AA35" i="84"/>
  <c r="AB35" i="84" s="1"/>
  <c r="U35" i="84"/>
  <c r="L35" i="84"/>
  <c r="Z35" i="84" s="1"/>
  <c r="AD34" i="84"/>
  <c r="AD33" i="84" s="1"/>
  <c r="AA34" i="84"/>
  <c r="AB34" i="84" s="1"/>
  <c r="AB33" i="84" s="1"/>
  <c r="Z34" i="84"/>
  <c r="U34" i="84"/>
  <c r="T34" i="84"/>
  <c r="AG34" i="84" s="1"/>
  <c r="AF33" i="84"/>
  <c r="AE33" i="84"/>
  <c r="AC33" i="84"/>
  <c r="Y33" i="84"/>
  <c r="X33" i="84"/>
  <c r="W33" i="84"/>
  <c r="V33" i="84"/>
  <c r="S33" i="84"/>
  <c r="R33" i="84"/>
  <c r="Q33" i="84"/>
  <c r="P33" i="84"/>
  <c r="O33" i="84"/>
  <c r="N33" i="84"/>
  <c r="N27" i="84" s="1"/>
  <c r="N26" i="84" s="1"/>
  <c r="M33" i="84"/>
  <c r="K33" i="84"/>
  <c r="J33" i="84"/>
  <c r="I33" i="84"/>
  <c r="H33" i="84"/>
  <c r="G33" i="84"/>
  <c r="F33" i="84"/>
  <c r="E33" i="84"/>
  <c r="D33" i="84"/>
  <c r="AA32" i="84"/>
  <c r="AB32" i="84" s="1"/>
  <c r="AC32" i="84" s="1"/>
  <c r="Z32" i="84"/>
  <c r="U32" i="84"/>
  <c r="T32" i="84"/>
  <c r="AA31" i="84"/>
  <c r="AB31" i="84" s="1"/>
  <c r="Z31" i="84"/>
  <c r="U31" i="84"/>
  <c r="U28" i="84" s="1"/>
  <c r="T31" i="84"/>
  <c r="E31" i="84"/>
  <c r="AA30" i="84"/>
  <c r="AB30" i="84" s="1"/>
  <c r="Z30" i="84"/>
  <c r="U30" i="84"/>
  <c r="T30" i="84"/>
  <c r="AA29" i="84"/>
  <c r="AB29" i="84" s="1"/>
  <c r="Z29" i="84"/>
  <c r="U29" i="84"/>
  <c r="T29" i="84"/>
  <c r="AF28" i="84"/>
  <c r="AF27" i="84" s="1"/>
  <c r="AF26" i="84" s="1"/>
  <c r="AE28" i="84"/>
  <c r="AE27" i="84" s="1"/>
  <c r="AE26" i="84" s="1"/>
  <c r="Y28" i="84"/>
  <c r="Y27" i="84" s="1"/>
  <c r="Y26" i="84" s="1"/>
  <c r="X28" i="84"/>
  <c r="W28" i="84"/>
  <c r="W27" i="84" s="1"/>
  <c r="W26" i="84" s="1"/>
  <c r="V28" i="84"/>
  <c r="V27" i="84" s="1"/>
  <c r="V26" i="84" s="1"/>
  <c r="S28" i="84"/>
  <c r="R28" i="84"/>
  <c r="Q28" i="84"/>
  <c r="P28" i="84"/>
  <c r="O28" i="84"/>
  <c r="N28" i="84"/>
  <c r="M28" i="84"/>
  <c r="L28" i="84"/>
  <c r="K28" i="84"/>
  <c r="K27" i="84" s="1"/>
  <c r="K26" i="84" s="1"/>
  <c r="J28" i="84"/>
  <c r="J27" i="84" s="1"/>
  <c r="J26" i="84" s="1"/>
  <c r="I28" i="84"/>
  <c r="I27" i="84" s="1"/>
  <c r="I26" i="84" s="1"/>
  <c r="H28" i="84"/>
  <c r="G28" i="84"/>
  <c r="G27" i="84" s="1"/>
  <c r="G26" i="84" s="1"/>
  <c r="F28" i="84"/>
  <c r="F27" i="84" s="1"/>
  <c r="F26" i="84" s="1"/>
  <c r="E28" i="84"/>
  <c r="E27" i="84" s="1"/>
  <c r="D28" i="84"/>
  <c r="X27" i="84"/>
  <c r="X26" i="84" s="1"/>
  <c r="R27" i="84"/>
  <c r="R26" i="84" s="1"/>
  <c r="H27" i="84"/>
  <c r="H26" i="84" s="1"/>
  <c r="D27" i="84"/>
  <c r="D26" i="84" s="1"/>
  <c r="AA25" i="84"/>
  <c r="AB25" i="84" s="1"/>
  <c r="AB24" i="84" s="1"/>
  <c r="Z25" i="84"/>
  <c r="Z24" i="84" s="1"/>
  <c r="U25" i="84"/>
  <c r="U24" i="84" s="1"/>
  <c r="T25" i="84"/>
  <c r="AG25" i="84" s="1"/>
  <c r="AF24" i="84"/>
  <c r="AE24" i="84"/>
  <c r="AD24" i="84"/>
  <c r="AC24" i="84"/>
  <c r="Y24" i="84"/>
  <c r="X24" i="84"/>
  <c r="W24" i="84"/>
  <c r="V24" i="84"/>
  <c r="T24" i="84"/>
  <c r="S24" i="84"/>
  <c r="R24" i="84"/>
  <c r="Q24" i="84"/>
  <c r="P24" i="84"/>
  <c r="O24" i="84"/>
  <c r="N24" i="84"/>
  <c r="M24" i="84"/>
  <c r="L24" i="84"/>
  <c r="K24" i="84"/>
  <c r="J24" i="84"/>
  <c r="I24" i="84"/>
  <c r="H24" i="84"/>
  <c r="G24" i="84"/>
  <c r="F24" i="84"/>
  <c r="E24" i="84"/>
  <c r="D24" i="84"/>
  <c r="AA23" i="84"/>
  <c r="AB23" i="84" s="1"/>
  <c r="Z23" i="84"/>
  <c r="U23" i="84"/>
  <c r="T23" i="84"/>
  <c r="AG23" i="84" s="1"/>
  <c r="AA22" i="84"/>
  <c r="AB22" i="84" s="1"/>
  <c r="Z22" i="84"/>
  <c r="U22" i="84"/>
  <c r="AG22" i="84" s="1"/>
  <c r="T22" i="84"/>
  <c r="AA21" i="84"/>
  <c r="AB21" i="84" s="1"/>
  <c r="Z21" i="84"/>
  <c r="Z20" i="84" s="1"/>
  <c r="U21" i="84"/>
  <c r="AG21" i="84" s="1"/>
  <c r="T21" i="84"/>
  <c r="T20" i="84" s="1"/>
  <c r="AF20" i="84"/>
  <c r="AE20" i="84"/>
  <c r="AD20" i="84"/>
  <c r="AC20" i="84"/>
  <c r="AA20" i="84"/>
  <c r="Y20" i="84"/>
  <c r="X20" i="84"/>
  <c r="W20" i="84"/>
  <c r="V20" i="84"/>
  <c r="U20" i="84"/>
  <c r="S20" i="84"/>
  <c r="R20" i="84"/>
  <c r="Q20" i="84"/>
  <c r="P20" i="84"/>
  <c r="O20" i="84"/>
  <c r="N20" i="84"/>
  <c r="M20" i="84"/>
  <c r="L20" i="84"/>
  <c r="K20" i="84"/>
  <c r="J20" i="84"/>
  <c r="I20" i="84"/>
  <c r="H20" i="84"/>
  <c r="G20" i="84"/>
  <c r="F20" i="84"/>
  <c r="E20" i="84"/>
  <c r="D20" i="84"/>
  <c r="AC19" i="84"/>
  <c r="AA19" i="84"/>
  <c r="AB19" i="84" s="1"/>
  <c r="Z19" i="84"/>
  <c r="T19" i="84"/>
  <c r="AG19" i="84" s="1"/>
  <c r="G19" i="84"/>
  <c r="U19" i="84" s="1"/>
  <c r="AC18" i="84"/>
  <c r="AA18" i="84"/>
  <c r="AB18" i="84" s="1"/>
  <c r="Z18" i="84"/>
  <c r="Z16" i="84" s="1"/>
  <c r="Z15" i="84" s="1"/>
  <c r="Z14" i="84" s="1"/>
  <c r="U18" i="84"/>
  <c r="T18" i="84"/>
  <c r="AG18" i="84" s="1"/>
  <c r="AC17" i="84"/>
  <c r="AA17" i="84"/>
  <c r="Z17" i="84"/>
  <c r="U17" i="84"/>
  <c r="U16" i="84" s="1"/>
  <c r="U15" i="84" s="1"/>
  <c r="U14" i="84" s="1"/>
  <c r="T17" i="84"/>
  <c r="AG17" i="84" s="1"/>
  <c r="AF16" i="84"/>
  <c r="AE16" i="84"/>
  <c r="AD16" i="84"/>
  <c r="Y16" i="84"/>
  <c r="Y15" i="84" s="1"/>
  <c r="X16" i="84"/>
  <c r="X15" i="84" s="1"/>
  <c r="X14" i="84" s="1"/>
  <c r="W16" i="84"/>
  <c r="W15" i="84" s="1"/>
  <c r="V16" i="84"/>
  <c r="S16" i="84"/>
  <c r="S15" i="84" s="1"/>
  <c r="S14" i="84" s="1"/>
  <c r="R16" i="84"/>
  <c r="Q16" i="84"/>
  <c r="Q15" i="84" s="1"/>
  <c r="Q14" i="84" s="1"/>
  <c r="P16" i="84"/>
  <c r="O16" i="84"/>
  <c r="O15" i="84" s="1"/>
  <c r="O14" i="84" s="1"/>
  <c r="N16" i="84"/>
  <c r="M16" i="84"/>
  <c r="M15" i="84" s="1"/>
  <c r="M14" i="84" s="1"/>
  <c r="L16" i="84"/>
  <c r="K16" i="84"/>
  <c r="K15" i="84" s="1"/>
  <c r="K14" i="84" s="1"/>
  <c r="J16" i="84"/>
  <c r="I16" i="84"/>
  <c r="I15" i="84" s="1"/>
  <c r="I14" i="84" s="1"/>
  <c r="H16" i="84"/>
  <c r="G16" i="84"/>
  <c r="G15" i="84" s="1"/>
  <c r="G14" i="84" s="1"/>
  <c r="F16" i="84"/>
  <c r="E16" i="84"/>
  <c r="E15" i="84" s="1"/>
  <c r="E14" i="84" s="1"/>
  <c r="D16" i="84"/>
  <c r="AF15" i="84"/>
  <c r="AF14" i="84" s="1"/>
  <c r="AE15" i="84"/>
  <c r="AD15" i="84"/>
  <c r="AD14" i="84" s="1"/>
  <c r="V15" i="84"/>
  <c r="V14" i="84" s="1"/>
  <c r="R15" i="84"/>
  <c r="P15" i="84"/>
  <c r="P14" i="84" s="1"/>
  <c r="N15" i="84"/>
  <c r="L15" i="84"/>
  <c r="L14" i="84" s="1"/>
  <c r="J15" i="84"/>
  <c r="H15" i="84"/>
  <c r="H14" i="84" s="1"/>
  <c r="F15" i="84"/>
  <c r="D15" i="84"/>
  <c r="D14" i="84" s="1"/>
  <c r="AE14" i="84"/>
  <c r="AA13" i="84"/>
  <c r="AB13" i="84" s="1"/>
  <c r="Z13" i="84"/>
  <c r="B9" i="84"/>
  <c r="AK7" i="84"/>
  <c r="AL8" i="84" s="1"/>
  <c r="F14" i="84" l="1"/>
  <c r="J14" i="84"/>
  <c r="N14" i="84"/>
  <c r="R14" i="84"/>
  <c r="W14" i="84"/>
  <c r="Y14" i="84"/>
  <c r="P27" i="84"/>
  <c r="P26" i="84" s="1"/>
  <c r="Z33" i="84"/>
  <c r="F66" i="84"/>
  <c r="F65" i="84" s="1"/>
  <c r="Z116" i="84"/>
  <c r="AA123" i="84"/>
  <c r="U123" i="84"/>
  <c r="M133" i="84"/>
  <c r="AC142" i="84"/>
  <c r="E26" i="84"/>
  <c r="AG47" i="84"/>
  <c r="D63" i="84"/>
  <c r="D62" i="84" s="1"/>
  <c r="D11" i="84" s="1"/>
  <c r="P63" i="84"/>
  <c r="P62" i="84" s="1"/>
  <c r="AD63" i="84"/>
  <c r="AD62" i="84" s="1"/>
  <c r="P11" i="84"/>
  <c r="L63" i="84"/>
  <c r="L62" i="84" s="1"/>
  <c r="V63" i="84"/>
  <c r="V62" i="84" s="1"/>
  <c r="V11" i="84" s="1"/>
  <c r="F63" i="84"/>
  <c r="F62" i="84" s="1"/>
  <c r="F11" i="84" s="1"/>
  <c r="H63" i="84"/>
  <c r="H62" i="84" s="1"/>
  <c r="J63" i="84"/>
  <c r="J62" i="84" s="1"/>
  <c r="J11" i="84" s="1"/>
  <c r="N63" i="84"/>
  <c r="N62" i="84" s="1"/>
  <c r="R63" i="84"/>
  <c r="R62" i="84" s="1"/>
  <c r="R11" i="84" s="1"/>
  <c r="X63" i="84"/>
  <c r="X62" i="84" s="1"/>
  <c r="X11" i="84" s="1"/>
  <c r="AF63" i="84"/>
  <c r="AF62" i="84" s="1"/>
  <c r="H11" i="84"/>
  <c r="AF11" i="84"/>
  <c r="N11" i="84"/>
  <c r="E63" i="84"/>
  <c r="E62" i="84" s="1"/>
  <c r="E11" i="84" s="1"/>
  <c r="G63" i="84"/>
  <c r="G62" i="84" s="1"/>
  <c r="G11" i="84" s="1"/>
  <c r="I63" i="84"/>
  <c r="I62" i="84" s="1"/>
  <c r="I11" i="84" s="1"/>
  <c r="K63" i="84"/>
  <c r="K62" i="84" s="1"/>
  <c r="K11" i="84" s="1"/>
  <c r="M63" i="84"/>
  <c r="M62" i="84" s="1"/>
  <c r="O63" i="84"/>
  <c r="O62" i="84" s="1"/>
  <c r="Q63" i="84"/>
  <c r="Q62" i="84" s="1"/>
  <c r="S63" i="84"/>
  <c r="S62" i="84" s="1"/>
  <c r="W63" i="84"/>
  <c r="W62" i="84" s="1"/>
  <c r="W11" i="84" s="1"/>
  <c r="Y63" i="84"/>
  <c r="Y62" i="84" s="1"/>
  <c r="Y11" i="84" s="1"/>
  <c r="AC63" i="84"/>
  <c r="AC62" i="84" s="1"/>
  <c r="AE63" i="84"/>
  <c r="AE62" i="84" s="1"/>
  <c r="AE11" i="84" s="1"/>
  <c r="AG45" i="84"/>
  <c r="AD162" i="84"/>
  <c r="AC162" i="84" s="1"/>
  <c r="AC163" i="84"/>
  <c r="T16" i="84"/>
  <c r="T15" i="84" s="1"/>
  <c r="T14" i="84" s="1"/>
  <c r="AC16" i="84"/>
  <c r="AC15" i="84" s="1"/>
  <c r="AC14" i="84" s="1"/>
  <c r="M27" i="84"/>
  <c r="M26" i="84" s="1"/>
  <c r="O27" i="84"/>
  <c r="O26" i="84" s="1"/>
  <c r="Q27" i="84"/>
  <c r="Q26" i="84" s="1"/>
  <c r="S27" i="84"/>
  <c r="S26" i="84" s="1"/>
  <c r="T28" i="84"/>
  <c r="Z28" i="84"/>
  <c r="Z27" i="84" s="1"/>
  <c r="Z26" i="84" s="1"/>
  <c r="T36" i="84"/>
  <c r="AG41" i="84"/>
  <c r="AG49" i="84"/>
  <c r="AB66" i="84"/>
  <c r="AD152" i="84"/>
  <c r="AC152" i="84" s="1"/>
  <c r="AC153" i="84"/>
  <c r="AD165" i="84"/>
  <c r="AC165" i="84" s="1"/>
  <c r="AC166" i="84"/>
  <c r="AA28" i="84"/>
  <c r="L33" i="84"/>
  <c r="L27" i="84" s="1"/>
  <c r="L26" i="84" s="1"/>
  <c r="L11" i="84" s="1"/>
  <c r="U36" i="84"/>
  <c r="AG39" i="84"/>
  <c r="AG40" i="84"/>
  <c r="AG42" i="84"/>
  <c r="AG46" i="84"/>
  <c r="AG50" i="84"/>
  <c r="AG44" i="84"/>
  <c r="AG48" i="84"/>
  <c r="U33" i="84"/>
  <c r="U27" i="84" s="1"/>
  <c r="U26" i="84" s="1"/>
  <c r="AA36" i="84"/>
  <c r="T66" i="84"/>
  <c r="AB20" i="84"/>
  <c r="AG38" i="84"/>
  <c r="U66" i="84"/>
  <c r="Z104" i="84"/>
  <c r="Z65" i="84" s="1"/>
  <c r="Z63" i="84" s="1"/>
  <c r="Z62" i="84" s="1"/>
  <c r="Z11" i="84" s="1"/>
  <c r="AK8" i="84"/>
  <c r="AB17" i="84"/>
  <c r="AB16" i="84" s="1"/>
  <c r="AB15" i="84" s="1"/>
  <c r="AA16" i="84"/>
  <c r="AA15" i="84" s="1"/>
  <c r="AB28" i="84"/>
  <c r="AB27" i="84" s="1"/>
  <c r="AD32" i="84"/>
  <c r="AC28" i="84"/>
  <c r="AC27" i="84" s="1"/>
  <c r="AB36" i="84"/>
  <c r="AC37" i="84"/>
  <c r="AC53" i="84"/>
  <c r="AH105" i="84"/>
  <c r="AB104" i="84"/>
  <c r="AB65" i="84" s="1"/>
  <c r="AH124" i="84"/>
  <c r="AB123" i="84"/>
  <c r="AH123" i="84" s="1"/>
  <c r="AB134" i="84"/>
  <c r="AB133" i="84" s="1"/>
  <c r="AA133" i="84"/>
  <c r="AA24" i="84"/>
  <c r="AA33" i="84"/>
  <c r="AA27" i="84" s="1"/>
  <c r="T35" i="84"/>
  <c r="AA52" i="84"/>
  <c r="T123" i="84"/>
  <c r="AG124" i="84"/>
  <c r="AD151" i="84"/>
  <c r="AC151" i="84" s="1"/>
  <c r="U104" i="84"/>
  <c r="U65" i="84" s="1"/>
  <c r="U63" i="84" s="1"/>
  <c r="U62" i="84" s="1"/>
  <c r="AA104" i="84"/>
  <c r="AA65" i="84" s="1"/>
  <c r="AA63" i="84" s="1"/>
  <c r="T116" i="84"/>
  <c r="T117" i="84"/>
  <c r="AG117" i="84" s="1"/>
  <c r="Q11" i="84" l="1"/>
  <c r="M11" i="84"/>
  <c r="S11" i="84"/>
  <c r="O11" i="84"/>
  <c r="U11" i="84"/>
  <c r="AA26" i="84"/>
  <c r="AA62" i="84"/>
  <c r="AB14" i="84"/>
  <c r="AB63" i="84"/>
  <c r="AB62" i="84" s="1"/>
  <c r="AG35" i="84"/>
  <c r="T33" i="84"/>
  <c r="T27" i="84" s="1"/>
  <c r="T26" i="84" s="1"/>
  <c r="AG116" i="84"/>
  <c r="T104" i="84"/>
  <c r="T65" i="84" s="1"/>
  <c r="T63" i="84" s="1"/>
  <c r="T62" i="84" s="1"/>
  <c r="AD37" i="84"/>
  <c r="AC36" i="84"/>
  <c r="AG32" i="84"/>
  <c r="AD28" i="84"/>
  <c r="AD27" i="84" s="1"/>
  <c r="AD53" i="84"/>
  <c r="AC52" i="84"/>
  <c r="AC26" i="84" s="1"/>
  <c r="AC11" i="84" s="1"/>
  <c r="AB26" i="84"/>
  <c r="AA14" i="84"/>
  <c r="AB11" i="84" l="1"/>
  <c r="AA11" i="84"/>
  <c r="AG53" i="84"/>
  <c r="AD52" i="84"/>
  <c r="T11" i="84"/>
  <c r="AD36" i="84"/>
  <c r="AD26" i="84" s="1"/>
  <c r="AD11" i="84" s="1"/>
  <c r="AG37" i="84"/>
  <c r="A2" i="48" l="1"/>
  <c r="D23" i="50"/>
  <c r="G104" i="53" l="1"/>
  <c r="K10" i="67" l="1"/>
  <c r="J10" i="67"/>
  <c r="I10" i="67"/>
  <c r="H10" i="67"/>
  <c r="G10" i="67"/>
  <c r="F10" i="67"/>
  <c r="E10" i="67"/>
  <c r="D10" i="67"/>
  <c r="C10" i="67" s="1"/>
  <c r="P19" i="88" l="1"/>
  <c r="G24" i="88"/>
  <c r="F24" i="88"/>
  <c r="O19" i="88"/>
  <c r="D21" i="88"/>
  <c r="H28" i="85"/>
  <c r="H37" i="85"/>
  <c r="J37" i="85" s="1"/>
  <c r="G37" i="85"/>
  <c r="G30" i="85"/>
  <c r="G27" i="68"/>
  <c r="G20" i="68" s="1"/>
  <c r="E19" i="77"/>
  <c r="G67" i="89" l="1"/>
  <c r="G63" i="89"/>
  <c r="G59" i="89"/>
  <c r="G55" i="89"/>
  <c r="F79" i="89"/>
  <c r="F63" i="89"/>
  <c r="F59" i="89"/>
  <c r="F55" i="89"/>
  <c r="E85" i="89"/>
  <c r="E91" i="89"/>
  <c r="E83" i="89"/>
  <c r="E81" i="89"/>
  <c r="E77" i="89"/>
  <c r="E79" i="89" s="1"/>
  <c r="E73" i="89"/>
  <c r="E75" i="89" s="1"/>
  <c r="E61" i="89"/>
  <c r="E63" i="89" s="1"/>
  <c r="E57" i="89"/>
  <c r="E59" i="89" s="1"/>
  <c r="E53" i="89"/>
  <c r="G47" i="89"/>
  <c r="F47" i="89"/>
  <c r="G43" i="89"/>
  <c r="F43" i="89"/>
  <c r="E21" i="89"/>
  <c r="H21" i="89" s="1"/>
  <c r="H20" i="89"/>
  <c r="E22" i="89"/>
  <c r="E20" i="89"/>
  <c r="E55" i="89" l="1"/>
  <c r="I22" i="89"/>
  <c r="M45" i="77" l="1"/>
  <c r="M43" i="77" s="1"/>
  <c r="M12" i="77"/>
  <c r="D105" i="25"/>
  <c r="C105" i="25" s="1"/>
  <c r="B104" i="25"/>
  <c r="D33" i="25"/>
  <c r="C55" i="26"/>
  <c r="M54" i="26"/>
  <c r="C54" i="26" s="1"/>
  <c r="D94" i="25" s="1"/>
  <c r="C94" i="25" s="1"/>
  <c r="M53" i="26"/>
  <c r="C53" i="26" s="1"/>
  <c r="D93" i="25" s="1"/>
  <c r="C93" i="25" s="1"/>
  <c r="M52" i="26"/>
  <c r="C52" i="26" s="1"/>
  <c r="D92" i="25" s="1"/>
  <c r="C92" i="25" s="1"/>
  <c r="M51" i="26"/>
  <c r="C51" i="26" s="1"/>
  <c r="D91" i="25" s="1"/>
  <c r="C91" i="25" s="1"/>
  <c r="M50" i="26"/>
  <c r="C50" i="26" s="1"/>
  <c r="D90" i="25" s="1"/>
  <c r="C90" i="25" s="1"/>
  <c r="M49" i="26"/>
  <c r="C49" i="26" s="1"/>
  <c r="D89" i="25" s="1"/>
  <c r="C89" i="25" s="1"/>
  <c r="M48" i="26"/>
  <c r="C48" i="26" s="1"/>
  <c r="D88" i="25" s="1"/>
  <c r="D87" i="25" s="1"/>
  <c r="R47" i="26"/>
  <c r="Q47" i="26"/>
  <c r="P47" i="26"/>
  <c r="O47" i="26"/>
  <c r="N47" i="26"/>
  <c r="L47" i="26"/>
  <c r="K47" i="26"/>
  <c r="J47" i="26"/>
  <c r="I47" i="26"/>
  <c r="H47" i="26"/>
  <c r="G47" i="26"/>
  <c r="F47" i="26"/>
  <c r="E47" i="26"/>
  <c r="D47" i="26"/>
  <c r="M46" i="26"/>
  <c r="C46" i="26" s="1"/>
  <c r="C45" i="26" s="1"/>
  <c r="R45" i="26"/>
  <c r="Q45" i="26"/>
  <c r="P45" i="26"/>
  <c r="O45" i="26"/>
  <c r="N45" i="26"/>
  <c r="L45" i="26"/>
  <c r="K45" i="26"/>
  <c r="J45" i="26"/>
  <c r="I45" i="26"/>
  <c r="H45" i="26"/>
  <c r="G45" i="26"/>
  <c r="F45" i="26"/>
  <c r="E45" i="26"/>
  <c r="D45" i="26"/>
  <c r="M44" i="26"/>
  <c r="C44" i="26" s="1"/>
  <c r="D107" i="25" s="1"/>
  <c r="M43" i="26"/>
  <c r="C43" i="26" s="1"/>
  <c r="D106" i="25" s="1"/>
  <c r="C106" i="25" s="1"/>
  <c r="M42" i="26"/>
  <c r="C42" i="26" s="1"/>
  <c r="D45" i="25" s="1"/>
  <c r="C45" i="25" s="1"/>
  <c r="M40" i="26"/>
  <c r="C40" i="26" s="1"/>
  <c r="D43" i="25" s="1"/>
  <c r="C43" i="25" s="1"/>
  <c r="M39" i="26"/>
  <c r="C39" i="26" s="1"/>
  <c r="D42" i="25" s="1"/>
  <c r="C42" i="25" s="1"/>
  <c r="M38" i="26"/>
  <c r="C38" i="26" s="1"/>
  <c r="D41" i="25" s="1"/>
  <c r="M36" i="26"/>
  <c r="C36" i="26" s="1"/>
  <c r="D10" i="25" s="1"/>
  <c r="M35" i="26"/>
  <c r="C35" i="26" s="1"/>
  <c r="D37" i="25" s="1"/>
  <c r="M34" i="26"/>
  <c r="C34" i="26" s="1"/>
  <c r="D38" i="25" s="1"/>
  <c r="M33" i="26"/>
  <c r="C33" i="26" s="1"/>
  <c r="D40" i="25" s="1"/>
  <c r="M32" i="26"/>
  <c r="C32" i="26" s="1"/>
  <c r="D104" i="25" s="1"/>
  <c r="C104" i="25" s="1"/>
  <c r="M31" i="26"/>
  <c r="C31" i="26" s="1"/>
  <c r="D103" i="25" s="1"/>
  <c r="M30" i="26"/>
  <c r="C30" i="26" s="1"/>
  <c r="D102" i="25" s="1"/>
  <c r="M29" i="26"/>
  <c r="C29" i="26" s="1"/>
  <c r="D101" i="25" s="1"/>
  <c r="M28" i="26"/>
  <c r="C28" i="26" s="1"/>
  <c r="D99" i="25" s="1"/>
  <c r="M27" i="26"/>
  <c r="C27" i="26" s="1"/>
  <c r="D100" i="25" s="1"/>
  <c r="M26" i="26"/>
  <c r="C26" i="26" s="1"/>
  <c r="D98" i="25" s="1"/>
  <c r="M25" i="26"/>
  <c r="C25" i="26" s="1"/>
  <c r="D97" i="25" s="1"/>
  <c r="M24" i="26"/>
  <c r="C24" i="26" s="1"/>
  <c r="D96" i="25" s="1"/>
  <c r="D95" i="25" s="1"/>
  <c r="M23" i="26"/>
  <c r="C23" i="26" s="1"/>
  <c r="D35" i="25" s="1"/>
  <c r="M22" i="26"/>
  <c r="C22" i="26" s="1"/>
  <c r="D36" i="25" s="1"/>
  <c r="M20" i="26"/>
  <c r="C20" i="26" s="1"/>
  <c r="M19" i="26"/>
  <c r="C19" i="26" s="1"/>
  <c r="D28" i="25" s="1"/>
  <c r="M18" i="26"/>
  <c r="C18" i="26" s="1"/>
  <c r="D24" i="25" s="1"/>
  <c r="M17" i="26"/>
  <c r="C17" i="26" s="1"/>
  <c r="D23" i="25" s="1"/>
  <c r="M16" i="26"/>
  <c r="C16" i="26" s="1"/>
  <c r="D21" i="25" s="1"/>
  <c r="M15" i="26"/>
  <c r="C15" i="26" s="1"/>
  <c r="D20" i="25" s="1"/>
  <c r="M14" i="26"/>
  <c r="C14" i="26" s="1"/>
  <c r="D16" i="25" s="1"/>
  <c r="M13" i="26"/>
  <c r="C13" i="26" s="1"/>
  <c r="D25" i="25" s="1"/>
  <c r="M12" i="26"/>
  <c r="C12" i="26" s="1"/>
  <c r="D39" i="25" s="1"/>
  <c r="M11" i="26"/>
  <c r="C11" i="26" s="1"/>
  <c r="D15" i="25" s="1"/>
  <c r="M10" i="26"/>
  <c r="C10" i="26" s="1"/>
  <c r="D12" i="25" s="1"/>
  <c r="R9" i="26"/>
  <c r="R8" i="26" s="1"/>
  <c r="C24" i="39" s="1"/>
  <c r="Q9" i="26"/>
  <c r="P9" i="26"/>
  <c r="P8" i="26" s="1"/>
  <c r="O9" i="26"/>
  <c r="N9" i="26"/>
  <c r="N8" i="26" s="1"/>
  <c r="L9" i="26"/>
  <c r="K9" i="26"/>
  <c r="J9" i="26"/>
  <c r="I9" i="26"/>
  <c r="I8" i="26" s="1"/>
  <c r="C18" i="39" s="1"/>
  <c r="H9" i="26"/>
  <c r="G9" i="26"/>
  <c r="G8" i="26" s="1"/>
  <c r="C16" i="39" s="1"/>
  <c r="F9" i="26"/>
  <c r="E9" i="26"/>
  <c r="E8" i="26" s="1"/>
  <c r="C13" i="39" s="1"/>
  <c r="D9" i="26"/>
  <c r="K8" i="26"/>
  <c r="C23" i="39" s="1"/>
  <c r="D9" i="25" l="1"/>
  <c r="H8" i="26"/>
  <c r="C17" i="39" s="1"/>
  <c r="D47" i="25"/>
  <c r="F8" i="26"/>
  <c r="Q8" i="26"/>
  <c r="C22" i="39" s="1"/>
  <c r="O8" i="26"/>
  <c r="J8" i="26"/>
  <c r="C19" i="39" s="1"/>
  <c r="D8" i="26"/>
  <c r="C12" i="39" s="1"/>
  <c r="L8" i="26"/>
  <c r="C20" i="39" s="1"/>
  <c r="C88" i="25"/>
  <c r="C87" i="25" s="1"/>
  <c r="C9" i="26"/>
  <c r="C47" i="26"/>
  <c r="M9" i="26"/>
  <c r="M45" i="26"/>
  <c r="M47" i="26"/>
  <c r="C8" i="26" l="1"/>
  <c r="O7" i="25" s="1"/>
  <c r="M8" i="26"/>
  <c r="C21" i="39" s="1"/>
  <c r="E47" i="79" l="1"/>
  <c r="D27" i="79"/>
  <c r="E21" i="79"/>
  <c r="D21" i="79"/>
  <c r="E17" i="79"/>
  <c r="G33" i="85" s="1"/>
  <c r="E42" i="79"/>
  <c r="E43" i="79" s="1"/>
  <c r="D42" i="79"/>
  <c r="C42" i="79"/>
  <c r="E32" i="79"/>
  <c r="E30" i="79"/>
  <c r="F30" i="79" s="1"/>
  <c r="D30" i="79"/>
  <c r="C30" i="79"/>
  <c r="C27" i="79"/>
  <c r="C21" i="79"/>
  <c r="D17" i="79"/>
  <c r="F17" i="79" s="1"/>
  <c r="C17" i="79"/>
  <c r="E11" i="79"/>
  <c r="D11" i="79"/>
  <c r="G41" i="79" s="1"/>
  <c r="C11" i="79"/>
  <c r="D9" i="79"/>
  <c r="F9" i="79" s="1"/>
  <c r="F11" i="79" l="1"/>
  <c r="G31" i="85"/>
  <c r="D43" i="79"/>
  <c r="F47" i="79"/>
  <c r="F21" i="79"/>
  <c r="F42" i="79"/>
  <c r="D67" i="45" l="1"/>
  <c r="B67" i="45"/>
  <c r="D53" i="45"/>
  <c r="D95" i="45"/>
  <c r="D93" i="45"/>
  <c r="D92" i="45"/>
  <c r="B93" i="45"/>
  <c r="B92" i="45"/>
  <c r="D90" i="45"/>
  <c r="D89" i="45"/>
  <c r="B89" i="45"/>
  <c r="D87" i="45"/>
  <c r="D86" i="45"/>
  <c r="D84" i="45"/>
  <c r="B84" i="45"/>
  <c r="D85" i="45"/>
  <c r="D83" i="45"/>
  <c r="C82" i="45"/>
  <c r="D81" i="45"/>
  <c r="B81" i="45"/>
  <c r="D80" i="45"/>
  <c r="D79" i="45"/>
  <c r="D78" i="45"/>
  <c r="B78" i="45"/>
  <c r="D77" i="45"/>
  <c r="D76" i="45"/>
  <c r="D74" i="45"/>
  <c r="D73" i="45"/>
  <c r="C70" i="45"/>
  <c r="D59" i="45"/>
  <c r="D58" i="45"/>
  <c r="E41" i="45"/>
  <c r="E42" i="45"/>
  <c r="E43" i="45"/>
  <c r="E44" i="45"/>
  <c r="E45" i="45"/>
  <c r="E46" i="45"/>
  <c r="E47" i="45"/>
  <c r="E48" i="45"/>
  <c r="E49" i="45"/>
  <c r="E40" i="45"/>
  <c r="D39" i="45"/>
  <c r="D25" i="45" l="1"/>
  <c r="D19" i="45"/>
  <c r="D13" i="45"/>
  <c r="D12" i="45"/>
  <c r="P12" i="77" l="1"/>
  <c r="F12" i="70"/>
  <c r="J14" i="70"/>
  <c r="D9" i="67"/>
  <c r="R40" i="72"/>
  <c r="P40" i="72"/>
  <c r="N40" i="72"/>
  <c r="L40" i="72"/>
  <c r="J40" i="72"/>
  <c r="H40" i="72"/>
  <c r="F40" i="72"/>
  <c r="D40" i="72"/>
  <c r="H57" i="68" l="1"/>
  <c r="I36" i="68" l="1"/>
  <c r="D15" i="67" l="1"/>
  <c r="T57" i="77"/>
  <c r="G35" i="67"/>
  <c r="D44" i="69"/>
  <c r="F9" i="70" l="1"/>
  <c r="F8" i="70" s="1"/>
  <c r="G9" i="70"/>
  <c r="G8" i="70" s="1"/>
  <c r="H9" i="70"/>
  <c r="G12" i="70"/>
  <c r="H13" i="70"/>
  <c r="Q43" i="77"/>
  <c r="R43" i="77"/>
  <c r="S43" i="77"/>
  <c r="T43" i="77"/>
  <c r="S37" i="77"/>
  <c r="S7" i="77" s="1"/>
  <c r="T34" i="77"/>
  <c r="M37" i="77"/>
  <c r="P37" i="77"/>
  <c r="P34" i="77"/>
  <c r="Q34" i="77"/>
  <c r="R34" i="77"/>
  <c r="T37" i="77"/>
  <c r="O20" i="77"/>
  <c r="C12" i="77"/>
  <c r="E13" i="25" s="1"/>
  <c r="C9" i="77"/>
  <c r="C10" i="77"/>
  <c r="E11" i="25" s="1"/>
  <c r="C11" i="77"/>
  <c r="E12" i="25" s="1"/>
  <c r="C13" i="77"/>
  <c r="E14" i="25" s="1"/>
  <c r="C14" i="77"/>
  <c r="E15" i="25" s="1"/>
  <c r="C15" i="77"/>
  <c r="E16" i="25" s="1"/>
  <c r="C16" i="77"/>
  <c r="E17" i="25" s="1"/>
  <c r="C17" i="77"/>
  <c r="E18" i="25" s="1"/>
  <c r="C18" i="77"/>
  <c r="E19" i="25" s="1"/>
  <c r="C19" i="77"/>
  <c r="E20" i="25" s="1"/>
  <c r="C20" i="77"/>
  <c r="C23" i="77"/>
  <c r="E24" i="25" s="1"/>
  <c r="C24" i="77"/>
  <c r="E25" i="25" s="1"/>
  <c r="C25" i="77"/>
  <c r="E26" i="25" s="1"/>
  <c r="C26" i="77"/>
  <c r="E27" i="25" s="1"/>
  <c r="C28" i="77"/>
  <c r="E29" i="25" s="1"/>
  <c r="P29" i="77"/>
  <c r="C30" i="77"/>
  <c r="E31" i="25" s="1"/>
  <c r="C31" i="77"/>
  <c r="E32" i="25" s="1"/>
  <c r="D32" i="77"/>
  <c r="C32" i="77" s="1"/>
  <c r="E33" i="25" s="1"/>
  <c r="C33" i="77"/>
  <c r="E34" i="25" s="1"/>
  <c r="D34" i="77"/>
  <c r="E34" i="77"/>
  <c r="F34" i="77"/>
  <c r="G34" i="77"/>
  <c r="H34" i="77"/>
  <c r="I34" i="77"/>
  <c r="J34" i="77"/>
  <c r="K34" i="77"/>
  <c r="L34" i="77"/>
  <c r="M34" i="77"/>
  <c r="N34" i="77"/>
  <c r="O34" i="77"/>
  <c r="E47" i="25"/>
  <c r="C36" i="77"/>
  <c r="N37" i="77"/>
  <c r="O37" i="77"/>
  <c r="Q37" i="77"/>
  <c r="R37" i="77"/>
  <c r="C38" i="77"/>
  <c r="C39" i="77"/>
  <c r="E51" i="25" s="1"/>
  <c r="C40" i="77"/>
  <c r="E52" i="25" s="1"/>
  <c r="C41" i="77"/>
  <c r="E53" i="25" s="1"/>
  <c r="C42" i="77"/>
  <c r="E54" i="25" s="1"/>
  <c r="D43" i="77"/>
  <c r="E43" i="77"/>
  <c r="F43" i="77"/>
  <c r="G43" i="77"/>
  <c r="H43" i="77"/>
  <c r="I43" i="77"/>
  <c r="J43" i="77"/>
  <c r="K43" i="77"/>
  <c r="L43" i="77"/>
  <c r="N43" i="77"/>
  <c r="O43" i="77"/>
  <c r="C44" i="77"/>
  <c r="C45" i="77"/>
  <c r="E57" i="25" s="1"/>
  <c r="C46" i="77"/>
  <c r="E58" i="25" s="1"/>
  <c r="C47" i="77"/>
  <c r="E59" i="25" s="1"/>
  <c r="C49" i="77"/>
  <c r="E61" i="25" s="1"/>
  <c r="C50" i="77"/>
  <c r="E62" i="25" s="1"/>
  <c r="C51" i="77"/>
  <c r="E63" i="25" s="1"/>
  <c r="C52" i="77"/>
  <c r="E64" i="25" s="1"/>
  <c r="C53" i="77"/>
  <c r="E65" i="25" s="1"/>
  <c r="C54" i="77"/>
  <c r="E66" i="25" s="1"/>
  <c r="T7" i="77" l="1"/>
  <c r="M27" i="77"/>
  <c r="C27" i="77" s="1"/>
  <c r="E28" i="25" s="1"/>
  <c r="C29" i="77"/>
  <c r="E30" i="25" s="1"/>
  <c r="P8" i="77"/>
  <c r="I13" i="70"/>
  <c r="E56" i="25"/>
  <c r="E50" i="25"/>
  <c r="C37" i="77"/>
  <c r="E48" i="25"/>
  <c r="C34" i="77"/>
  <c r="E10" i="25"/>
  <c r="E21" i="25"/>
  <c r="D8" i="77"/>
  <c r="W8" i="77" s="1"/>
  <c r="E60" i="25"/>
  <c r="P39" i="72" l="1"/>
  <c r="N39" i="72"/>
  <c r="O39" i="72" s="1"/>
  <c r="H39" i="72"/>
  <c r="E39" i="72"/>
  <c r="D21" i="67" l="1"/>
  <c r="E38" i="72"/>
  <c r="C32" i="72"/>
  <c r="H16" i="70"/>
  <c r="H15" i="70"/>
  <c r="I16" i="70" l="1"/>
  <c r="H22" i="77"/>
  <c r="C22" i="77" s="1"/>
  <c r="I15" i="70"/>
  <c r="M21" i="77"/>
  <c r="H12" i="70"/>
  <c r="H8" i="70" s="1"/>
  <c r="I17" i="70"/>
  <c r="B57" i="68"/>
  <c r="B56" i="68"/>
  <c r="E23" i="25" l="1"/>
  <c r="V23" i="77"/>
  <c r="O21" i="77"/>
  <c r="C21" i="77"/>
  <c r="C18" i="68"/>
  <c r="E22" i="25" l="1"/>
  <c r="E9" i="25" s="1"/>
  <c r="C8" i="77"/>
  <c r="E23" i="89"/>
  <c r="D17" i="45"/>
  <c r="E28" i="79" s="1"/>
  <c r="K63" i="92"/>
  <c r="J63" i="92"/>
  <c r="J60" i="92"/>
  <c r="J59" i="92"/>
  <c r="K57" i="92"/>
  <c r="J57" i="92"/>
  <c r="J56" i="92"/>
  <c r="K55" i="92"/>
  <c r="K52" i="92"/>
  <c r="J52" i="92"/>
  <c r="K51" i="92"/>
  <c r="J48" i="92"/>
  <c r="K47" i="92"/>
  <c r="J47" i="92"/>
  <c r="K32" i="92"/>
  <c r="J31" i="92"/>
  <c r="K31" i="92" s="1"/>
  <c r="J30" i="92"/>
  <c r="J29" i="92"/>
  <c r="K29" i="92" s="1"/>
  <c r="K28" i="92" s="1"/>
  <c r="J24" i="92"/>
  <c r="K22" i="92"/>
  <c r="J21" i="92"/>
  <c r="K21" i="92" s="1"/>
  <c r="J19" i="92"/>
  <c r="J18" i="92" s="1"/>
  <c r="K16" i="92"/>
  <c r="J15" i="92"/>
  <c r="J13" i="92"/>
  <c r="K54" i="92"/>
  <c r="K35" i="92"/>
  <c r="J35" i="92"/>
  <c r="J28" i="92"/>
  <c r="K23" i="92"/>
  <c r="J23" i="92"/>
  <c r="K19" i="92"/>
  <c r="J12" i="92"/>
  <c r="K12" i="92"/>
  <c r="G63" i="92"/>
  <c r="I64" i="92"/>
  <c r="F64" i="92"/>
  <c r="F69" i="92" s="1"/>
  <c r="H63" i="92"/>
  <c r="G60" i="92"/>
  <c r="G59" i="92"/>
  <c r="H57" i="92"/>
  <c r="G57" i="92"/>
  <c r="G56" i="92"/>
  <c r="H55" i="92"/>
  <c r="H54" i="92"/>
  <c r="H52" i="92"/>
  <c r="G52" i="92"/>
  <c r="H51" i="92"/>
  <c r="G48" i="92"/>
  <c r="H47" i="92"/>
  <c r="G47" i="92"/>
  <c r="H32" i="92"/>
  <c r="G31" i="92"/>
  <c r="H31" i="92" s="1"/>
  <c r="G30" i="92"/>
  <c r="H29" i="92"/>
  <c r="G29" i="92"/>
  <c r="G24" i="92"/>
  <c r="G23" i="92" s="1"/>
  <c r="H22" i="92"/>
  <c r="H21" i="92"/>
  <c r="G21" i="92"/>
  <c r="H19" i="92"/>
  <c r="H18" i="92" s="1"/>
  <c r="H11" i="92" s="1"/>
  <c r="G19" i="92"/>
  <c r="H16" i="92"/>
  <c r="G15" i="92"/>
  <c r="G13" i="92"/>
  <c r="G12" i="92" s="1"/>
  <c r="H35" i="92"/>
  <c r="I35" i="92"/>
  <c r="G35" i="92"/>
  <c r="I28" i="92"/>
  <c r="H23" i="92"/>
  <c r="I23" i="92"/>
  <c r="I18" i="92"/>
  <c r="G18" i="92"/>
  <c r="H12" i="92"/>
  <c r="I12" i="92"/>
  <c r="I11" i="92"/>
  <c r="I69" i="92" s="1"/>
  <c r="E69" i="92"/>
  <c r="G36" i="85" l="1"/>
  <c r="E27" i="79"/>
  <c r="I9" i="92"/>
  <c r="I10" i="92" s="1"/>
  <c r="K18" i="92"/>
  <c r="K11" i="92" s="1"/>
  <c r="K9" i="92"/>
  <c r="J11" i="92"/>
  <c r="J9" i="92" s="1"/>
  <c r="H28" i="92"/>
  <c r="G28" i="92"/>
  <c r="H9" i="92"/>
  <c r="G11" i="92"/>
  <c r="G9" i="92" s="1"/>
  <c r="G19" i="86"/>
  <c r="G20" i="86"/>
  <c r="G21" i="86"/>
  <c r="G20" i="89" s="1"/>
  <c r="G18" i="86"/>
  <c r="G17" i="86"/>
  <c r="G16" i="86"/>
  <c r="G15" i="86"/>
  <c r="G14" i="86"/>
  <c r="G13" i="86"/>
  <c r="F21" i="86"/>
  <c r="F20" i="89" s="1"/>
  <c r="F20" i="86"/>
  <c r="F19" i="86"/>
  <c r="F18" i="86"/>
  <c r="F17" i="86"/>
  <c r="F16" i="86"/>
  <c r="F15" i="86"/>
  <c r="F14" i="86"/>
  <c r="F13" i="86"/>
  <c r="G11" i="85"/>
  <c r="H11" i="85" s="1"/>
  <c r="F11" i="87" s="1"/>
  <c r="G12" i="85"/>
  <c r="G10" i="85"/>
  <c r="D28" i="85"/>
  <c r="BE66" i="92"/>
  <c r="BE65" i="92"/>
  <c r="BE64" i="92"/>
  <c r="BE63" i="92"/>
  <c r="BE62" i="92"/>
  <c r="BE61" i="92"/>
  <c r="BE60" i="92"/>
  <c r="BE59" i="92"/>
  <c r="BE58" i="92"/>
  <c r="BE57" i="92"/>
  <c r="BE56" i="92"/>
  <c r="BE55" i="92"/>
  <c r="BE54" i="92"/>
  <c r="BE53" i="92"/>
  <c r="BE52" i="92"/>
  <c r="BE51" i="92"/>
  <c r="BE50" i="92"/>
  <c r="BE49" i="92"/>
  <c r="BE48" i="92"/>
  <c r="BE47" i="92"/>
  <c r="BE46" i="92"/>
  <c r="BE45" i="92"/>
  <c r="BE44" i="92"/>
  <c r="BE43" i="92"/>
  <c r="BE42" i="92"/>
  <c r="BE41" i="92"/>
  <c r="BE40" i="92"/>
  <c r="BE39" i="92"/>
  <c r="BE38" i="92"/>
  <c r="BE37" i="92"/>
  <c r="BE36" i="92"/>
  <c r="BE35" i="92"/>
  <c r="BE34" i="92"/>
  <c r="BE33" i="92"/>
  <c r="BE32" i="92"/>
  <c r="BE31" i="92"/>
  <c r="BE30" i="92"/>
  <c r="BE29" i="92"/>
  <c r="BE28" i="92"/>
  <c r="BE27" i="92"/>
  <c r="BE26" i="92"/>
  <c r="BE25" i="92"/>
  <c r="BE24" i="92"/>
  <c r="BE23" i="92"/>
  <c r="BE22" i="92"/>
  <c r="BE21" i="92"/>
  <c r="BE20" i="92"/>
  <c r="BE19" i="92"/>
  <c r="BE18" i="92"/>
  <c r="BE17" i="92"/>
  <c r="BE16" i="92"/>
  <c r="BE15" i="92"/>
  <c r="BE14" i="92"/>
  <c r="BE13" i="92"/>
  <c r="BE12" i="92"/>
  <c r="BG11" i="92"/>
  <c r="BF11" i="92"/>
  <c r="BE11" i="92"/>
  <c r="BD9" i="92"/>
  <c r="BD10" i="92" s="1"/>
  <c r="BC9" i="92"/>
  <c r="BC10" i="92" s="1"/>
  <c r="BB9" i="92"/>
  <c r="BB10" i="92" s="1"/>
  <c r="BA9" i="92"/>
  <c r="BA10" i="92" s="1"/>
  <c r="AZ9" i="92"/>
  <c r="AZ10" i="92" s="1"/>
  <c r="AY9" i="92"/>
  <c r="AY10" i="92" s="1"/>
  <c r="AX9" i="92"/>
  <c r="AX10" i="92" s="1"/>
  <c r="AW9" i="92"/>
  <c r="AW10" i="92" s="1"/>
  <c r="AV9" i="92"/>
  <c r="AV10" i="92" s="1"/>
  <c r="AU9" i="92"/>
  <c r="AU10" i="92" s="1"/>
  <c r="AT9" i="92"/>
  <c r="AT10" i="92" s="1"/>
  <c r="AS9" i="92"/>
  <c r="AS10" i="92" s="1"/>
  <c r="AR9" i="92"/>
  <c r="AR10" i="92" s="1"/>
  <c r="AQ9" i="92"/>
  <c r="AQ10" i="92" s="1"/>
  <c r="AP9" i="92"/>
  <c r="AP10" i="92" s="1"/>
  <c r="AO9" i="92"/>
  <c r="AO10" i="92" s="1"/>
  <c r="AN9" i="92"/>
  <c r="AN10" i="92" s="1"/>
  <c r="AM9" i="92"/>
  <c r="AM10" i="92" s="1"/>
  <c r="AL9" i="92"/>
  <c r="AL10" i="92" s="1"/>
  <c r="AK9" i="92"/>
  <c r="AK10" i="92" s="1"/>
  <c r="AJ9" i="92"/>
  <c r="AJ10" i="92" s="1"/>
  <c r="AI9" i="92"/>
  <c r="AI10" i="92" s="1"/>
  <c r="AH9" i="92"/>
  <c r="AH10" i="92" s="1"/>
  <c r="AG9" i="92"/>
  <c r="AG10" i="92" s="1"/>
  <c r="AF9" i="92"/>
  <c r="AF10" i="92" s="1"/>
  <c r="AE9" i="92"/>
  <c r="AE10" i="92" s="1"/>
  <c r="AD9" i="92"/>
  <c r="AD10" i="92" s="1"/>
  <c r="AC9" i="92"/>
  <c r="AC10" i="92" s="1"/>
  <c r="AB9" i="92"/>
  <c r="AB10" i="92" s="1"/>
  <c r="AA9" i="92"/>
  <c r="AA10" i="92" s="1"/>
  <c r="Z9" i="92"/>
  <c r="Z10" i="92" s="1"/>
  <c r="Y9" i="92"/>
  <c r="Y10" i="92" s="1"/>
  <c r="X9" i="92"/>
  <c r="X10" i="92" s="1"/>
  <c r="W9" i="92"/>
  <c r="W10" i="92" s="1"/>
  <c r="V9" i="92"/>
  <c r="V10" i="92" s="1"/>
  <c r="U9" i="92"/>
  <c r="U10" i="92" s="1"/>
  <c r="T9" i="92"/>
  <c r="T10" i="92" s="1"/>
  <c r="S9" i="92"/>
  <c r="S10" i="92" s="1"/>
  <c r="R9" i="92"/>
  <c r="R10" i="92" s="1"/>
  <c r="Q9" i="92"/>
  <c r="Q10" i="92" s="1"/>
  <c r="P9" i="92"/>
  <c r="P10" i="92" s="1"/>
  <c r="O9" i="92"/>
  <c r="O10" i="92" s="1"/>
  <c r="N9" i="92"/>
  <c r="BF9" i="92" s="1"/>
  <c r="M9" i="92"/>
  <c r="M10" i="92" s="1"/>
  <c r="L9" i="92"/>
  <c r="L10" i="92" s="1"/>
  <c r="F9" i="92"/>
  <c r="F10" i="92" s="1"/>
  <c r="E9" i="92"/>
  <c r="E10" i="92" s="1"/>
  <c r="D9" i="92"/>
  <c r="D10" i="92" s="1"/>
  <c r="C9" i="92"/>
  <c r="C10" i="92" s="1"/>
  <c r="N7" i="92"/>
  <c r="S7" i="92" s="1"/>
  <c r="X7" i="92" s="1"/>
  <c r="AC7" i="92" s="1"/>
  <c r="AH7" i="92" s="1"/>
  <c r="AM7" i="92" s="1"/>
  <c r="AR7" i="92" s="1"/>
  <c r="AW7" i="92" s="1"/>
  <c r="BB7" i="92" s="1"/>
  <c r="L7" i="92"/>
  <c r="Q7" i="92" s="1"/>
  <c r="V7" i="92" s="1"/>
  <c r="AA7" i="92" s="1"/>
  <c r="AF7" i="92" s="1"/>
  <c r="AK7" i="92" s="1"/>
  <c r="AP7" i="92" s="1"/>
  <c r="AU7" i="92" s="1"/>
  <c r="AZ7" i="92" s="1"/>
  <c r="G19" i="89" l="1"/>
  <c r="G15" i="89" s="1"/>
  <c r="G29" i="89"/>
  <c r="G24" i="89" s="1"/>
  <c r="G10" i="92"/>
  <c r="H30" i="85"/>
  <c r="F8" i="87"/>
  <c r="J10" i="92"/>
  <c r="I30" i="85"/>
  <c r="G8" i="87"/>
  <c r="G42" i="79"/>
  <c r="F27" i="79"/>
  <c r="F19" i="89"/>
  <c r="F15" i="89" s="1"/>
  <c r="F29" i="89"/>
  <c r="F24" i="89" s="1"/>
  <c r="H10" i="92"/>
  <c r="F26" i="87"/>
  <c r="K10" i="92"/>
  <c r="G26" i="87"/>
  <c r="BE10" i="92"/>
  <c r="F9" i="86"/>
  <c r="G9" i="86"/>
  <c r="BE9" i="92"/>
  <c r="BG9" i="92"/>
  <c r="N10" i="92"/>
  <c r="F14" i="89" l="1"/>
  <c r="H18" i="85" s="1"/>
  <c r="H19" i="85" s="1"/>
  <c r="F17" i="89"/>
  <c r="G14" i="89"/>
  <c r="I18" i="85" s="1"/>
  <c r="G28" i="85"/>
  <c r="G11" i="67"/>
  <c r="G37" i="67"/>
  <c r="C64" i="77"/>
  <c r="E75" i="25" s="1"/>
  <c r="G40" i="74"/>
  <c r="E44" i="74"/>
  <c r="E40" i="74"/>
  <c r="E45" i="74" s="1"/>
  <c r="E46" i="74" s="1"/>
  <c r="J28" i="68"/>
  <c r="D35" i="69"/>
  <c r="F35" i="69"/>
  <c r="G41" i="74" l="1"/>
  <c r="G42" i="74" s="1"/>
  <c r="I17" i="85"/>
  <c r="I19" i="85"/>
  <c r="D19" i="69"/>
  <c r="F9" i="69"/>
  <c r="G9" i="69"/>
  <c r="H56" i="68"/>
  <c r="G51" i="68"/>
  <c r="C44" i="39" s="1"/>
  <c r="B53" i="68"/>
  <c r="D51" i="45" s="1"/>
  <c r="B54" i="68"/>
  <c r="D50" i="45" s="1"/>
  <c r="B52" i="68"/>
  <c r="G39" i="45" s="1"/>
  <c r="H39" i="45" s="1"/>
  <c r="B46" i="68"/>
  <c r="B47" i="68"/>
  <c r="B49" i="68"/>
  <c r="B50" i="68"/>
  <c r="G48" i="68"/>
  <c r="B48" i="68" s="1"/>
  <c r="G45" i="68"/>
  <c r="B45" i="68" s="1"/>
  <c r="E36" i="69"/>
  <c r="B38" i="68"/>
  <c r="AK46" i="69"/>
  <c r="AJ46" i="69"/>
  <c r="AI46" i="69"/>
  <c r="AH46" i="69"/>
  <c r="AG46" i="69"/>
  <c r="AF46" i="69"/>
  <c r="AE46" i="69"/>
  <c r="AD46" i="69"/>
  <c r="R38" i="72"/>
  <c r="I14" i="70"/>
  <c r="F25" i="69"/>
  <c r="G20" i="85" l="1"/>
  <c r="D24" i="88"/>
  <c r="C51" i="39"/>
  <c r="D36" i="45"/>
  <c r="D33" i="45"/>
  <c r="E51" i="45"/>
  <c r="E92" i="89"/>
  <c r="E89" i="89" s="1"/>
  <c r="E41" i="89"/>
  <c r="D35" i="45"/>
  <c r="D16" i="88"/>
  <c r="E45" i="89"/>
  <c r="E47" i="89" s="1"/>
  <c r="D32" i="45"/>
  <c r="E50" i="45"/>
  <c r="E93" i="89"/>
  <c r="D38" i="45"/>
  <c r="AC46" i="69"/>
  <c r="G44" i="68"/>
  <c r="B44" i="68" s="1"/>
  <c r="G25" i="85" s="1"/>
  <c r="E37" i="89" l="1"/>
  <c r="E43" i="89"/>
  <c r="E49" i="89"/>
  <c r="I50" i="89" s="1"/>
  <c r="D43" i="69"/>
  <c r="D33" i="69" l="1"/>
  <c r="E33" i="69" s="1"/>
  <c r="C63" i="77"/>
  <c r="E74" i="25" s="1"/>
  <c r="D32" i="69"/>
  <c r="L8" i="69"/>
  <c r="K8" i="69"/>
  <c r="H15" i="68" l="1"/>
  <c r="H13" i="68" s="1"/>
  <c r="C10" i="68"/>
  <c r="E6" i="76" l="1"/>
  <c r="E7" i="76"/>
  <c r="E8" i="76"/>
  <c r="E9" i="76"/>
  <c r="E10" i="76"/>
  <c r="E11" i="76"/>
  <c r="E12" i="76"/>
  <c r="H20" i="67" l="1"/>
  <c r="D29" i="69"/>
  <c r="E29" i="69" s="1"/>
  <c r="AC29" i="69"/>
  <c r="AC30" i="69"/>
  <c r="T30" i="72"/>
  <c r="C30" i="72"/>
  <c r="C11" i="70" l="1"/>
  <c r="I11" i="70"/>
  <c r="I10" i="70"/>
  <c r="F10" i="69"/>
  <c r="D30" i="69"/>
  <c r="D17" i="69"/>
  <c r="R60" i="77" l="1"/>
  <c r="F39" i="69"/>
  <c r="F31" i="69"/>
  <c r="P31" i="69" s="1"/>
  <c r="P8" i="69" s="1"/>
  <c r="V30" i="69"/>
  <c r="F30" i="69" s="1"/>
  <c r="M66" i="77"/>
  <c r="M60" i="77" s="1"/>
  <c r="F28" i="69"/>
  <c r="AC25" i="69"/>
  <c r="F11" i="69"/>
  <c r="E70" i="25" l="1"/>
  <c r="C55" i="77"/>
  <c r="F8" i="77"/>
  <c r="Y8" i="77" s="1"/>
  <c r="R8" i="77"/>
  <c r="N8" i="77"/>
  <c r="H8" i="77"/>
  <c r="L8" i="77"/>
  <c r="D57" i="77"/>
  <c r="E57" i="77"/>
  <c r="F57" i="77"/>
  <c r="H57" i="77"/>
  <c r="I57" i="77"/>
  <c r="J57" i="77"/>
  <c r="K57" i="77"/>
  <c r="L57" i="77"/>
  <c r="M57" i="77"/>
  <c r="N57" i="77"/>
  <c r="O57" i="77"/>
  <c r="P57" i="77"/>
  <c r="Q57" i="77"/>
  <c r="R57" i="77"/>
  <c r="N60" i="77"/>
  <c r="O60" i="77"/>
  <c r="P60" i="77"/>
  <c r="Q60" i="77"/>
  <c r="C61" i="77"/>
  <c r="E72" i="25" s="1"/>
  <c r="C65" i="77"/>
  <c r="E76" i="25" s="1"/>
  <c r="C67" i="77"/>
  <c r="E78" i="25" s="1"/>
  <c r="C68" i="77"/>
  <c r="E79" i="25" s="1"/>
  <c r="C69" i="77"/>
  <c r="E80" i="25" s="1"/>
  <c r="C70" i="77"/>
  <c r="E81" i="25" s="1"/>
  <c r="C71" i="77"/>
  <c r="E82" i="25" s="1"/>
  <c r="C72" i="77"/>
  <c r="E83" i="25" s="1"/>
  <c r="C74" i="77"/>
  <c r="E84" i="25" s="1"/>
  <c r="C75" i="77"/>
  <c r="E85" i="25" s="1"/>
  <c r="C76" i="77"/>
  <c r="E86" i="25" s="1"/>
  <c r="AA8" i="77" l="1"/>
  <c r="AD9" i="77"/>
  <c r="E67" i="25"/>
  <c r="C43" i="77"/>
  <c r="E69" i="25"/>
  <c r="W58" i="77"/>
  <c r="C57" i="77"/>
  <c r="C66" i="77"/>
  <c r="E77" i="25" s="1"/>
  <c r="L7" i="77"/>
  <c r="C36" i="39" s="1"/>
  <c r="AL9" i="77"/>
  <c r="N7" i="77"/>
  <c r="N80" i="77" s="1"/>
  <c r="AI9" i="77"/>
  <c r="G42" i="68"/>
  <c r="J8" i="77"/>
  <c r="AC8" i="77" s="1"/>
  <c r="E8" i="77"/>
  <c r="X8" i="77" s="1"/>
  <c r="Q8" i="77"/>
  <c r="Q7" i="77" s="1"/>
  <c r="C39" i="39" s="1"/>
  <c r="K8" i="77"/>
  <c r="AD8" i="77" s="1"/>
  <c r="R7" i="77"/>
  <c r="AK9" i="77"/>
  <c r="F7" i="77"/>
  <c r="C40" i="39" l="1"/>
  <c r="C36" i="68"/>
  <c r="V43" i="77"/>
  <c r="V8" i="77"/>
  <c r="V27" i="77"/>
  <c r="L29" i="68"/>
  <c r="V9" i="77"/>
  <c r="C35" i="68"/>
  <c r="C30" i="39"/>
  <c r="G40" i="68"/>
  <c r="D26" i="88" s="1"/>
  <c r="Q80" i="77"/>
  <c r="C32" i="68"/>
  <c r="M8" i="77"/>
  <c r="M7" i="77" s="1"/>
  <c r="K7" i="77"/>
  <c r="C35" i="39" s="1"/>
  <c r="AJ9" i="77"/>
  <c r="E7" i="77"/>
  <c r="O8" i="77"/>
  <c r="O7" i="77" s="1"/>
  <c r="O80" i="77" s="1"/>
  <c r="G8" i="77"/>
  <c r="Z8" i="77" s="1"/>
  <c r="J7" i="77"/>
  <c r="AH9" i="77"/>
  <c r="I8" i="77"/>
  <c r="AB8" i="77" s="1"/>
  <c r="P7" i="77"/>
  <c r="C33" i="68" s="1"/>
  <c r="C34" i="39" l="1"/>
  <c r="C31" i="68"/>
  <c r="C27" i="68"/>
  <c r="C29" i="39"/>
  <c r="C38" i="39"/>
  <c r="P80" i="77"/>
  <c r="P82" i="77" s="1"/>
  <c r="P84" i="77" s="1"/>
  <c r="I7" i="77"/>
  <c r="C29" i="68" s="1"/>
  <c r="G7" i="77"/>
  <c r="C34" i="68" s="1"/>
  <c r="D7" i="77"/>
  <c r="C22" i="68" l="1"/>
  <c r="C28" i="39"/>
  <c r="C31" i="39"/>
  <c r="C33" i="39"/>
  <c r="C37" i="39"/>
  <c r="C21" i="68"/>
  <c r="M80" i="77"/>
  <c r="C29" i="72" l="1"/>
  <c r="K28" i="67" l="1"/>
  <c r="K27" i="67"/>
  <c r="K26" i="67"/>
  <c r="M382" i="91"/>
  <c r="M384" i="91"/>
  <c r="M385" i="91"/>
  <c r="M386" i="91"/>
  <c r="AA13" i="67"/>
  <c r="K25" i="67"/>
  <c r="J28" i="67"/>
  <c r="J27" i="67"/>
  <c r="J26" i="67"/>
  <c r="G357" i="91" l="1"/>
  <c r="G341" i="91" s="1"/>
  <c r="F341" i="91"/>
  <c r="M358" i="91"/>
  <c r="M360" i="91"/>
  <c r="M361" i="91"/>
  <c r="M362" i="91"/>
  <c r="Y20" i="67" l="1"/>
  <c r="I28" i="67"/>
  <c r="I27" i="67"/>
  <c r="I26" i="67"/>
  <c r="M245" i="91"/>
  <c r="M247" i="91"/>
  <c r="M249" i="91"/>
  <c r="M250" i="91"/>
  <c r="M251" i="91"/>
  <c r="I25" i="67"/>
  <c r="H28" i="67" l="1"/>
  <c r="H27" i="67"/>
  <c r="H26" i="67"/>
  <c r="O278" i="91"/>
  <c r="O279" i="91"/>
  <c r="O280" i="91"/>
  <c r="O281" i="91"/>
  <c r="O282" i="91"/>
  <c r="O283" i="91"/>
  <c r="O284" i="91"/>
  <c r="O285" i="91"/>
  <c r="O286" i="91"/>
  <c r="O287" i="91"/>
  <c r="O288" i="91"/>
  <c r="O294" i="91"/>
  <c r="M291" i="91"/>
  <c r="O291" i="91" s="1"/>
  <c r="M293" i="91"/>
  <c r="O293" i="91" s="1"/>
  <c r="M294" i="91"/>
  <c r="G34" i="67"/>
  <c r="G28" i="67"/>
  <c r="G27" i="67"/>
  <c r="G26" i="67"/>
  <c r="G21" i="67"/>
  <c r="U30" i="67"/>
  <c r="G30" i="67" s="1"/>
  <c r="G32" i="67"/>
  <c r="N338" i="91"/>
  <c r="N334" i="91"/>
  <c r="S27" i="67"/>
  <c r="F28" i="67"/>
  <c r="F27" i="67"/>
  <c r="F26" i="67"/>
  <c r="N312" i="91"/>
  <c r="N314" i="91"/>
  <c r="N315" i="91"/>
  <c r="N316" i="91"/>
  <c r="F25" i="67"/>
  <c r="E28" i="67"/>
  <c r="E27" i="67"/>
  <c r="E26" i="67"/>
  <c r="U19" i="67" l="1"/>
  <c r="N271" i="91"/>
  <c r="N273" i="91"/>
  <c r="D26" i="67"/>
  <c r="D28" i="67"/>
  <c r="D27" i="67"/>
  <c r="N227" i="91"/>
  <c r="N228" i="91"/>
  <c r="D214" i="91"/>
  <c r="C388" i="91"/>
  <c r="M388" i="91" s="1"/>
  <c r="C387" i="91"/>
  <c r="M387" i="91" s="1"/>
  <c r="K31" i="67" s="1"/>
  <c r="C383" i="91"/>
  <c r="M383" i="91" s="1"/>
  <c r="C381" i="91"/>
  <c r="M381" i="91" s="1"/>
  <c r="C380" i="91"/>
  <c r="M380" i="91" s="1"/>
  <c r="C377" i="91"/>
  <c r="C374" i="91"/>
  <c r="C373" i="91"/>
  <c r="C370" i="91"/>
  <c r="C368" i="91"/>
  <c r="C367" i="91"/>
  <c r="L366" i="91"/>
  <c r="K366" i="91"/>
  <c r="I366" i="91"/>
  <c r="G366" i="91"/>
  <c r="F366" i="91"/>
  <c r="E366" i="91"/>
  <c r="D366" i="91"/>
  <c r="C366" i="91" s="1"/>
  <c r="M366" i="91" s="1"/>
  <c r="L365" i="91"/>
  <c r="K365" i="91"/>
  <c r="J365" i="91"/>
  <c r="I365" i="91"/>
  <c r="H365" i="91"/>
  <c r="G365" i="91"/>
  <c r="F365" i="91"/>
  <c r="E365" i="91"/>
  <c r="D365" i="91"/>
  <c r="C365" i="91" s="1"/>
  <c r="L364" i="91"/>
  <c r="C364" i="91" s="1"/>
  <c r="C363" i="91"/>
  <c r="M363" i="91" s="1"/>
  <c r="J31" i="67" s="1"/>
  <c r="C359" i="91"/>
  <c r="M359" i="91" s="1"/>
  <c r="C357" i="91"/>
  <c r="M357" i="91" s="1"/>
  <c r="C356" i="91"/>
  <c r="M356" i="91" s="1"/>
  <c r="C353" i="91"/>
  <c r="S350" i="91"/>
  <c r="R350" i="91"/>
  <c r="Q350" i="91"/>
  <c r="C350" i="91"/>
  <c r="C349" i="91"/>
  <c r="C346" i="91"/>
  <c r="C344" i="91"/>
  <c r="C343" i="91"/>
  <c r="L342" i="91"/>
  <c r="K342" i="91"/>
  <c r="I342" i="91"/>
  <c r="H342" i="91"/>
  <c r="E342" i="91"/>
  <c r="D342" i="91"/>
  <c r="C342" i="91" s="1"/>
  <c r="M342" i="91" s="1"/>
  <c r="L341" i="91"/>
  <c r="K341" i="91"/>
  <c r="J341" i="91"/>
  <c r="I341" i="91"/>
  <c r="H341" i="91"/>
  <c r="D341" i="91"/>
  <c r="C341" i="91" s="1"/>
  <c r="L340" i="91"/>
  <c r="C340" i="91" s="1"/>
  <c r="C339" i="91"/>
  <c r="N339" i="91" s="1"/>
  <c r="G31" i="67" s="1"/>
  <c r="C337" i="91"/>
  <c r="N337" i="91" s="1"/>
  <c r="C336" i="91"/>
  <c r="N336" i="91" s="1"/>
  <c r="C335" i="91"/>
  <c r="N335" i="91" s="1"/>
  <c r="C333" i="91"/>
  <c r="N333" i="91" s="1"/>
  <c r="C332" i="91"/>
  <c r="N332" i="91" s="1"/>
  <c r="C329" i="91"/>
  <c r="C326" i="91"/>
  <c r="C325" i="91"/>
  <c r="C324" i="91"/>
  <c r="C322" i="91"/>
  <c r="C321" i="91"/>
  <c r="L320" i="91"/>
  <c r="L319" i="91" s="1"/>
  <c r="K320" i="91"/>
  <c r="I320" i="91"/>
  <c r="H320" i="91"/>
  <c r="G320" i="91"/>
  <c r="F320" i="91"/>
  <c r="E320" i="91"/>
  <c r="E319" i="91" s="1"/>
  <c r="D320" i="91"/>
  <c r="C320" i="91"/>
  <c r="N320" i="91" s="1"/>
  <c r="N319" i="91" s="1"/>
  <c r="K319" i="91"/>
  <c r="J319" i="91"/>
  <c r="I319" i="91"/>
  <c r="H319" i="91"/>
  <c r="F319" i="91"/>
  <c r="D319" i="91"/>
  <c r="C319" i="91" s="1"/>
  <c r="L318" i="91"/>
  <c r="C318" i="91" s="1"/>
  <c r="C317" i="91"/>
  <c r="N317" i="91" s="1"/>
  <c r="F31" i="67" s="1"/>
  <c r="C313" i="91"/>
  <c r="N313" i="91" s="1"/>
  <c r="C311" i="91"/>
  <c r="N311" i="91" s="1"/>
  <c r="C310" i="91"/>
  <c r="N310" i="91" s="1"/>
  <c r="C307" i="91"/>
  <c r="C304" i="91"/>
  <c r="C303" i="91"/>
  <c r="C302" i="91"/>
  <c r="C300" i="91"/>
  <c r="C299" i="91"/>
  <c r="L298" i="91"/>
  <c r="L297" i="91" s="1"/>
  <c r="K298" i="91"/>
  <c r="I298" i="91"/>
  <c r="H298" i="91"/>
  <c r="G298" i="91"/>
  <c r="F298" i="91"/>
  <c r="E298" i="91"/>
  <c r="D298" i="91"/>
  <c r="C298" i="91"/>
  <c r="N298" i="91" s="1"/>
  <c r="N297" i="91" s="1"/>
  <c r="K297" i="91"/>
  <c r="J297" i="91"/>
  <c r="I297" i="91"/>
  <c r="H297" i="91"/>
  <c r="G297" i="91"/>
  <c r="F297" i="91"/>
  <c r="E297" i="91"/>
  <c r="D297" i="91"/>
  <c r="L296" i="91"/>
  <c r="C296" i="91" s="1"/>
  <c r="M296" i="91" s="1"/>
  <c r="C295" i="91"/>
  <c r="M295" i="91" s="1"/>
  <c r="O295" i="91" s="1"/>
  <c r="H31" i="67" s="1"/>
  <c r="C292" i="91"/>
  <c r="M292" i="91" s="1"/>
  <c r="O292" i="91" s="1"/>
  <c r="C290" i="91"/>
  <c r="M290" i="91" s="1"/>
  <c r="O290" i="91" s="1"/>
  <c r="C289" i="91"/>
  <c r="M289" i="91" s="1"/>
  <c r="O289" i="91" s="1"/>
  <c r="C286" i="91"/>
  <c r="C283" i="91"/>
  <c r="C282" i="91"/>
  <c r="C281" i="91"/>
  <c r="C279" i="91"/>
  <c r="C278" i="91"/>
  <c r="L277" i="91"/>
  <c r="L276" i="91" s="1"/>
  <c r="L200" i="91" s="1"/>
  <c r="K277" i="91"/>
  <c r="I277" i="91"/>
  <c r="G277" i="91"/>
  <c r="F277" i="91"/>
  <c r="F276" i="91" s="1"/>
  <c r="E277" i="91"/>
  <c r="D277" i="91"/>
  <c r="D276" i="91" s="1"/>
  <c r="C276" i="91" s="1"/>
  <c r="K276" i="91"/>
  <c r="J276" i="91"/>
  <c r="I276" i="91"/>
  <c r="H276" i="91"/>
  <c r="G276" i="91"/>
  <c r="E276" i="91"/>
  <c r="L275" i="91"/>
  <c r="C275" i="91" s="1"/>
  <c r="C274" i="91"/>
  <c r="N274" i="91" s="1"/>
  <c r="E31" i="67" s="1"/>
  <c r="C272" i="91"/>
  <c r="N272" i="91" s="1"/>
  <c r="C270" i="91"/>
  <c r="N270" i="91" s="1"/>
  <c r="C269" i="91"/>
  <c r="N269" i="91" s="1"/>
  <c r="C268" i="91"/>
  <c r="N268" i="91" s="1"/>
  <c r="C267" i="91"/>
  <c r="N267" i="91" s="1"/>
  <c r="C264" i="91"/>
  <c r="C261" i="91"/>
  <c r="C260" i="91"/>
  <c r="C259" i="91"/>
  <c r="C257" i="91"/>
  <c r="C256" i="91"/>
  <c r="L255" i="91"/>
  <c r="K255" i="91"/>
  <c r="I255" i="91"/>
  <c r="H255" i="91"/>
  <c r="H254" i="91" s="1"/>
  <c r="G255" i="91"/>
  <c r="F255" i="91"/>
  <c r="F254" i="91" s="1"/>
  <c r="E255" i="91"/>
  <c r="D255" i="91"/>
  <c r="D254" i="91" s="1"/>
  <c r="L254" i="91"/>
  <c r="K254" i="91"/>
  <c r="J254" i="91"/>
  <c r="I254" i="91"/>
  <c r="G254" i="91"/>
  <c r="E254" i="91"/>
  <c r="L253" i="91"/>
  <c r="C253" i="91" s="1"/>
  <c r="C252" i="91"/>
  <c r="M252" i="91" s="1"/>
  <c r="I31" i="67" s="1"/>
  <c r="C248" i="91"/>
  <c r="M248" i="91" s="1"/>
  <c r="C246" i="91"/>
  <c r="M246" i="91" s="1"/>
  <c r="C244" i="91"/>
  <c r="M244" i="91" s="1"/>
  <c r="C241" i="91"/>
  <c r="C238" i="91"/>
  <c r="C237" i="91"/>
  <c r="C236" i="91"/>
  <c r="C234" i="91"/>
  <c r="C233" i="91"/>
  <c r="L232" i="91"/>
  <c r="K232" i="91"/>
  <c r="I232" i="91"/>
  <c r="H232" i="91"/>
  <c r="H231" i="91" s="1"/>
  <c r="H200" i="91" s="1"/>
  <c r="G232" i="91"/>
  <c r="F232" i="91"/>
  <c r="F231" i="91" s="1"/>
  <c r="F200" i="91" s="1"/>
  <c r="E232" i="91"/>
  <c r="D232" i="91"/>
  <c r="C232" i="91" s="1"/>
  <c r="M232" i="91" s="1"/>
  <c r="M231" i="91" s="1"/>
  <c r="L231" i="91"/>
  <c r="K231" i="91"/>
  <c r="J231" i="91"/>
  <c r="I231" i="91"/>
  <c r="G231" i="91"/>
  <c r="E231" i="91"/>
  <c r="L230" i="91"/>
  <c r="C230" i="91" s="1"/>
  <c r="C229" i="91"/>
  <c r="N229" i="91" s="1"/>
  <c r="D31" i="67" s="1"/>
  <c r="C226" i="91"/>
  <c r="N226" i="91" s="1"/>
  <c r="C224" i="91"/>
  <c r="N224" i="91" s="1"/>
  <c r="C223" i="91"/>
  <c r="N223" i="91" s="1"/>
  <c r="C219" i="91"/>
  <c r="C216" i="91"/>
  <c r="C215" i="91"/>
  <c r="C214" i="91"/>
  <c r="C212" i="91"/>
  <c r="C211" i="91"/>
  <c r="L210" i="91"/>
  <c r="K210" i="91"/>
  <c r="K209" i="91" s="1"/>
  <c r="K200" i="91" s="1"/>
  <c r="J210" i="91"/>
  <c r="I210" i="91"/>
  <c r="I209" i="91" s="1"/>
  <c r="I200" i="91" s="1"/>
  <c r="H210" i="91"/>
  <c r="G210" i="91"/>
  <c r="G209" i="91" s="1"/>
  <c r="G200" i="91" s="1"/>
  <c r="F210" i="91"/>
  <c r="E210" i="91"/>
  <c r="E209" i="91" s="1"/>
  <c r="E200" i="91" s="1"/>
  <c r="D210" i="91"/>
  <c r="L209" i="91"/>
  <c r="J209" i="91"/>
  <c r="H209" i="91"/>
  <c r="F209" i="91"/>
  <c r="D209" i="91"/>
  <c r="L207" i="91"/>
  <c r="K207" i="91"/>
  <c r="J207" i="91"/>
  <c r="I207" i="91"/>
  <c r="H207" i="91"/>
  <c r="G207" i="91"/>
  <c r="F207" i="91"/>
  <c r="E207" i="91"/>
  <c r="D207" i="91"/>
  <c r="L206" i="91"/>
  <c r="K206" i="91"/>
  <c r="J206" i="91"/>
  <c r="I206" i="91"/>
  <c r="H206" i="91"/>
  <c r="G206" i="91"/>
  <c r="F206" i="91"/>
  <c r="E206" i="91"/>
  <c r="D206" i="91"/>
  <c r="C206" i="91" s="1"/>
  <c r="L205" i="91"/>
  <c r="K205" i="91"/>
  <c r="J205" i="91"/>
  <c r="I205" i="91"/>
  <c r="H205" i="91"/>
  <c r="G205" i="91"/>
  <c r="F205" i="91"/>
  <c r="E205" i="91"/>
  <c r="D205" i="91"/>
  <c r="L204" i="91"/>
  <c r="K204" i="91"/>
  <c r="J204" i="91"/>
  <c r="I204" i="91"/>
  <c r="H204" i="91"/>
  <c r="G204" i="91"/>
  <c r="F204" i="91"/>
  <c r="E204" i="91"/>
  <c r="D204" i="91"/>
  <c r="L203" i="91"/>
  <c r="K203" i="91"/>
  <c r="J203" i="91"/>
  <c r="I203" i="91"/>
  <c r="H203" i="91"/>
  <c r="G203" i="91"/>
  <c r="F203" i="91"/>
  <c r="E203" i="91"/>
  <c r="D203" i="91"/>
  <c r="L202" i="91"/>
  <c r="K202" i="91"/>
  <c r="J202" i="91"/>
  <c r="I202" i="91"/>
  <c r="H202" i="91"/>
  <c r="G202" i="91"/>
  <c r="F202" i="91"/>
  <c r="E202" i="91"/>
  <c r="D202" i="91"/>
  <c r="C202" i="91" s="1"/>
  <c r="J200" i="91"/>
  <c r="C199" i="91"/>
  <c r="C198" i="91"/>
  <c r="C197" i="91"/>
  <c r="C196" i="91"/>
  <c r="C195" i="91"/>
  <c r="C193" i="91"/>
  <c r="C191" i="91"/>
  <c r="C190" i="91"/>
  <c r="C189" i="91"/>
  <c r="C188" i="91"/>
  <c r="C187" i="91"/>
  <c r="C186" i="91"/>
  <c r="C185" i="91"/>
  <c r="C184" i="91"/>
  <c r="C183" i="91"/>
  <c r="C182" i="91"/>
  <c r="C181" i="91"/>
  <c r="C180" i="91"/>
  <c r="C179" i="91"/>
  <c r="C178" i="91"/>
  <c r="C177" i="91"/>
  <c r="C176" i="91"/>
  <c r="C175" i="91"/>
  <c r="C174" i="91"/>
  <c r="C173" i="91"/>
  <c r="C172" i="91"/>
  <c r="C171" i="91"/>
  <c r="C170" i="91"/>
  <c r="C169" i="91"/>
  <c r="C168" i="91"/>
  <c r="C167" i="91"/>
  <c r="C166" i="91"/>
  <c r="C165" i="91"/>
  <c r="C164" i="91"/>
  <c r="L163" i="91"/>
  <c r="K163" i="91"/>
  <c r="H163" i="91"/>
  <c r="D163" i="91"/>
  <c r="C163" i="91"/>
  <c r="C162" i="91"/>
  <c r="C161" i="91"/>
  <c r="C160" i="91"/>
  <c r="L159" i="91"/>
  <c r="K159" i="91"/>
  <c r="H159" i="91"/>
  <c r="C159" i="91" s="1"/>
  <c r="C158" i="91"/>
  <c r="C157" i="91"/>
  <c r="C156" i="91"/>
  <c r="C155" i="91"/>
  <c r="C154" i="91"/>
  <c r="C153" i="91"/>
  <c r="L152" i="91"/>
  <c r="K152" i="91"/>
  <c r="C152" i="91" s="1"/>
  <c r="C151" i="91"/>
  <c r="C150" i="91"/>
  <c r="C149" i="91"/>
  <c r="L148" i="91"/>
  <c r="K148" i="91"/>
  <c r="H148" i="91"/>
  <c r="C147" i="91"/>
  <c r="C146" i="91"/>
  <c r="L145" i="91"/>
  <c r="K145" i="91"/>
  <c r="H145" i="91"/>
  <c r="C145" i="91" s="1"/>
  <c r="C144" i="91"/>
  <c r="C143" i="91"/>
  <c r="D142" i="91"/>
  <c r="C142" i="91" s="1"/>
  <c r="C141" i="91"/>
  <c r="D140" i="91"/>
  <c r="C140" i="91" s="1"/>
  <c r="D139" i="91"/>
  <c r="C139" i="91" s="1"/>
  <c r="D138" i="91"/>
  <c r="C138" i="91" s="1"/>
  <c r="L137" i="91"/>
  <c r="K137" i="91"/>
  <c r="G137" i="91"/>
  <c r="F137" i="91"/>
  <c r="D136" i="91"/>
  <c r="C136" i="91" s="1"/>
  <c r="C135" i="91"/>
  <c r="C134" i="91"/>
  <c r="C133" i="91"/>
  <c r="C132" i="91"/>
  <c r="C131" i="91"/>
  <c r="C130" i="91"/>
  <c r="C129" i="91"/>
  <c r="L128" i="91"/>
  <c r="K128" i="91"/>
  <c r="G128" i="91"/>
  <c r="F128" i="91"/>
  <c r="E128" i="91"/>
  <c r="C128" i="91" s="1"/>
  <c r="L127" i="91"/>
  <c r="K127" i="91"/>
  <c r="J127" i="91"/>
  <c r="I127" i="91"/>
  <c r="H127" i="91"/>
  <c r="G127" i="91"/>
  <c r="F127" i="91"/>
  <c r="E127" i="91"/>
  <c r="C127" i="91"/>
  <c r="C126" i="91"/>
  <c r="C125" i="91"/>
  <c r="C124" i="91"/>
  <c r="C123" i="91"/>
  <c r="C122" i="91"/>
  <c r="C121" i="91"/>
  <c r="L120" i="91"/>
  <c r="K120" i="91"/>
  <c r="H120" i="91"/>
  <c r="G120" i="91"/>
  <c r="F120" i="91"/>
  <c r="E120" i="91"/>
  <c r="C120" i="91" s="1"/>
  <c r="C119" i="91"/>
  <c r="C117" i="91"/>
  <c r="C116" i="91"/>
  <c r="C115" i="91"/>
  <c r="D114" i="91"/>
  <c r="C114" i="91" s="1"/>
  <c r="C113" i="91"/>
  <c r="L112" i="91"/>
  <c r="K112" i="91"/>
  <c r="C112" i="91" s="1"/>
  <c r="C111" i="91"/>
  <c r="L110" i="91"/>
  <c r="K110" i="91"/>
  <c r="J110" i="91"/>
  <c r="I110" i="91"/>
  <c r="H110" i="91"/>
  <c r="G110" i="91"/>
  <c r="F110" i="91"/>
  <c r="E110" i="91"/>
  <c r="C110" i="91" s="1"/>
  <c r="D109" i="91"/>
  <c r="C109" i="91" s="1"/>
  <c r="C108" i="91"/>
  <c r="D107" i="91"/>
  <c r="C107" i="91" s="1"/>
  <c r="C106" i="91"/>
  <c r="L105" i="91"/>
  <c r="K105" i="91"/>
  <c r="G105" i="91"/>
  <c r="F105" i="91"/>
  <c r="E105" i="91"/>
  <c r="D105" i="91"/>
  <c r="C105" i="91" s="1"/>
  <c r="D104" i="91"/>
  <c r="C104" i="91"/>
  <c r="G103" i="91"/>
  <c r="F103" i="91"/>
  <c r="E103" i="91"/>
  <c r="D103" i="91"/>
  <c r="C103" i="91" s="1"/>
  <c r="D102" i="91"/>
  <c r="C102" i="91"/>
  <c r="L101" i="91"/>
  <c r="K101" i="91"/>
  <c r="H101" i="91"/>
  <c r="G101" i="91"/>
  <c r="F101" i="91"/>
  <c r="E101" i="91"/>
  <c r="C101" i="91" s="1"/>
  <c r="C100" i="91"/>
  <c r="C99" i="91"/>
  <c r="C98" i="91"/>
  <c r="L97" i="91"/>
  <c r="K97" i="91"/>
  <c r="H97" i="91"/>
  <c r="C97" i="91" s="1"/>
  <c r="C96" i="91"/>
  <c r="C95" i="91"/>
  <c r="D94" i="91"/>
  <c r="C94" i="91" s="1"/>
  <c r="L93" i="91"/>
  <c r="L91" i="91" s="1"/>
  <c r="K93" i="91"/>
  <c r="C93" i="91" s="1"/>
  <c r="C92" i="91"/>
  <c r="K91" i="91"/>
  <c r="H91" i="91"/>
  <c r="G91" i="91"/>
  <c r="F91" i="91"/>
  <c r="E91" i="91"/>
  <c r="C91" i="91" s="1"/>
  <c r="C90" i="91"/>
  <c r="C89" i="91"/>
  <c r="C88" i="91"/>
  <c r="C87" i="91"/>
  <c r="C86" i="91"/>
  <c r="L85" i="91"/>
  <c r="K85" i="91"/>
  <c r="C85" i="91" s="1"/>
  <c r="L84" i="91"/>
  <c r="C83" i="91"/>
  <c r="C82" i="91"/>
  <c r="L81" i="91"/>
  <c r="K81" i="91"/>
  <c r="H81" i="91"/>
  <c r="C81" i="91"/>
  <c r="C80" i="91"/>
  <c r="C79" i="91"/>
  <c r="C78" i="91"/>
  <c r="C77" i="91"/>
  <c r="L76" i="91"/>
  <c r="K76" i="91"/>
  <c r="H76" i="91"/>
  <c r="C75" i="91"/>
  <c r="C74" i="91"/>
  <c r="C73" i="91"/>
  <c r="C72" i="91"/>
  <c r="D71" i="91"/>
  <c r="C71" i="91" s="1"/>
  <c r="D70" i="91"/>
  <c r="C70" i="91" s="1"/>
  <c r="D69" i="91"/>
  <c r="C69" i="91" s="1"/>
  <c r="D68" i="91"/>
  <c r="C68" i="91" s="1"/>
  <c r="D67" i="91"/>
  <c r="C67" i="91" s="1"/>
  <c r="D66" i="91"/>
  <c r="C66" i="91" s="1"/>
  <c r="D65" i="91"/>
  <c r="C65" i="91" s="1"/>
  <c r="D64" i="91"/>
  <c r="C64" i="91" s="1"/>
  <c r="D63" i="91"/>
  <c r="C63" i="91" s="1"/>
  <c r="D62" i="91"/>
  <c r="C62" i="91" s="1"/>
  <c r="D61" i="91"/>
  <c r="C61" i="91" s="1"/>
  <c r="D60" i="91"/>
  <c r="C60" i="91" s="1"/>
  <c r="D59" i="91"/>
  <c r="C59" i="91" s="1"/>
  <c r="D58" i="91"/>
  <c r="C58" i="91" s="1"/>
  <c r="D57" i="91"/>
  <c r="C57" i="91"/>
  <c r="D56" i="91"/>
  <c r="C56" i="91"/>
  <c r="D55" i="91"/>
  <c r="C55" i="91"/>
  <c r="D54" i="91"/>
  <c r="C54" i="91"/>
  <c r="D53" i="91"/>
  <c r="C53" i="91"/>
  <c r="D52" i="91"/>
  <c r="C52" i="91"/>
  <c r="D51" i="91"/>
  <c r="C51" i="91"/>
  <c r="D50" i="91"/>
  <c r="C50" i="91"/>
  <c r="D49" i="91"/>
  <c r="C49" i="91"/>
  <c r="D48" i="91"/>
  <c r="C48" i="91"/>
  <c r="D47" i="91"/>
  <c r="C47" i="91"/>
  <c r="D46" i="91"/>
  <c r="C46" i="91"/>
  <c r="D45" i="91"/>
  <c r="C45" i="91"/>
  <c r="D44" i="91"/>
  <c r="C44" i="91"/>
  <c r="D43" i="91"/>
  <c r="C43" i="91"/>
  <c r="L42" i="91"/>
  <c r="K42" i="91"/>
  <c r="K40" i="91" s="1"/>
  <c r="J42" i="91"/>
  <c r="I42" i="91"/>
  <c r="G42" i="91"/>
  <c r="E42" i="91"/>
  <c r="C42" i="91" s="1"/>
  <c r="C41" i="91"/>
  <c r="L40" i="91"/>
  <c r="H40" i="91"/>
  <c r="G40" i="91"/>
  <c r="F40" i="91"/>
  <c r="C39" i="91"/>
  <c r="C38" i="91"/>
  <c r="D37" i="91"/>
  <c r="C37" i="91" s="1"/>
  <c r="C36" i="91"/>
  <c r="D35" i="91"/>
  <c r="C35" i="91" s="1"/>
  <c r="D34" i="91"/>
  <c r="C34" i="91" s="1"/>
  <c r="D33" i="91"/>
  <c r="C33" i="91" s="1"/>
  <c r="D32" i="91"/>
  <c r="C32" i="91" s="1"/>
  <c r="D31" i="91"/>
  <c r="C31" i="91" s="1"/>
  <c r="D30" i="91"/>
  <c r="C30" i="91" s="1"/>
  <c r="D29" i="91"/>
  <c r="C29" i="91" s="1"/>
  <c r="D28" i="91"/>
  <c r="C28" i="91" s="1"/>
  <c r="D27" i="91"/>
  <c r="C27" i="91" s="1"/>
  <c r="D26" i="91"/>
  <c r="C26" i="91" s="1"/>
  <c r="D25" i="91"/>
  <c r="C25" i="91" s="1"/>
  <c r="D24" i="91"/>
  <c r="C24" i="91" s="1"/>
  <c r="D23" i="91"/>
  <c r="C23" i="91" s="1"/>
  <c r="D22" i="91"/>
  <c r="C22" i="91" s="1"/>
  <c r="D21" i="91"/>
  <c r="C21" i="91" s="1"/>
  <c r="D20" i="91"/>
  <c r="C20" i="91" s="1"/>
  <c r="D19" i="91"/>
  <c r="C19" i="91" s="1"/>
  <c r="D18" i="91"/>
  <c r="C18" i="91" s="1"/>
  <c r="D17" i="91"/>
  <c r="C17" i="91" s="1"/>
  <c r="D16" i="91"/>
  <c r="C16" i="91" s="1"/>
  <c r="D15" i="91"/>
  <c r="C15" i="91" s="1"/>
  <c r="D14" i="91"/>
  <c r="C14" i="91" s="1"/>
  <c r="D13" i="91"/>
  <c r="C13" i="91" s="1"/>
  <c r="D12" i="91"/>
  <c r="C12" i="91" s="1"/>
  <c r="D11" i="91"/>
  <c r="C11" i="91" s="1"/>
  <c r="L10" i="91"/>
  <c r="K10" i="91"/>
  <c r="J10" i="91"/>
  <c r="I10" i="91"/>
  <c r="H10" i="91"/>
  <c r="G10" i="91"/>
  <c r="F10" i="91"/>
  <c r="C9" i="91"/>
  <c r="C8" i="91"/>
  <c r="D7" i="91"/>
  <c r="C7" i="91" s="1"/>
  <c r="L6" i="91"/>
  <c r="K6" i="91"/>
  <c r="K5" i="91" s="1"/>
  <c r="J6" i="91"/>
  <c r="I6" i="91"/>
  <c r="I5" i="91" s="1"/>
  <c r="I4" i="91" s="1"/>
  <c r="H6" i="91"/>
  <c r="G6" i="91"/>
  <c r="G5" i="91" s="1"/>
  <c r="G4" i="91" s="1"/>
  <c r="F6" i="91"/>
  <c r="E6" i="91"/>
  <c r="C6" i="91" s="1"/>
  <c r="L5" i="91"/>
  <c r="J5" i="91"/>
  <c r="J4" i="91" s="1"/>
  <c r="J3" i="91" s="1"/>
  <c r="H5" i="91"/>
  <c r="H4" i="91" s="1"/>
  <c r="F5" i="91"/>
  <c r="F4" i="91" s="1"/>
  <c r="D4" i="91"/>
  <c r="K41" i="67"/>
  <c r="J41" i="67"/>
  <c r="I41" i="67"/>
  <c r="H41" i="67"/>
  <c r="G41" i="67"/>
  <c r="F41" i="67"/>
  <c r="E41" i="67"/>
  <c r="D41" i="67"/>
  <c r="C41" i="67" s="1"/>
  <c r="C30" i="67"/>
  <c r="E34" i="68" s="1"/>
  <c r="L23" i="67"/>
  <c r="K15" i="67"/>
  <c r="J15" i="67"/>
  <c r="I15" i="67"/>
  <c r="H15" i="67"/>
  <c r="G15" i="67"/>
  <c r="F15" i="67"/>
  <c r="E15" i="67"/>
  <c r="C28" i="72"/>
  <c r="H3" i="91" l="1"/>
  <c r="L4" i="91"/>
  <c r="L3" i="91" s="1"/>
  <c r="C10" i="91"/>
  <c r="C209" i="91"/>
  <c r="F3" i="91"/>
  <c r="G3" i="91"/>
  <c r="Q310" i="91" s="1"/>
  <c r="I3" i="91"/>
  <c r="C76" i="91"/>
  <c r="C137" i="91"/>
  <c r="C148" i="91"/>
  <c r="C203" i="91"/>
  <c r="C205" i="91"/>
  <c r="C207" i="91"/>
  <c r="C210" i="91"/>
  <c r="N210" i="91" s="1"/>
  <c r="N209" i="91" s="1"/>
  <c r="D231" i="91"/>
  <c r="M365" i="91"/>
  <c r="AA22" i="67" s="1"/>
  <c r="M341" i="91"/>
  <c r="Z22" i="67" s="1"/>
  <c r="C204" i="91"/>
  <c r="C297" i="91"/>
  <c r="C254" i="91"/>
  <c r="C255" i="91"/>
  <c r="N255" i="91" s="1"/>
  <c r="N254" i="91" s="1"/>
  <c r="E40" i="91"/>
  <c r="C40" i="91" s="1"/>
  <c r="C277" i="91"/>
  <c r="M277" i="91" s="1"/>
  <c r="O277" i="91" s="1"/>
  <c r="O276" i="91" s="1"/>
  <c r="P202" i="91"/>
  <c r="E5" i="91"/>
  <c r="K84" i="91"/>
  <c r="C84" i="91" s="1"/>
  <c r="E14" i="74"/>
  <c r="F14" i="74"/>
  <c r="G14" i="74"/>
  <c r="H14" i="74"/>
  <c r="I14" i="74"/>
  <c r="J14" i="74"/>
  <c r="K14" i="74"/>
  <c r="L14" i="74"/>
  <c r="D14" i="74"/>
  <c r="C14" i="74" s="1"/>
  <c r="C13" i="74"/>
  <c r="C12" i="74"/>
  <c r="C11" i="74"/>
  <c r="C231" i="91" l="1"/>
  <c r="D200" i="91"/>
  <c r="K4" i="91"/>
  <c r="K3" i="91" s="1"/>
  <c r="C5" i="91"/>
  <c r="E4" i="91"/>
  <c r="E3" i="91" s="1"/>
  <c r="C4" i="91" l="1"/>
  <c r="L37" i="68" s="1"/>
  <c r="D3" i="91"/>
  <c r="C200" i="91"/>
  <c r="P203" i="91" s="1"/>
  <c r="G6" i="76"/>
  <c r="K9" i="67" s="1"/>
  <c r="G7" i="76"/>
  <c r="G8" i="76"/>
  <c r="I9" i="67" s="1"/>
  <c r="G10" i="76"/>
  <c r="G9" i="67" s="1"/>
  <c r="G12" i="76"/>
  <c r="H9" i="67" s="1"/>
  <c r="E4" i="76"/>
  <c r="D4" i="76"/>
  <c r="C3" i="91" l="1"/>
  <c r="J9" i="67"/>
  <c r="G36" i="72"/>
  <c r="E36" i="72"/>
  <c r="C35" i="72"/>
  <c r="C36" i="72"/>
  <c r="T35" i="72"/>
  <c r="O8" i="72"/>
  <c r="C8" i="72"/>
  <c r="S38" i="72"/>
  <c r="S34" i="72"/>
  <c r="S24" i="72"/>
  <c r="K20" i="67" s="1"/>
  <c r="S23" i="72"/>
  <c r="S10" i="72"/>
  <c r="S9" i="72"/>
  <c r="Q39" i="72"/>
  <c r="Q37" i="72"/>
  <c r="J25" i="67" s="1"/>
  <c r="Q34" i="72"/>
  <c r="Q24" i="72"/>
  <c r="Q23" i="72"/>
  <c r="Q10" i="72"/>
  <c r="Q9" i="72"/>
  <c r="O34" i="72"/>
  <c r="O27" i="72"/>
  <c r="O26" i="72"/>
  <c r="O24" i="72"/>
  <c r="I20" i="67" s="1"/>
  <c r="O23" i="72"/>
  <c r="O10" i="72"/>
  <c r="O9" i="72"/>
  <c r="M38" i="72"/>
  <c r="M34" i="72"/>
  <c r="M26" i="72"/>
  <c r="M23" i="72"/>
  <c r="M10" i="72"/>
  <c r="M9" i="72"/>
  <c r="K39" i="72"/>
  <c r="K37" i="72"/>
  <c r="G25" i="67" s="1"/>
  <c r="K34" i="72"/>
  <c r="K27" i="72"/>
  <c r="K26" i="72"/>
  <c r="K24" i="72"/>
  <c r="K23" i="72"/>
  <c r="K9" i="72"/>
  <c r="I39" i="72"/>
  <c r="I34" i="72"/>
  <c r="I26" i="72"/>
  <c r="I25" i="72"/>
  <c r="I24" i="72"/>
  <c r="I23" i="72"/>
  <c r="G39" i="72"/>
  <c r="G37" i="72"/>
  <c r="E25" i="67" s="1"/>
  <c r="C25" i="67" s="1"/>
  <c r="G34" i="72"/>
  <c r="G27" i="72"/>
  <c r="G26" i="72"/>
  <c r="G24" i="72"/>
  <c r="G23" i="72"/>
  <c r="G10" i="72"/>
  <c r="G9" i="72"/>
  <c r="E34" i="72"/>
  <c r="E31" i="72"/>
  <c r="E27" i="72"/>
  <c r="E25" i="72"/>
  <c r="E24" i="72"/>
  <c r="AI16" i="69"/>
  <c r="AC16" i="69" s="1"/>
  <c r="AF16" i="69"/>
  <c r="R15" i="72"/>
  <c r="S15" i="72" s="1"/>
  <c r="K22" i="67" s="1"/>
  <c r="P15" i="72"/>
  <c r="Q15" i="72" s="1"/>
  <c r="N15" i="72"/>
  <c r="O15" i="72" s="1"/>
  <c r="I22" i="67" s="1"/>
  <c r="L15" i="72"/>
  <c r="M15" i="72" s="1"/>
  <c r="J15" i="72"/>
  <c r="K15" i="72" s="1"/>
  <c r="G22" i="67" s="1"/>
  <c r="H15" i="72"/>
  <c r="I15" i="72" s="1"/>
  <c r="F22" i="67" s="1"/>
  <c r="F15" i="72"/>
  <c r="G15" i="72" s="1"/>
  <c r="E22" i="67" s="1"/>
  <c r="D15" i="72"/>
  <c r="R13" i="72"/>
  <c r="S13" i="72" s="1"/>
  <c r="P13" i="72"/>
  <c r="Q13" i="72" s="1"/>
  <c r="N13" i="72"/>
  <c r="O13" i="72" s="1"/>
  <c r="L13" i="72"/>
  <c r="M13" i="72" s="1"/>
  <c r="J13" i="72"/>
  <c r="K13" i="72" s="1"/>
  <c r="H13" i="72"/>
  <c r="I13" i="72" s="1"/>
  <c r="F13" i="72"/>
  <c r="G13" i="72" s="1"/>
  <c r="D13" i="72"/>
  <c r="E13" i="72" s="1"/>
  <c r="P12" i="72"/>
  <c r="Q12" i="72" s="1"/>
  <c r="J29" i="67" s="1"/>
  <c r="H12" i="72"/>
  <c r="I12" i="72" s="1"/>
  <c r="F29" i="67" s="1"/>
  <c r="AK23" i="69"/>
  <c r="R12" i="72" s="1"/>
  <c r="S12" i="72" s="1"/>
  <c r="K29" i="67" s="1"/>
  <c r="AJ23" i="69"/>
  <c r="AI23" i="69"/>
  <c r="N12" i="72" s="1"/>
  <c r="O12" i="72" s="1"/>
  <c r="I29" i="67" s="1"/>
  <c r="AH23" i="69"/>
  <c r="L12" i="72" s="1"/>
  <c r="M12" i="72" s="1"/>
  <c r="H29" i="67" s="1"/>
  <c r="AG23" i="69"/>
  <c r="J12" i="72" s="1"/>
  <c r="K12" i="72" s="1"/>
  <c r="G29" i="67" s="1"/>
  <c r="AF23" i="69"/>
  <c r="AE23" i="69"/>
  <c r="F12" i="72" s="1"/>
  <c r="G12" i="72" s="1"/>
  <c r="E29" i="67" s="1"/>
  <c r="AD23" i="69"/>
  <c r="R11" i="72"/>
  <c r="S11" i="72" s="1"/>
  <c r="P11" i="72"/>
  <c r="Q11" i="72" s="1"/>
  <c r="N11" i="72"/>
  <c r="O11" i="72" s="1"/>
  <c r="L11" i="72"/>
  <c r="M11" i="72" s="1"/>
  <c r="J11" i="72"/>
  <c r="K11" i="72" s="1"/>
  <c r="H11" i="72"/>
  <c r="I11" i="72" s="1"/>
  <c r="F11" i="72"/>
  <c r="G11" i="72" s="1"/>
  <c r="D11" i="72"/>
  <c r="E11" i="72" s="1"/>
  <c r="C10" i="72"/>
  <c r="C9" i="72"/>
  <c r="AC13" i="69"/>
  <c r="R7" i="72"/>
  <c r="P7" i="72"/>
  <c r="N7" i="72"/>
  <c r="L7" i="72"/>
  <c r="J7" i="72"/>
  <c r="H7" i="72"/>
  <c r="F7" i="72"/>
  <c r="D7" i="72"/>
  <c r="C39" i="72"/>
  <c r="C38" i="72"/>
  <c r="C37" i="72"/>
  <c r="C34" i="72"/>
  <c r="C27" i="72"/>
  <c r="C26" i="72"/>
  <c r="C25" i="72"/>
  <c r="C23" i="72"/>
  <c r="D46" i="69"/>
  <c r="E46" i="69" s="1"/>
  <c r="C45" i="69"/>
  <c r="D94" i="45" s="1"/>
  <c r="C42" i="69"/>
  <c r="AC41" i="69"/>
  <c r="F41" i="69"/>
  <c r="E41" i="69"/>
  <c r="E40" i="69"/>
  <c r="D39" i="69"/>
  <c r="E38" i="69"/>
  <c r="E37" i="69"/>
  <c r="E35" i="69"/>
  <c r="AC32" i="69"/>
  <c r="AC31" i="69"/>
  <c r="D31" i="69"/>
  <c r="E31" i="69" s="1"/>
  <c r="AC28" i="69"/>
  <c r="D28" i="69"/>
  <c r="E28" i="69" s="1"/>
  <c r="AC27" i="69"/>
  <c r="D27" i="69"/>
  <c r="E27" i="69" s="1"/>
  <c r="D26" i="69"/>
  <c r="E26" i="69" s="1"/>
  <c r="AC24" i="69"/>
  <c r="C24" i="69" s="1"/>
  <c r="D72" i="45" s="1"/>
  <c r="F23" i="69"/>
  <c r="C23" i="69"/>
  <c r="D71" i="45" s="1"/>
  <c r="C22" i="69"/>
  <c r="D70" i="45" s="1"/>
  <c r="F21" i="69"/>
  <c r="C21" i="69" s="1"/>
  <c r="D69" i="45" s="1"/>
  <c r="W20" i="69"/>
  <c r="F19" i="69"/>
  <c r="F18" i="69"/>
  <c r="D18" i="69"/>
  <c r="C18" i="69"/>
  <c r="D66" i="45" s="1"/>
  <c r="F17" i="69"/>
  <c r="C17" i="69" s="1"/>
  <c r="AZ16" i="69"/>
  <c r="F16" i="69"/>
  <c r="Y15" i="69"/>
  <c r="C15" i="69"/>
  <c r="C14" i="69"/>
  <c r="X13" i="69"/>
  <c r="X8" i="69" s="1"/>
  <c r="F13" i="69"/>
  <c r="AC12" i="69"/>
  <c r="D12" i="69" s="1"/>
  <c r="F12" i="69"/>
  <c r="Q8" i="69"/>
  <c r="D11" i="69"/>
  <c r="E11" i="69" s="1"/>
  <c r="D10" i="69"/>
  <c r="E10" i="69" s="1"/>
  <c r="D9" i="69"/>
  <c r="E9" i="69" s="1"/>
  <c r="AV8" i="69"/>
  <c r="AW13" i="69" s="1"/>
  <c r="AB8" i="69"/>
  <c r="AA8" i="69"/>
  <c r="Z8" i="69"/>
  <c r="Y8" i="69"/>
  <c r="V8" i="69"/>
  <c r="T8" i="69"/>
  <c r="S8" i="69"/>
  <c r="R8" i="69"/>
  <c r="N8" i="69"/>
  <c r="E7" i="69"/>
  <c r="D15" i="69" l="1"/>
  <c r="D63" i="45"/>
  <c r="F20" i="69"/>
  <c r="E39" i="69"/>
  <c r="I7" i="72"/>
  <c r="M7" i="72"/>
  <c r="Q7" i="72"/>
  <c r="C12" i="69"/>
  <c r="D60" i="45" s="1"/>
  <c r="D65" i="45"/>
  <c r="E17" i="69"/>
  <c r="D22" i="69"/>
  <c r="D91" i="45"/>
  <c r="D82" i="45" s="1"/>
  <c r="C34" i="69"/>
  <c r="G7" i="72"/>
  <c r="K7" i="72"/>
  <c r="O7" i="72"/>
  <c r="O6" i="72" s="1"/>
  <c r="S7" i="72"/>
  <c r="S6" i="72" s="1"/>
  <c r="AC23" i="69"/>
  <c r="D12" i="72"/>
  <c r="E12" i="72" s="1"/>
  <c r="D29" i="67" s="1"/>
  <c r="J22" i="67"/>
  <c r="D20" i="67"/>
  <c r="E20" i="67"/>
  <c r="G20" i="67"/>
  <c r="P3" i="91"/>
  <c r="K28" i="68"/>
  <c r="D22" i="67"/>
  <c r="F20" i="67"/>
  <c r="J20" i="67"/>
  <c r="H22" i="67"/>
  <c r="E24" i="67"/>
  <c r="E23" i="67" s="1"/>
  <c r="G24" i="67"/>
  <c r="I24" i="67"/>
  <c r="I23" i="67" s="1"/>
  <c r="K24" i="67"/>
  <c r="K23" i="67" s="1"/>
  <c r="F24" i="67"/>
  <c r="F23" i="67" s="1"/>
  <c r="AC8" i="69"/>
  <c r="C13" i="69"/>
  <c r="D61" i="45" s="1"/>
  <c r="D25" i="69"/>
  <c r="E25" i="69" s="1"/>
  <c r="D14" i="69"/>
  <c r="C16" i="69"/>
  <c r="D64" i="45" s="1"/>
  <c r="E18" i="69"/>
  <c r="E22" i="69"/>
  <c r="W22" i="69"/>
  <c r="H62" i="77" s="1"/>
  <c r="D23" i="69"/>
  <c r="E23" i="69" s="1"/>
  <c r="D42" i="69"/>
  <c r="G23" i="67"/>
  <c r="U8" i="69"/>
  <c r="X20" i="67"/>
  <c r="X21" i="67" s="1"/>
  <c r="X23" i="67" s="1"/>
  <c r="C7" i="72"/>
  <c r="E7" i="72"/>
  <c r="D21" i="69"/>
  <c r="E21" i="69" s="1"/>
  <c r="C20" i="69"/>
  <c r="D68" i="45" s="1"/>
  <c r="AW9" i="69"/>
  <c r="AW11" i="69"/>
  <c r="E12" i="69"/>
  <c r="AW14" i="69"/>
  <c r="E15" i="69"/>
  <c r="AW15" i="69"/>
  <c r="D16" i="69"/>
  <c r="D24" i="69"/>
  <c r="E24" i="69" s="1"/>
  <c r="D45" i="69"/>
  <c r="E45" i="69" s="1"/>
  <c r="AZ8" i="69"/>
  <c r="AX13" i="69" s="1"/>
  <c r="AY13" i="69" s="1"/>
  <c r="BA13" i="69" s="1"/>
  <c r="AW10" i="69"/>
  <c r="AW12" i="69"/>
  <c r="AX12" i="69" s="1"/>
  <c r="AY12" i="69" s="1"/>
  <c r="BA12" i="69" s="1"/>
  <c r="C51" i="66"/>
  <c r="D26" i="86" s="1"/>
  <c r="D8" i="74"/>
  <c r="E18" i="74"/>
  <c r="F18" i="74"/>
  <c r="G18" i="74"/>
  <c r="H60" i="77" l="1"/>
  <c r="C62" i="77"/>
  <c r="E73" i="25" s="1"/>
  <c r="D54" i="45"/>
  <c r="D52" i="45" s="1"/>
  <c r="G53" i="45" s="1"/>
  <c r="J24" i="67"/>
  <c r="J23" i="67" s="1"/>
  <c r="H24" i="67"/>
  <c r="H23" i="67" s="1"/>
  <c r="D34" i="69"/>
  <c r="E34" i="69" s="1"/>
  <c r="D24" i="67"/>
  <c r="V17" i="38"/>
  <c r="F26" i="86"/>
  <c r="I26" i="86"/>
  <c r="E14" i="69"/>
  <c r="F19" i="67"/>
  <c r="D23" i="67"/>
  <c r="D19" i="67" s="1"/>
  <c r="F22" i="69"/>
  <c r="F8" i="69" s="1"/>
  <c r="W8" i="69"/>
  <c r="E42" i="69"/>
  <c r="D13" i="69"/>
  <c r="E13" i="69" s="1"/>
  <c r="AX10" i="69"/>
  <c r="AY10" i="69" s="1"/>
  <c r="BA10" i="69" s="1"/>
  <c r="AX15" i="69"/>
  <c r="AY15" i="69" s="1"/>
  <c r="AX14" i="69"/>
  <c r="AY14" i="69" s="1"/>
  <c r="BA14" i="69" s="1"/>
  <c r="AX11" i="69"/>
  <c r="AY11" i="69" s="1"/>
  <c r="BA11" i="69" s="1"/>
  <c r="E16" i="69"/>
  <c r="AX9" i="69"/>
  <c r="AW8" i="69"/>
  <c r="D20" i="69"/>
  <c r="C8" i="69"/>
  <c r="C6" i="69" s="1"/>
  <c r="D8" i="69" l="1"/>
  <c r="C60" i="77"/>
  <c r="C7" i="77" s="1"/>
  <c r="H7" i="77"/>
  <c r="G26" i="86"/>
  <c r="G6" i="86" s="1"/>
  <c r="F6" i="86"/>
  <c r="E20" i="69"/>
  <c r="AY9" i="69"/>
  <c r="AX8" i="69"/>
  <c r="AE8" i="77" l="1"/>
  <c r="AE9" i="77" s="1"/>
  <c r="I29" i="68"/>
  <c r="C80" i="77"/>
  <c r="C32" i="39"/>
  <c r="C27" i="39" s="1"/>
  <c r="C26" i="68"/>
  <c r="AY16" i="69"/>
  <c r="AV16" i="69" s="1"/>
  <c r="BA9" i="69"/>
  <c r="BA16" i="69" s="1"/>
  <c r="X27" i="66"/>
  <c r="X46" i="66"/>
  <c r="W63" i="66"/>
  <c r="H46" i="66" l="1"/>
  <c r="X41" i="66"/>
  <c r="X16" i="66"/>
  <c r="V46" i="66"/>
  <c r="T46" i="66"/>
  <c r="R46" i="66"/>
  <c r="P46" i="66"/>
  <c r="N46" i="66"/>
  <c r="L46" i="66"/>
  <c r="J46" i="66"/>
  <c r="X48" i="66"/>
  <c r="N41" i="66"/>
  <c r="L41" i="66"/>
  <c r="J41" i="66"/>
  <c r="V41" i="66"/>
  <c r="T41" i="66"/>
  <c r="R41" i="66"/>
  <c r="P41" i="66"/>
  <c r="H41" i="66"/>
  <c r="D45" i="90"/>
  <c r="D40" i="90"/>
  <c r="D34" i="90"/>
  <c r="D10" i="90"/>
  <c r="V37" i="90"/>
  <c r="D37" i="90" s="1"/>
  <c r="V23" i="90"/>
  <c r="V20" i="90"/>
  <c r="V14" i="90"/>
  <c r="V9" i="90"/>
  <c r="T23" i="90"/>
  <c r="T20" i="90"/>
  <c r="T14" i="90"/>
  <c r="T9" i="90"/>
  <c r="R23" i="90"/>
  <c r="R20" i="90"/>
  <c r="R14" i="90"/>
  <c r="R9" i="90"/>
  <c r="P23" i="90"/>
  <c r="P20" i="90"/>
  <c r="P14" i="90"/>
  <c r="P9" i="90"/>
  <c r="P8" i="90" s="1"/>
  <c r="N23" i="90"/>
  <c r="N20" i="90"/>
  <c r="N14" i="90"/>
  <c r="N9" i="90"/>
  <c r="L23" i="90"/>
  <c r="L20" i="90"/>
  <c r="L14" i="90"/>
  <c r="L9" i="90"/>
  <c r="L8" i="90" s="1"/>
  <c r="J23" i="90"/>
  <c r="J20" i="90"/>
  <c r="J14" i="90"/>
  <c r="J9" i="90"/>
  <c r="J8" i="90" s="1"/>
  <c r="H23" i="90"/>
  <c r="H20" i="90"/>
  <c r="H14" i="90"/>
  <c r="H9" i="90"/>
  <c r="H8" i="90" s="1"/>
  <c r="F23" i="90"/>
  <c r="F20" i="90"/>
  <c r="F14" i="90"/>
  <c r="F9" i="90"/>
  <c r="F8" i="90" s="1"/>
  <c r="C10" i="90"/>
  <c r="X7" i="90"/>
  <c r="D49" i="90"/>
  <c r="D48" i="90"/>
  <c r="C48" i="90"/>
  <c r="D47" i="90"/>
  <c r="C47" i="90"/>
  <c r="C46" i="90"/>
  <c r="C45" i="90"/>
  <c r="D44" i="90"/>
  <c r="C44" i="90"/>
  <c r="D43" i="90"/>
  <c r="C43" i="90"/>
  <c r="D42" i="90"/>
  <c r="C42" i="90"/>
  <c r="D41" i="90"/>
  <c r="C41" i="90"/>
  <c r="C40" i="90"/>
  <c r="D39" i="90"/>
  <c r="C39" i="90"/>
  <c r="D38" i="90"/>
  <c r="C38" i="90"/>
  <c r="U37" i="90"/>
  <c r="D36" i="90"/>
  <c r="C36" i="90"/>
  <c r="D35" i="90"/>
  <c r="C35" i="90"/>
  <c r="C34" i="90"/>
  <c r="D33" i="90"/>
  <c r="C33" i="90"/>
  <c r="C32" i="90"/>
  <c r="D31" i="90"/>
  <c r="C31" i="90"/>
  <c r="D30" i="90"/>
  <c r="C30" i="90"/>
  <c r="C29" i="90"/>
  <c r="D28" i="90"/>
  <c r="C27" i="90"/>
  <c r="D26" i="90"/>
  <c r="C26" i="90"/>
  <c r="D25" i="90"/>
  <c r="C25" i="90"/>
  <c r="D24" i="90"/>
  <c r="C24" i="90"/>
  <c r="U23" i="90"/>
  <c r="S23" i="90"/>
  <c r="Q23" i="90"/>
  <c r="O23" i="90"/>
  <c r="M23" i="90"/>
  <c r="K23" i="90"/>
  <c r="I23" i="90"/>
  <c r="G23" i="90"/>
  <c r="E23" i="90"/>
  <c r="C23" i="90"/>
  <c r="D22" i="90"/>
  <c r="C22" i="90"/>
  <c r="D21" i="90"/>
  <c r="C21" i="90"/>
  <c r="U20" i="90"/>
  <c r="S20" i="90"/>
  <c r="Q20" i="90"/>
  <c r="O20" i="90"/>
  <c r="M20" i="90"/>
  <c r="K20" i="90"/>
  <c r="I20" i="90"/>
  <c r="G20" i="90"/>
  <c r="E20" i="90"/>
  <c r="C20" i="90"/>
  <c r="D19" i="90"/>
  <c r="D18" i="90"/>
  <c r="D17" i="90"/>
  <c r="C17" i="90"/>
  <c r="D16" i="90"/>
  <c r="C16" i="90"/>
  <c r="D15" i="90"/>
  <c r="C15" i="90"/>
  <c r="U14" i="90"/>
  <c r="S14" i="90"/>
  <c r="Q14" i="90"/>
  <c r="O14" i="90"/>
  <c r="M14" i="90"/>
  <c r="K14" i="90"/>
  <c r="I14" i="90"/>
  <c r="G14" i="90"/>
  <c r="E14" i="90"/>
  <c r="C14" i="90"/>
  <c r="D13" i="90"/>
  <c r="C12" i="90"/>
  <c r="D11" i="90"/>
  <c r="C11" i="90"/>
  <c r="U9" i="90"/>
  <c r="U8" i="90" s="1"/>
  <c r="S9" i="90"/>
  <c r="Q9" i="90"/>
  <c r="Q8" i="90" s="1"/>
  <c r="O9" i="90"/>
  <c r="M9" i="90"/>
  <c r="M8" i="90" s="1"/>
  <c r="K9" i="90"/>
  <c r="I9" i="90"/>
  <c r="I8" i="90" s="1"/>
  <c r="G9" i="90"/>
  <c r="E9" i="90"/>
  <c r="E8" i="90" s="1"/>
  <c r="C9" i="90"/>
  <c r="Q7" i="90"/>
  <c r="M7" i="90"/>
  <c r="I7" i="90"/>
  <c r="E7" i="90"/>
  <c r="W7" i="90"/>
  <c r="G8" i="90" l="1"/>
  <c r="G7" i="90" s="1"/>
  <c r="K8" i="90"/>
  <c r="K7" i="90" s="1"/>
  <c r="O8" i="90"/>
  <c r="O7" i="90" s="1"/>
  <c r="S8" i="90"/>
  <c r="S7" i="90" s="1"/>
  <c r="N8" i="90"/>
  <c r="N7" i="90" s="1"/>
  <c r="R8" i="90"/>
  <c r="R7" i="90" s="1"/>
  <c r="T8" i="90"/>
  <c r="T7" i="90" s="1"/>
  <c r="V8" i="90"/>
  <c r="V7" i="90" s="1"/>
  <c r="U7" i="90"/>
  <c r="D41" i="66"/>
  <c r="H7" i="90"/>
  <c r="L7" i="90"/>
  <c r="F7" i="90"/>
  <c r="P7" i="90"/>
  <c r="D12" i="90"/>
  <c r="J7" i="90"/>
  <c r="D46" i="66"/>
  <c r="D20" i="90"/>
  <c r="D14" i="90"/>
  <c r="D29" i="90"/>
  <c r="D32" i="90"/>
  <c r="C37" i="90"/>
  <c r="D9" i="90"/>
  <c r="D27" i="90"/>
  <c r="D23" i="90" s="1"/>
  <c r="D8" i="90" l="1"/>
  <c r="D7" i="90" s="1"/>
  <c r="C8" i="90"/>
  <c r="C7" i="90" s="1"/>
  <c r="D95" i="49" l="1"/>
  <c r="Q21" i="57"/>
  <c r="G91" i="53"/>
  <c r="I109" i="65"/>
  <c r="G21" i="57"/>
  <c r="F91" i="53"/>
  <c r="D91" i="49" l="1"/>
  <c r="L23" i="57"/>
  <c r="G87" i="53"/>
  <c r="D58" i="49" l="1"/>
  <c r="I59" i="49" s="1"/>
  <c r="I58" i="49"/>
  <c r="G54" i="53"/>
  <c r="M23" i="56"/>
  <c r="B88" i="89" l="1"/>
  <c r="B86" i="89"/>
  <c r="D20" i="89"/>
  <c r="D19" i="89"/>
  <c r="D23" i="87"/>
  <c r="D13" i="87"/>
  <c r="D14" i="87"/>
  <c r="D15" i="87"/>
  <c r="E10" i="87" l="1"/>
  <c r="E11" i="87"/>
  <c r="E12" i="87"/>
  <c r="V17" i="58" l="1"/>
  <c r="V16" i="58"/>
  <c r="V15" i="58"/>
  <c r="V14" i="58"/>
  <c r="V13" i="58"/>
  <c r="V12" i="58"/>
  <c r="V11" i="58"/>
  <c r="H12" i="53"/>
  <c r="O10" i="65" l="1"/>
  <c r="Q11" i="58" s="1"/>
  <c r="T11" i="58" s="1"/>
  <c r="M10" i="65"/>
  <c r="Q14" i="58" s="1"/>
  <c r="Q10" i="65"/>
  <c r="Q13" i="58" s="1"/>
  <c r="U10" i="65"/>
  <c r="Q12" i="58" s="1"/>
  <c r="V10" i="65"/>
  <c r="W10" i="65"/>
  <c r="Q17" i="58" s="1"/>
  <c r="Y10" i="65"/>
  <c r="Q16" i="58" s="1"/>
  <c r="H98" i="55" l="1"/>
  <c r="H32" i="55"/>
  <c r="H25" i="55"/>
  <c r="H12" i="55"/>
  <c r="J20" i="55"/>
  <c r="H20" i="55" s="1"/>
  <c r="J22" i="55"/>
  <c r="H22" i="55" s="1"/>
  <c r="J26" i="55"/>
  <c r="H26" i="55" s="1"/>
  <c r="J36" i="55"/>
  <c r="H36" i="55" s="1"/>
  <c r="C126" i="55"/>
  <c r="D81" i="55"/>
  <c r="D99" i="55"/>
  <c r="F99" i="55"/>
  <c r="G99" i="55"/>
  <c r="H99" i="55"/>
  <c r="I99" i="55"/>
  <c r="J99" i="55"/>
  <c r="K99" i="55"/>
  <c r="B54" i="55"/>
  <c r="H104" i="53" l="1"/>
  <c r="M17" i="52"/>
  <c r="K17" i="52"/>
  <c r="T17" i="52"/>
  <c r="T16" i="52"/>
  <c r="T15" i="52"/>
  <c r="T14" i="52"/>
  <c r="T13" i="52"/>
  <c r="T12" i="52"/>
  <c r="T11" i="52"/>
  <c r="T10" i="52"/>
  <c r="T9" i="52"/>
  <c r="O17" i="52"/>
  <c r="O16" i="52"/>
  <c r="O15" i="52"/>
  <c r="O14" i="52"/>
  <c r="O13" i="52"/>
  <c r="O12" i="52"/>
  <c r="O11" i="52"/>
  <c r="O10" i="52"/>
  <c r="O9" i="52"/>
  <c r="O8" i="52" s="1"/>
  <c r="I16" i="52"/>
  <c r="I15" i="52"/>
  <c r="I14" i="52"/>
  <c r="I13" i="52"/>
  <c r="I12" i="52"/>
  <c r="I11" i="52"/>
  <c r="I10" i="52"/>
  <c r="I9" i="52"/>
  <c r="P17" i="52"/>
  <c r="N17" i="52"/>
  <c r="R16" i="52"/>
  <c r="R15" i="52"/>
  <c r="R14" i="52"/>
  <c r="R13" i="52"/>
  <c r="R12" i="52"/>
  <c r="R11" i="52"/>
  <c r="R10" i="52"/>
  <c r="R9" i="52"/>
  <c r="R8" i="52" s="1"/>
  <c r="L16" i="52"/>
  <c r="L15" i="52"/>
  <c r="L14" i="52"/>
  <c r="L13" i="52"/>
  <c r="L12" i="52"/>
  <c r="L11" i="52"/>
  <c r="L10" i="52"/>
  <c r="L9" i="52"/>
  <c r="J17" i="52"/>
  <c r="J16" i="52"/>
  <c r="J15" i="52"/>
  <c r="J14" i="52"/>
  <c r="J13" i="52"/>
  <c r="J12" i="52"/>
  <c r="J11" i="52"/>
  <c r="J10" i="52"/>
  <c r="J9" i="52"/>
  <c r="Q17" i="52"/>
  <c r="Q16" i="52"/>
  <c r="Q15" i="52"/>
  <c r="Q14" i="52"/>
  <c r="Q13" i="52"/>
  <c r="Q12" i="52"/>
  <c r="Q11" i="52"/>
  <c r="Q10" i="52"/>
  <c r="Q9" i="52"/>
  <c r="D47" i="44"/>
  <c r="B23" i="44"/>
  <c r="D29" i="47" l="1"/>
  <c r="D108" i="49" s="1"/>
  <c r="D27" i="85"/>
  <c r="D22" i="87"/>
  <c r="D45" i="54"/>
  <c r="F104" i="53"/>
  <c r="D33" i="50"/>
  <c r="D32" i="50"/>
  <c r="D21" i="50"/>
  <c r="D32" i="87" l="1"/>
  <c r="D17" i="47"/>
  <c r="D20" i="87"/>
  <c r="D31" i="87"/>
  <c r="D16" i="47"/>
  <c r="F64" i="48"/>
  <c r="BM53" i="48"/>
  <c r="F53" i="48"/>
  <c r="E53" i="48"/>
  <c r="C53" i="48"/>
  <c r="F52" i="48"/>
  <c r="H52" i="48" s="1"/>
  <c r="C52" i="48"/>
  <c r="G52" i="48" s="1"/>
  <c r="BI51" i="48"/>
  <c r="BH51" i="48"/>
  <c r="BJ51" i="48" s="1"/>
  <c r="BF51" i="48"/>
  <c r="F51" i="48"/>
  <c r="E51" i="48"/>
  <c r="D51" i="48"/>
  <c r="C51" i="48"/>
  <c r="BI50" i="48"/>
  <c r="BH50" i="48"/>
  <c r="BJ50" i="48" s="1"/>
  <c r="F50" i="48"/>
  <c r="E50" i="48"/>
  <c r="D50" i="48"/>
  <c r="C50" i="48"/>
  <c r="BI49" i="48"/>
  <c r="BH49" i="48"/>
  <c r="BJ49" i="48" s="1"/>
  <c r="BC49" i="48"/>
  <c r="AK49" i="48"/>
  <c r="AE49" i="48"/>
  <c r="N49" i="48"/>
  <c r="M49" i="48"/>
  <c r="E49" i="48"/>
  <c r="D49" i="48"/>
  <c r="H49" i="48" s="1"/>
  <c r="C49" i="48"/>
  <c r="BI48" i="48"/>
  <c r="BH48" i="48"/>
  <c r="BJ48" i="48" s="1"/>
  <c r="BB48" i="48"/>
  <c r="BD48" i="48" s="1"/>
  <c r="AZ48" i="48"/>
  <c r="AY48" i="48"/>
  <c r="BC48" i="48" s="1"/>
  <c r="AV48" i="48"/>
  <c r="AT48" i="48"/>
  <c r="AS48" i="48"/>
  <c r="AW48" i="48" s="1"/>
  <c r="AP48" i="48"/>
  <c r="AR48" i="48" s="1"/>
  <c r="AM48" i="48"/>
  <c r="AQ48" i="48" s="1"/>
  <c r="AJ48" i="48"/>
  <c r="AL48" i="48" s="1"/>
  <c r="AG48" i="48"/>
  <c r="AK48" i="48" s="1"/>
  <c r="AD48" i="48"/>
  <c r="AF48" i="48" s="1"/>
  <c r="AB48" i="48"/>
  <c r="AA48" i="48"/>
  <c r="AE48" i="48" s="1"/>
  <c r="X48" i="48"/>
  <c r="V48" i="48"/>
  <c r="U48" i="48"/>
  <c r="Y48" i="48" s="1"/>
  <c r="R48" i="48"/>
  <c r="T48" i="48" s="1"/>
  <c r="P48" i="48"/>
  <c r="O48" i="48"/>
  <c r="S48" i="48" s="1"/>
  <c r="L48" i="48"/>
  <c r="J48" i="48"/>
  <c r="I48" i="48"/>
  <c r="M48" i="48" s="1"/>
  <c r="F48" i="48"/>
  <c r="E48" i="48"/>
  <c r="D48" i="48"/>
  <c r="C48" i="48"/>
  <c r="BI47" i="48"/>
  <c r="BH47" i="48"/>
  <c r="BJ47" i="48" s="1"/>
  <c r="BD47" i="48"/>
  <c r="BC47" i="48"/>
  <c r="AX47" i="48"/>
  <c r="AW47" i="48"/>
  <c r="AR47" i="48"/>
  <c r="AQ47" i="48"/>
  <c r="AL47" i="48"/>
  <c r="AK47" i="48"/>
  <c r="AF47" i="48"/>
  <c r="AE47" i="48"/>
  <c r="Z47" i="48"/>
  <c r="Y47" i="48"/>
  <c r="T47" i="48"/>
  <c r="S47" i="48"/>
  <c r="N47" i="48"/>
  <c r="M47" i="48"/>
  <c r="F47" i="48"/>
  <c r="E47" i="48"/>
  <c r="D47" i="48"/>
  <c r="C47" i="48"/>
  <c r="BI46" i="48"/>
  <c r="BH46" i="48"/>
  <c r="BJ46" i="48" s="1"/>
  <c r="BD46" i="48"/>
  <c r="BC46" i="48"/>
  <c r="AX46" i="48"/>
  <c r="AW46" i="48"/>
  <c r="AR46" i="48"/>
  <c r="AQ46" i="48"/>
  <c r="AL46" i="48"/>
  <c r="AK46" i="48"/>
  <c r="AF46" i="48"/>
  <c r="AE46" i="48"/>
  <c r="Z46" i="48"/>
  <c r="Y46" i="48"/>
  <c r="T46" i="48"/>
  <c r="S46" i="48"/>
  <c r="N46" i="48"/>
  <c r="M46" i="48"/>
  <c r="F46" i="48"/>
  <c r="E46" i="48"/>
  <c r="D46" i="48"/>
  <c r="C46" i="48"/>
  <c r="BI45" i="48"/>
  <c r="BH45" i="48"/>
  <c r="BJ45" i="48" s="1"/>
  <c r="BD45" i="48"/>
  <c r="BC45" i="48"/>
  <c r="AX45" i="48"/>
  <c r="AW45" i="48"/>
  <c r="AR45" i="48"/>
  <c r="AQ45" i="48"/>
  <c r="AL45" i="48"/>
  <c r="AK45" i="48"/>
  <c r="AF45" i="48"/>
  <c r="AE45" i="48"/>
  <c r="Z45" i="48"/>
  <c r="Y45" i="48"/>
  <c r="T45" i="48"/>
  <c r="S45" i="48"/>
  <c r="N45" i="48"/>
  <c r="M45" i="48"/>
  <c r="F45" i="48"/>
  <c r="E45" i="48"/>
  <c r="D45" i="48"/>
  <c r="C45" i="48"/>
  <c r="BI44" i="48"/>
  <c r="BH44" i="48"/>
  <c r="BJ44" i="48" s="1"/>
  <c r="BD44" i="48"/>
  <c r="BC44" i="48"/>
  <c r="AX44" i="48"/>
  <c r="AW44" i="48"/>
  <c r="AR44" i="48"/>
  <c r="AQ44" i="48"/>
  <c r="AL44" i="48"/>
  <c r="AK44" i="48"/>
  <c r="AF44" i="48"/>
  <c r="AE44" i="48"/>
  <c r="Z44" i="48"/>
  <c r="Y44" i="48"/>
  <c r="T44" i="48"/>
  <c r="S44" i="48"/>
  <c r="N44" i="48"/>
  <c r="M44" i="48"/>
  <c r="F44" i="48"/>
  <c r="E44" i="48"/>
  <c r="D44" i="48"/>
  <c r="C44" i="48"/>
  <c r="BI43" i="48"/>
  <c r="BH43" i="48"/>
  <c r="BJ43" i="48" s="1"/>
  <c r="BF43" i="48"/>
  <c r="BC43" i="48"/>
  <c r="BB43" i="48"/>
  <c r="AZ43" i="48"/>
  <c r="AW43" i="48"/>
  <c r="AV43" i="48"/>
  <c r="AX43" i="48" s="1"/>
  <c r="AT43" i="48"/>
  <c r="AQ43" i="48"/>
  <c r="AP43" i="48"/>
  <c r="AN43" i="48"/>
  <c r="AK43" i="48"/>
  <c r="AJ43" i="48"/>
  <c r="AL43" i="48" s="1"/>
  <c r="AH43" i="48"/>
  <c r="AE43" i="48"/>
  <c r="AD43" i="48"/>
  <c r="AB43" i="48"/>
  <c r="Y43" i="48"/>
  <c r="X43" i="48"/>
  <c r="Z43" i="48" s="1"/>
  <c r="V43" i="48"/>
  <c r="S43" i="48"/>
  <c r="R43" i="48"/>
  <c r="P43" i="48"/>
  <c r="M43" i="48"/>
  <c r="L43" i="48"/>
  <c r="N43" i="48" s="1"/>
  <c r="J43" i="48"/>
  <c r="F43" i="48"/>
  <c r="E43" i="48"/>
  <c r="C43" i="48"/>
  <c r="BH42" i="48"/>
  <c r="AB42" i="48"/>
  <c r="V42" i="48"/>
  <c r="F42" i="48"/>
  <c r="E42" i="48"/>
  <c r="D42" i="48"/>
  <c r="BH41" i="48"/>
  <c r="AB41" i="48"/>
  <c r="V41" i="48"/>
  <c r="F41" i="48"/>
  <c r="E41" i="48"/>
  <c r="D41" i="48"/>
  <c r="BG40" i="48"/>
  <c r="BH40" i="48" s="1"/>
  <c r="BC40" i="48"/>
  <c r="BB40" i="48"/>
  <c r="AZ40" i="48"/>
  <c r="AW40" i="48"/>
  <c r="AV40" i="48"/>
  <c r="AX40" i="48" s="1"/>
  <c r="AT40" i="48"/>
  <c r="AQ40" i="48"/>
  <c r="AP40" i="48"/>
  <c r="AN40" i="48"/>
  <c r="AK40" i="48"/>
  <c r="AJ40" i="48"/>
  <c r="AL40" i="48" s="1"/>
  <c r="AH40" i="48"/>
  <c r="AE40" i="48"/>
  <c r="AD40" i="48"/>
  <c r="AB40" i="48"/>
  <c r="Y40" i="48"/>
  <c r="X40" i="48"/>
  <c r="Z40" i="48" s="1"/>
  <c r="V40" i="48"/>
  <c r="S40" i="48"/>
  <c r="R40" i="48"/>
  <c r="P40" i="48"/>
  <c r="M40" i="48"/>
  <c r="L40" i="48"/>
  <c r="N40" i="48" s="1"/>
  <c r="J40" i="48"/>
  <c r="E40" i="48"/>
  <c r="C40" i="48"/>
  <c r="BI39" i="48"/>
  <c r="BH39" i="48"/>
  <c r="BJ39" i="48" s="1"/>
  <c r="BD39" i="48"/>
  <c r="BC39" i="48"/>
  <c r="AX39" i="48"/>
  <c r="AW39" i="48"/>
  <c r="AR39" i="48"/>
  <c r="AQ39" i="48"/>
  <c r="AL39" i="48"/>
  <c r="AK39" i="48"/>
  <c r="AF39" i="48"/>
  <c r="AE39" i="48"/>
  <c r="Y39" i="48"/>
  <c r="V39" i="48"/>
  <c r="Z39" i="48" s="1"/>
  <c r="T39" i="48"/>
  <c r="S39" i="48"/>
  <c r="N39" i="48"/>
  <c r="M39" i="48"/>
  <c r="F39" i="48"/>
  <c r="E39" i="48"/>
  <c r="C39" i="48"/>
  <c r="BI38" i="48"/>
  <c r="BH38" i="48"/>
  <c r="BJ38" i="48" s="1"/>
  <c r="BD38" i="48"/>
  <c r="BC38" i="48"/>
  <c r="AX38" i="48"/>
  <c r="AW38" i="48"/>
  <c r="AR38" i="48"/>
  <c r="AQ38" i="48"/>
  <c r="AL38" i="48"/>
  <c r="AK38" i="48"/>
  <c r="AF38" i="48"/>
  <c r="AE38" i="48"/>
  <c r="Y38" i="48"/>
  <c r="V38" i="48"/>
  <c r="Z38" i="48" s="1"/>
  <c r="T38" i="48"/>
  <c r="S38" i="48"/>
  <c r="N38" i="48"/>
  <c r="M38" i="48"/>
  <c r="F38" i="48"/>
  <c r="E38" i="48"/>
  <c r="C38" i="48"/>
  <c r="BI37" i="48"/>
  <c r="BH37" i="48"/>
  <c r="BJ37" i="48" s="1"/>
  <c r="V37" i="48"/>
  <c r="D37" i="48" s="1"/>
  <c r="F37" i="48"/>
  <c r="E37" i="48"/>
  <c r="C37" i="48"/>
  <c r="BH36" i="48"/>
  <c r="V36" i="48"/>
  <c r="F36" i="48"/>
  <c r="E36" i="48"/>
  <c r="BI35" i="48"/>
  <c r="BH35" i="48"/>
  <c r="BF35" i="48"/>
  <c r="V35" i="48"/>
  <c r="F35" i="48"/>
  <c r="E35" i="48"/>
  <c r="D35" i="48"/>
  <c r="C35" i="48"/>
  <c r="BH34" i="48"/>
  <c r="BB34" i="48"/>
  <c r="AW34" i="48"/>
  <c r="AV34" i="48"/>
  <c r="AT34" i="48"/>
  <c r="AQ34" i="48"/>
  <c r="AP34" i="48"/>
  <c r="AR34" i="48" s="1"/>
  <c r="AN34" i="48"/>
  <c r="AK34" i="48"/>
  <c r="AJ34" i="48"/>
  <c r="AH34" i="48"/>
  <c r="AE34" i="48"/>
  <c r="AD34" i="48"/>
  <c r="AF34" i="48" s="1"/>
  <c r="AB34" i="48"/>
  <c r="Y34" i="48"/>
  <c r="X34" i="48"/>
  <c r="V34" i="48"/>
  <c r="S34" i="48"/>
  <c r="R34" i="48"/>
  <c r="T34" i="48" s="1"/>
  <c r="P34" i="48"/>
  <c r="M34" i="48"/>
  <c r="L34" i="48"/>
  <c r="J34" i="48"/>
  <c r="F34" i="48"/>
  <c r="E34" i="48"/>
  <c r="D34" i="48"/>
  <c r="C34" i="48"/>
  <c r="BJ33" i="48"/>
  <c r="BC33" i="48"/>
  <c r="BB33" i="48"/>
  <c r="AZ33" i="48"/>
  <c r="AW33" i="48"/>
  <c r="AV33" i="48"/>
  <c r="AT33" i="48"/>
  <c r="AQ33" i="48"/>
  <c r="AP33" i="48"/>
  <c r="AN33" i="48"/>
  <c r="AK33" i="48"/>
  <c r="AJ33" i="48"/>
  <c r="AH33" i="48"/>
  <c r="AE33" i="48"/>
  <c r="AD33" i="48"/>
  <c r="AB33" i="48"/>
  <c r="Y33" i="48"/>
  <c r="X33" i="48"/>
  <c r="V33" i="48"/>
  <c r="S33" i="48"/>
  <c r="R33" i="48"/>
  <c r="P33" i="48"/>
  <c r="M33" i="48"/>
  <c r="L33" i="48"/>
  <c r="J33" i="48"/>
  <c r="D33" i="48" s="1"/>
  <c r="F33" i="48"/>
  <c r="D32" i="44" s="1"/>
  <c r="E33" i="48"/>
  <c r="C33" i="48"/>
  <c r="BH32" i="48"/>
  <c r="BC32" i="48"/>
  <c r="BB32" i="48"/>
  <c r="AZ32" i="48"/>
  <c r="AW32" i="48"/>
  <c r="AV32" i="48"/>
  <c r="AX32" i="48" s="1"/>
  <c r="AT32" i="48"/>
  <c r="AQ32" i="48"/>
  <c r="AP32" i="48"/>
  <c r="AN32" i="48"/>
  <c r="AK32" i="48"/>
  <c r="AJ32" i="48"/>
  <c r="AL32" i="48" s="1"/>
  <c r="AH32" i="48"/>
  <c r="AE32" i="48"/>
  <c r="AD32" i="48"/>
  <c r="AB32" i="48"/>
  <c r="Y32" i="48"/>
  <c r="X32" i="48"/>
  <c r="Z32" i="48" s="1"/>
  <c r="V32" i="48"/>
  <c r="S32" i="48"/>
  <c r="R32" i="48"/>
  <c r="P32" i="48"/>
  <c r="M32" i="48"/>
  <c r="L32" i="48"/>
  <c r="N32" i="48" s="1"/>
  <c r="J32" i="48"/>
  <c r="F32" i="48"/>
  <c r="E32" i="48"/>
  <c r="D32" i="48"/>
  <c r="C32" i="48"/>
  <c r="BI31" i="48"/>
  <c r="BH31" i="48"/>
  <c r="BF31" i="48"/>
  <c r="BC31" i="48"/>
  <c r="BB31" i="48"/>
  <c r="BD31" i="48" s="1"/>
  <c r="AZ31" i="48"/>
  <c r="AW31" i="48"/>
  <c r="AV31" i="48"/>
  <c r="AT31" i="48"/>
  <c r="AQ31" i="48"/>
  <c r="AP31" i="48"/>
  <c r="AR31" i="48" s="1"/>
  <c r="AN31" i="48"/>
  <c r="AK31" i="48"/>
  <c r="AJ31" i="48"/>
  <c r="AH31" i="48"/>
  <c r="AE31" i="48"/>
  <c r="AD31" i="48"/>
  <c r="AF31" i="48" s="1"/>
  <c r="AB31" i="48"/>
  <c r="Y31" i="48"/>
  <c r="X31" i="48"/>
  <c r="V31" i="48"/>
  <c r="S31" i="48"/>
  <c r="R31" i="48"/>
  <c r="T31" i="48" s="1"/>
  <c r="P31" i="48"/>
  <c r="M31" i="48"/>
  <c r="L31" i="48"/>
  <c r="J31" i="48"/>
  <c r="D31" i="48" s="1"/>
  <c r="E31" i="48"/>
  <c r="C31" i="48"/>
  <c r="F30" i="48"/>
  <c r="BI29" i="48"/>
  <c r="Y29" i="48"/>
  <c r="S29" i="48"/>
  <c r="M29" i="48"/>
  <c r="E29" i="48"/>
  <c r="C29" i="48"/>
  <c r="BF29" i="48" s="1"/>
  <c r="D29" i="48" s="1"/>
  <c r="BI28" i="48"/>
  <c r="BH28" i="48"/>
  <c r="BF28" i="48"/>
  <c r="BC28" i="48"/>
  <c r="BB28" i="48"/>
  <c r="BD28" i="48" s="1"/>
  <c r="AZ28" i="48"/>
  <c r="AW28" i="48"/>
  <c r="AV28" i="48"/>
  <c r="AT28" i="48"/>
  <c r="AQ28" i="48"/>
  <c r="AP28" i="48"/>
  <c r="AR28" i="48" s="1"/>
  <c r="AN28" i="48"/>
  <c r="AK28" i="48"/>
  <c r="AJ28" i="48"/>
  <c r="AL28" i="48" s="1"/>
  <c r="AH28" i="48"/>
  <c r="AE28" i="48"/>
  <c r="AD28" i="48"/>
  <c r="AB28" i="48"/>
  <c r="Y28" i="48"/>
  <c r="X28" i="48"/>
  <c r="Z28" i="48" s="1"/>
  <c r="V28" i="48"/>
  <c r="S28" i="48"/>
  <c r="R28" i="48"/>
  <c r="P28" i="48"/>
  <c r="M28" i="48"/>
  <c r="L28" i="48"/>
  <c r="N28" i="48" s="1"/>
  <c r="J28" i="48"/>
  <c r="F28" i="48"/>
  <c r="E28" i="48"/>
  <c r="D28" i="48"/>
  <c r="C28" i="48"/>
  <c r="BH27" i="48"/>
  <c r="BF27" i="48"/>
  <c r="BC27" i="48"/>
  <c r="BB27" i="48"/>
  <c r="AZ27" i="48"/>
  <c r="AW27" i="48"/>
  <c r="AV27" i="48"/>
  <c r="AX27" i="48" s="1"/>
  <c r="AT27" i="48"/>
  <c r="AQ27" i="48"/>
  <c r="AP27" i="48"/>
  <c r="AN27" i="48"/>
  <c r="AK27" i="48"/>
  <c r="AJ27" i="48"/>
  <c r="AL27" i="48" s="1"/>
  <c r="AH27" i="48"/>
  <c r="AE27" i="48"/>
  <c r="AD27" i="48"/>
  <c r="AB27" i="48"/>
  <c r="Y27" i="48"/>
  <c r="X27" i="48"/>
  <c r="Z27" i="48" s="1"/>
  <c r="V27" i="48"/>
  <c r="S27" i="48"/>
  <c r="R27" i="48"/>
  <c r="P27" i="48"/>
  <c r="M27" i="48"/>
  <c r="L27" i="48"/>
  <c r="N27" i="48" s="1"/>
  <c r="J27" i="48"/>
  <c r="F27" i="48"/>
  <c r="E27" i="48"/>
  <c r="C27" i="48"/>
  <c r="BI26" i="48"/>
  <c r="BH26" i="48"/>
  <c r="BJ26" i="48" s="1"/>
  <c r="BF26" i="48"/>
  <c r="BC26" i="48"/>
  <c r="BB26" i="48"/>
  <c r="AZ26" i="48"/>
  <c r="AZ25" i="48" s="1"/>
  <c r="AW26" i="48"/>
  <c r="AV26" i="48"/>
  <c r="AX26" i="48" s="1"/>
  <c r="AT26" i="48"/>
  <c r="AT25" i="48" s="1"/>
  <c r="AQ26" i="48"/>
  <c r="AP26" i="48"/>
  <c r="AN26" i="48"/>
  <c r="AK26" i="48"/>
  <c r="AJ26" i="48"/>
  <c r="AL26" i="48" s="1"/>
  <c r="AH26" i="48"/>
  <c r="AE26" i="48"/>
  <c r="AD26" i="48"/>
  <c r="AB26" i="48"/>
  <c r="Y26" i="48"/>
  <c r="X26" i="48"/>
  <c r="Z26" i="48" s="1"/>
  <c r="V26" i="48"/>
  <c r="S26" i="48"/>
  <c r="R26" i="48"/>
  <c r="P26" i="48"/>
  <c r="M26" i="48"/>
  <c r="L26" i="48"/>
  <c r="N26" i="48" s="1"/>
  <c r="J26" i="48"/>
  <c r="D26" i="48" s="1"/>
  <c r="F26" i="48"/>
  <c r="H26" i="48" s="1"/>
  <c r="E26" i="48"/>
  <c r="C26" i="48"/>
  <c r="BG25" i="48"/>
  <c r="BE25" i="48"/>
  <c r="BB25" i="48"/>
  <c r="BD25" i="48" s="1"/>
  <c r="BA25" i="48"/>
  <c r="AY25" i="48"/>
  <c r="AV25" i="48"/>
  <c r="AX25" i="48" s="1"/>
  <c r="AU25" i="48"/>
  <c r="AS25" i="48"/>
  <c r="AP25" i="48"/>
  <c r="AO25" i="48"/>
  <c r="AN25" i="48"/>
  <c r="AM25" i="48"/>
  <c r="AJ25" i="48"/>
  <c r="AI25" i="48"/>
  <c r="AH25" i="48"/>
  <c r="AG25" i="48"/>
  <c r="AD25" i="48"/>
  <c r="AC25" i="48"/>
  <c r="AB25" i="48"/>
  <c r="AA25" i="48"/>
  <c r="X25" i="48"/>
  <c r="W25" i="48"/>
  <c r="V25" i="48"/>
  <c r="U25" i="48"/>
  <c r="R25" i="48"/>
  <c r="Q25" i="48"/>
  <c r="P25" i="48"/>
  <c r="O25" i="48"/>
  <c r="L25" i="48"/>
  <c r="K25" i="48"/>
  <c r="J25" i="48"/>
  <c r="I25" i="48"/>
  <c r="E25" i="48"/>
  <c r="G25" i="48" s="1"/>
  <c r="C25" i="48"/>
  <c r="BH24" i="48"/>
  <c r="F24" i="48" s="1"/>
  <c r="D23" i="44" s="1"/>
  <c r="E24" i="48"/>
  <c r="C23" i="44" s="1"/>
  <c r="BI23" i="48"/>
  <c r="BH23" i="48"/>
  <c r="BJ23" i="48" s="1"/>
  <c r="BF23" i="48"/>
  <c r="F23" i="48"/>
  <c r="E23" i="48"/>
  <c r="D23" i="48"/>
  <c r="C23" i="48"/>
  <c r="BI22" i="48"/>
  <c r="BH22" i="48"/>
  <c r="BF22" i="48"/>
  <c r="D22" i="48" s="1"/>
  <c r="D21" i="48" s="1"/>
  <c r="F22" i="48"/>
  <c r="E22" i="48"/>
  <c r="C22" i="48"/>
  <c r="BH21" i="48"/>
  <c r="BG21" i="48"/>
  <c r="BF21" i="48"/>
  <c r="BE21" i="48"/>
  <c r="BB21" i="48"/>
  <c r="BA21" i="48"/>
  <c r="AV21" i="48"/>
  <c r="AU21" i="48"/>
  <c r="AP21" i="48"/>
  <c r="AO21" i="48"/>
  <c r="AJ21" i="48"/>
  <c r="AI21" i="48"/>
  <c r="AD21" i="48"/>
  <c r="AC21" i="48"/>
  <c r="X21" i="48"/>
  <c r="W21" i="48"/>
  <c r="R21" i="48"/>
  <c r="Q21" i="48"/>
  <c r="L21" i="48"/>
  <c r="K21" i="48"/>
  <c r="E21" i="48"/>
  <c r="C21" i="48"/>
  <c r="F20" i="48"/>
  <c r="E20" i="48"/>
  <c r="C19" i="44" s="1"/>
  <c r="D19" i="44" s="1"/>
  <c r="F19" i="48"/>
  <c r="E19" i="48"/>
  <c r="C18" i="44" s="1"/>
  <c r="D18" i="44" s="1"/>
  <c r="BI18" i="48"/>
  <c r="BH18" i="48"/>
  <c r="BJ18" i="48" s="1"/>
  <c r="BF18" i="48"/>
  <c r="AW18" i="48"/>
  <c r="AV18" i="48"/>
  <c r="AT18" i="48"/>
  <c r="AP18" i="48"/>
  <c r="AK18" i="48"/>
  <c r="AJ18" i="48"/>
  <c r="AH18" i="48"/>
  <c r="AE18" i="48"/>
  <c r="AD18" i="48"/>
  <c r="AF18" i="48" s="1"/>
  <c r="AB18" i="48"/>
  <c r="R18" i="48"/>
  <c r="M18" i="48"/>
  <c r="L18" i="48"/>
  <c r="N18" i="48" s="1"/>
  <c r="J18" i="48"/>
  <c r="F18" i="48"/>
  <c r="E18" i="48"/>
  <c r="D18" i="48"/>
  <c r="C18" i="48"/>
  <c r="BH17" i="48"/>
  <c r="AW17" i="48"/>
  <c r="AV17" i="48"/>
  <c r="AX17" i="48" s="1"/>
  <c r="AT17" i="48"/>
  <c r="AQ17" i="48"/>
  <c r="AP17" i="48"/>
  <c r="AN17" i="48"/>
  <c r="AE17" i="48"/>
  <c r="AD17" i="48"/>
  <c r="AF17" i="48" s="1"/>
  <c r="AB17" i="48"/>
  <c r="X17" i="48"/>
  <c r="S17" i="48"/>
  <c r="R17" i="48"/>
  <c r="T17" i="48" s="1"/>
  <c r="P17" i="48"/>
  <c r="M17" i="48"/>
  <c r="L17" i="48"/>
  <c r="J17" i="48"/>
  <c r="D17" i="48" s="1"/>
  <c r="E17" i="48"/>
  <c r="C17" i="48"/>
  <c r="BI16" i="48"/>
  <c r="BH16" i="48"/>
  <c r="BJ16" i="48" s="1"/>
  <c r="BF16" i="48"/>
  <c r="AV16" i="48"/>
  <c r="AV15" i="48" s="1"/>
  <c r="AP16" i="48"/>
  <c r="AK16" i="48"/>
  <c r="AJ16" i="48"/>
  <c r="AH16" i="48"/>
  <c r="AE16" i="48"/>
  <c r="AD16" i="48"/>
  <c r="AF16" i="48" s="1"/>
  <c r="AB16" i="48"/>
  <c r="M16" i="48"/>
  <c r="L16" i="48"/>
  <c r="J16" i="48"/>
  <c r="D16" i="48" s="1"/>
  <c r="D15" i="48" s="1"/>
  <c r="E16" i="48"/>
  <c r="C16" i="48"/>
  <c r="BG15" i="48"/>
  <c r="BF15" i="48"/>
  <c r="BE15" i="48"/>
  <c r="BB15" i="48"/>
  <c r="BA15" i="48"/>
  <c r="F16" i="52" s="1"/>
  <c r="AU15" i="48"/>
  <c r="AT15" i="48"/>
  <c r="AS15" i="48"/>
  <c r="AP15" i="48"/>
  <c r="AO15" i="48"/>
  <c r="AN15" i="48"/>
  <c r="AM15" i="48"/>
  <c r="AJ15" i="48"/>
  <c r="AI15" i="48"/>
  <c r="AH15" i="48"/>
  <c r="AG15" i="48"/>
  <c r="AD15" i="48"/>
  <c r="AC15" i="48"/>
  <c r="AB15" i="48"/>
  <c r="AA15" i="48"/>
  <c r="X15" i="48"/>
  <c r="W15" i="48"/>
  <c r="F11" i="52" s="1"/>
  <c r="R15" i="48"/>
  <c r="Q15" i="48"/>
  <c r="P15" i="48"/>
  <c r="O15" i="48"/>
  <c r="L15" i="48"/>
  <c r="K15" i="48"/>
  <c r="J15" i="48"/>
  <c r="I15" i="48"/>
  <c r="E15" i="48"/>
  <c r="C15" i="48"/>
  <c r="F14" i="48"/>
  <c r="D13" i="44" s="1"/>
  <c r="E14" i="48"/>
  <c r="C13" i="44" s="1"/>
  <c r="BI13" i="48"/>
  <c r="BC13" i="48"/>
  <c r="AW13" i="48"/>
  <c r="AQ13" i="48"/>
  <c r="AK13" i="48"/>
  <c r="AE13" i="48"/>
  <c r="Y13" i="48"/>
  <c r="S13" i="48"/>
  <c r="M13" i="48"/>
  <c r="E13" i="48"/>
  <c r="C13" i="48"/>
  <c r="BF13" i="48" s="1"/>
  <c r="D13" i="48" s="1"/>
  <c r="AW12" i="48"/>
  <c r="AV12" i="48"/>
  <c r="AX12" i="48" s="1"/>
  <c r="AE12" i="48"/>
  <c r="AD12" i="48"/>
  <c r="AB12" i="48"/>
  <c r="L12" i="48"/>
  <c r="F12" i="48"/>
  <c r="D11" i="44" s="1"/>
  <c r="E12" i="48"/>
  <c r="D12" i="48"/>
  <c r="C12" i="48"/>
  <c r="BI11" i="48"/>
  <c r="E11" i="48"/>
  <c r="C11" i="48"/>
  <c r="BF11" i="48" s="1"/>
  <c r="BG10" i="48"/>
  <c r="BE10" i="48"/>
  <c r="BB10" i="48"/>
  <c r="BA10" i="48"/>
  <c r="AZ10" i="48"/>
  <c r="AY10" i="48"/>
  <c r="AV10" i="48"/>
  <c r="AU10" i="48"/>
  <c r="AT10" i="48"/>
  <c r="AS10" i="48"/>
  <c r="AP10" i="48"/>
  <c r="AO10" i="48"/>
  <c r="AN10" i="48"/>
  <c r="AM10" i="48"/>
  <c r="AJ10" i="48"/>
  <c r="AI10" i="48"/>
  <c r="AH10" i="48"/>
  <c r="AG10" i="48"/>
  <c r="AD10" i="48"/>
  <c r="AC10" i="48"/>
  <c r="AB10" i="48"/>
  <c r="AA10" i="48"/>
  <c r="X10" i="48"/>
  <c r="W10" i="48"/>
  <c r="V10" i="48"/>
  <c r="U10" i="48"/>
  <c r="R10" i="48"/>
  <c r="Q10" i="48"/>
  <c r="P10" i="48"/>
  <c r="O10" i="48"/>
  <c r="L10" i="48"/>
  <c r="K10" i="48"/>
  <c r="J10" i="48"/>
  <c r="I10" i="48"/>
  <c r="E10" i="48"/>
  <c r="C10" i="48"/>
  <c r="BG9" i="48"/>
  <c r="BE9" i="48"/>
  <c r="BB9" i="48"/>
  <c r="BA9" i="48"/>
  <c r="BC9" i="48" s="1"/>
  <c r="AY9" i="48"/>
  <c r="AU9" i="48"/>
  <c r="AS9" i="48"/>
  <c r="AP9" i="48"/>
  <c r="AO9" i="48"/>
  <c r="AN9" i="48"/>
  <c r="AM9" i="48"/>
  <c r="AJ9" i="48"/>
  <c r="AI9" i="48"/>
  <c r="AH9" i="48"/>
  <c r="AG9" i="48"/>
  <c r="AD9" i="48"/>
  <c r="AC9" i="48"/>
  <c r="AB9" i="48"/>
  <c r="AA9" i="48"/>
  <c r="X9" i="48"/>
  <c r="W9" i="48"/>
  <c r="V9" i="48"/>
  <c r="U9" i="48"/>
  <c r="R9" i="48"/>
  <c r="Q9" i="48"/>
  <c r="P9" i="48"/>
  <c r="O9" i="48"/>
  <c r="L9" i="48"/>
  <c r="K9" i="48"/>
  <c r="J9" i="48"/>
  <c r="I9" i="48"/>
  <c r="E9" i="48"/>
  <c r="G9" i="48" s="1"/>
  <c r="C9" i="48"/>
  <c r="BL8" i="48"/>
  <c r="BM8" i="48" s="1"/>
  <c r="BK8" i="48"/>
  <c r="BG8" i="48"/>
  <c r="BE8" i="48"/>
  <c r="D17" i="51" s="1"/>
  <c r="BB8" i="48"/>
  <c r="BA8" i="48"/>
  <c r="AY8" i="48"/>
  <c r="D16" i="51" s="1"/>
  <c r="AU8" i="48"/>
  <c r="AS8" i="48"/>
  <c r="D15" i="51" s="1"/>
  <c r="AP8" i="48"/>
  <c r="AO8" i="48"/>
  <c r="AN8" i="48"/>
  <c r="AM8" i="48"/>
  <c r="D14" i="51" s="1"/>
  <c r="AL8" i="48"/>
  <c r="AJ8" i="48"/>
  <c r="AI8" i="48"/>
  <c r="AH8" i="48"/>
  <c r="AG8" i="48"/>
  <c r="D13" i="51" s="1"/>
  <c r="AD8" i="48"/>
  <c r="AC8" i="48"/>
  <c r="AB8" i="48"/>
  <c r="AA8" i="48"/>
  <c r="D12" i="51" s="1"/>
  <c r="X8" i="48"/>
  <c r="Z8" i="48" s="1"/>
  <c r="W8" i="48"/>
  <c r="H11" i="51" s="1"/>
  <c r="V8" i="48"/>
  <c r="U8" i="48"/>
  <c r="D11" i="51" s="1"/>
  <c r="R8" i="48"/>
  <c r="Q8" i="48"/>
  <c r="P8" i="48"/>
  <c r="O8" i="48"/>
  <c r="D10" i="51" s="1"/>
  <c r="L8" i="48"/>
  <c r="K8" i="48"/>
  <c r="J8" i="48"/>
  <c r="I8" i="48"/>
  <c r="D9" i="51" s="1"/>
  <c r="C8" i="48"/>
  <c r="N8" i="48" l="1"/>
  <c r="T8" i="48"/>
  <c r="AE8" i="48"/>
  <c r="H12" i="51"/>
  <c r="AK8" i="48"/>
  <c r="H13" i="51"/>
  <c r="AR8" i="48"/>
  <c r="AX15" i="48"/>
  <c r="AV9" i="48"/>
  <c r="M8" i="48"/>
  <c r="H9" i="51"/>
  <c r="S8" i="48"/>
  <c r="H10" i="51"/>
  <c r="AF8" i="48"/>
  <c r="AQ8" i="48"/>
  <c r="H14" i="51"/>
  <c r="AW8" i="48"/>
  <c r="H15" i="51"/>
  <c r="BC8" i="48"/>
  <c r="H16" i="51"/>
  <c r="M9" i="48"/>
  <c r="S9" i="48"/>
  <c r="Y9" i="48"/>
  <c r="AE9" i="48"/>
  <c r="AK9" i="48"/>
  <c r="AQ9" i="48"/>
  <c r="M10" i="48"/>
  <c r="E9" i="52"/>
  <c r="S10" i="48"/>
  <c r="E10" i="52"/>
  <c r="Y10" i="48"/>
  <c r="E11" i="52"/>
  <c r="AE10" i="48"/>
  <c r="E12" i="52"/>
  <c r="AK10" i="48"/>
  <c r="E13" i="52"/>
  <c r="AQ10" i="48"/>
  <c r="E14" i="52"/>
  <c r="AW10" i="48"/>
  <c r="E15" i="52"/>
  <c r="BC10" i="48"/>
  <c r="E16" i="52"/>
  <c r="BH13" i="48"/>
  <c r="C12" i="44"/>
  <c r="G15" i="48"/>
  <c r="M15" i="48"/>
  <c r="F9" i="52"/>
  <c r="S15" i="48"/>
  <c r="F10" i="52"/>
  <c r="AE15" i="48"/>
  <c r="F12" i="52"/>
  <c r="AK15" i="48"/>
  <c r="F13" i="52"/>
  <c r="AQ15" i="48"/>
  <c r="F14" i="52"/>
  <c r="AW15" i="48"/>
  <c r="F15" i="52"/>
  <c r="BI15" i="48"/>
  <c r="F17" i="52"/>
  <c r="G16" i="48"/>
  <c r="C15" i="44"/>
  <c r="D15" i="44" s="1"/>
  <c r="G17" i="48"/>
  <c r="C16" i="44"/>
  <c r="D16" i="44" s="1"/>
  <c r="H18" i="48"/>
  <c r="G21" i="48"/>
  <c r="BJ21" i="48"/>
  <c r="BJ22" i="48"/>
  <c r="M25" i="48"/>
  <c r="H9" i="52"/>
  <c r="S25" i="48"/>
  <c r="H10" i="52"/>
  <c r="Y25" i="48"/>
  <c r="H11" i="52"/>
  <c r="AE25" i="48"/>
  <c r="H12" i="52"/>
  <c r="AK25" i="48"/>
  <c r="H13" i="52"/>
  <c r="AQ25" i="48"/>
  <c r="H14" i="52"/>
  <c r="BC25" i="48"/>
  <c r="H16" i="52"/>
  <c r="G26" i="48"/>
  <c r="C25" i="44"/>
  <c r="T26" i="48"/>
  <c r="AF26" i="48"/>
  <c r="AR26" i="48"/>
  <c r="AT9" i="48"/>
  <c r="AT8" i="48" s="1"/>
  <c r="BD26" i="48"/>
  <c r="BF25" i="48"/>
  <c r="G27" i="48"/>
  <c r="C26" i="44"/>
  <c r="D26" i="44" s="1"/>
  <c r="D27" i="48"/>
  <c r="D25" i="48" s="1"/>
  <c r="T27" i="48"/>
  <c r="AF27" i="48"/>
  <c r="AR27" i="48"/>
  <c r="BD27" i="48"/>
  <c r="G28" i="48"/>
  <c r="C27" i="44"/>
  <c r="D27" i="44" s="1"/>
  <c r="T28" i="48"/>
  <c r="AF28" i="48"/>
  <c r="G31" i="48"/>
  <c r="C30" i="44"/>
  <c r="C17" i="86" s="1"/>
  <c r="H32" i="48"/>
  <c r="D31" i="44"/>
  <c r="N33" i="48"/>
  <c r="Z33" i="48"/>
  <c r="AL33" i="48"/>
  <c r="AX33" i="48"/>
  <c r="G34" i="48"/>
  <c r="C33" i="44"/>
  <c r="H35" i="48"/>
  <c r="D34" i="44"/>
  <c r="G37" i="48"/>
  <c r="C35" i="44"/>
  <c r="C18" i="86" s="1"/>
  <c r="G38" i="48"/>
  <c r="C36" i="44"/>
  <c r="G40" i="48"/>
  <c r="C38" i="44"/>
  <c r="C19" i="86" s="1"/>
  <c r="D41" i="44"/>
  <c r="G44" i="48"/>
  <c r="C42" i="44"/>
  <c r="G45" i="48"/>
  <c r="C43" i="44"/>
  <c r="G46" i="48"/>
  <c r="C44" i="44"/>
  <c r="G47" i="48"/>
  <c r="C45" i="44"/>
  <c r="E63" i="48"/>
  <c r="C46" i="44"/>
  <c r="N48" i="48"/>
  <c r="Z48" i="48"/>
  <c r="AX48" i="48"/>
  <c r="G49" i="48"/>
  <c r="C47" i="44"/>
  <c r="G50" i="48"/>
  <c r="C48" i="44"/>
  <c r="G51" i="48"/>
  <c r="C49" i="44"/>
  <c r="C21" i="86" s="1"/>
  <c r="N9" i="48"/>
  <c r="T9" i="48"/>
  <c r="Z9" i="48"/>
  <c r="AF9" i="48"/>
  <c r="AL9" i="48"/>
  <c r="AR9" i="48"/>
  <c r="AW9" i="48"/>
  <c r="BI9" i="48"/>
  <c r="G10" i="48"/>
  <c r="AF10" i="48"/>
  <c r="AX10" i="48"/>
  <c r="BI10" i="48"/>
  <c r="E17" i="52"/>
  <c r="BH11" i="48"/>
  <c r="C10" i="44"/>
  <c r="G12" i="48"/>
  <c r="C11" i="44"/>
  <c r="AF12" i="48"/>
  <c r="N15" i="48"/>
  <c r="T15" i="48"/>
  <c r="AF15" i="48"/>
  <c r="AL15" i="48"/>
  <c r="AR15" i="48"/>
  <c r="BH15" i="48"/>
  <c r="BJ15" i="48" s="1"/>
  <c r="F16" i="48"/>
  <c r="N16" i="48"/>
  <c r="AL16" i="48"/>
  <c r="F17" i="48"/>
  <c r="H17" i="48" s="1"/>
  <c r="N17" i="48"/>
  <c r="AR17" i="48"/>
  <c r="G18" i="48"/>
  <c r="C17" i="44"/>
  <c r="D17" i="44" s="1"/>
  <c r="AL18" i="48"/>
  <c r="AX18" i="48"/>
  <c r="N25" i="48"/>
  <c r="T25" i="48"/>
  <c r="Z25" i="48"/>
  <c r="AF25" i="48"/>
  <c r="AL25" i="48"/>
  <c r="AR25" i="48"/>
  <c r="AW25" i="48"/>
  <c r="H15" i="52"/>
  <c r="BI25" i="48"/>
  <c r="H17" i="52"/>
  <c r="AZ9" i="48"/>
  <c r="AZ8" i="48" s="1"/>
  <c r="BD8" i="48" s="1"/>
  <c r="H27" i="48"/>
  <c r="H28" i="48"/>
  <c r="AX28" i="48"/>
  <c r="BJ28" i="48"/>
  <c r="BH29" i="48"/>
  <c r="BH25" i="48" s="1"/>
  <c r="BJ25" i="48" s="1"/>
  <c r="C28" i="44"/>
  <c r="D28" i="44" s="1"/>
  <c r="F31" i="48"/>
  <c r="N31" i="48"/>
  <c r="Z31" i="48"/>
  <c r="AL31" i="48"/>
  <c r="AX31" i="48"/>
  <c r="BJ31" i="48"/>
  <c r="G32" i="48"/>
  <c r="C31" i="44"/>
  <c r="T32" i="48"/>
  <c r="AF32" i="48"/>
  <c r="AR32" i="48"/>
  <c r="BD32" i="48"/>
  <c r="G33" i="48"/>
  <c r="C32" i="44"/>
  <c r="C20" i="86" s="1"/>
  <c r="T33" i="48"/>
  <c r="AF33" i="48"/>
  <c r="AR33" i="48"/>
  <c r="BD33" i="48"/>
  <c r="H34" i="48"/>
  <c r="D33" i="44"/>
  <c r="N34" i="48"/>
  <c r="Z34" i="48"/>
  <c r="AL34" i="48"/>
  <c r="AX34" i="48"/>
  <c r="G35" i="48"/>
  <c r="C34" i="44"/>
  <c r="BJ35" i="48"/>
  <c r="H37" i="48"/>
  <c r="D35" i="44"/>
  <c r="G39" i="48"/>
  <c r="C37" i="44"/>
  <c r="D40" i="48"/>
  <c r="T40" i="48"/>
  <c r="AF40" i="48"/>
  <c r="AR40" i="48"/>
  <c r="BD40" i="48"/>
  <c r="F40" i="48"/>
  <c r="D38" i="44" s="1"/>
  <c r="E65" i="48"/>
  <c r="C41" i="44"/>
  <c r="D43" i="48"/>
  <c r="H43" i="48" s="1"/>
  <c r="T43" i="48"/>
  <c r="AF43" i="48"/>
  <c r="AR43" i="48"/>
  <c r="BD43" i="48"/>
  <c r="H44" i="48"/>
  <c r="D42" i="44"/>
  <c r="H45" i="48"/>
  <c r="D43" i="44"/>
  <c r="H46" i="48"/>
  <c r="D44" i="44"/>
  <c r="H47" i="48"/>
  <c r="D45" i="44"/>
  <c r="H48" i="48"/>
  <c r="D46" i="44"/>
  <c r="H50" i="48"/>
  <c r="D48" i="44"/>
  <c r="H51" i="48"/>
  <c r="D49" i="44"/>
  <c r="H22" i="48"/>
  <c r="D21" i="44"/>
  <c r="G22" i="48"/>
  <c r="C21" i="44"/>
  <c r="F21" i="48"/>
  <c r="H21" i="48" s="1"/>
  <c r="E8" i="48"/>
  <c r="G8" i="48" s="1"/>
  <c r="BI8" i="48"/>
  <c r="H17" i="51"/>
  <c r="G23" i="48"/>
  <c r="C22" i="44"/>
  <c r="C20" i="44" s="1"/>
  <c r="C15" i="86" s="1"/>
  <c r="BI21" i="48"/>
  <c r="G17" i="52"/>
  <c r="D17" i="52" s="1"/>
  <c r="H23" i="48"/>
  <c r="D22" i="44"/>
  <c r="D20" i="44" s="1"/>
  <c r="G53" i="48"/>
  <c r="C51" i="44"/>
  <c r="C26" i="86" s="1"/>
  <c r="BJ11" i="48"/>
  <c r="F11" i="48"/>
  <c r="D10" i="44" s="1"/>
  <c r="BH10" i="48"/>
  <c r="Y8" i="48"/>
  <c r="D11" i="48"/>
  <c r="D10" i="48" s="1"/>
  <c r="BF10" i="48"/>
  <c r="BF9" i="48" s="1"/>
  <c r="BF8" i="48" s="1"/>
  <c r="BJ13" i="48"/>
  <c r="F13" i="48"/>
  <c r="G11" i="48"/>
  <c r="G13" i="48"/>
  <c r="H33" i="48"/>
  <c r="BG63" i="48"/>
  <c r="AU63" i="48"/>
  <c r="AI63" i="48"/>
  <c r="W63" i="48"/>
  <c r="K63" i="48"/>
  <c r="BA63" i="48"/>
  <c r="AO63" i="48"/>
  <c r="AC63" i="48"/>
  <c r="Q63" i="48"/>
  <c r="H12" i="48"/>
  <c r="F29" i="48"/>
  <c r="BJ29" i="48"/>
  <c r="H40" i="48"/>
  <c r="BG65" i="48"/>
  <c r="AU65" i="48"/>
  <c r="AI65" i="48"/>
  <c r="W65" i="48"/>
  <c r="K65" i="48"/>
  <c r="BA65" i="48"/>
  <c r="AO65" i="48"/>
  <c r="AC65" i="48"/>
  <c r="Q65" i="48"/>
  <c r="G29" i="48"/>
  <c r="D38" i="48"/>
  <c r="H38" i="48" s="1"/>
  <c r="D39" i="48"/>
  <c r="H39" i="48" s="1"/>
  <c r="G43" i="48"/>
  <c r="G48" i="48"/>
  <c r="H13" i="48" l="1"/>
  <c r="D12" i="44"/>
  <c r="D9" i="48"/>
  <c r="D8" i="48" s="1"/>
  <c r="H31" i="48"/>
  <c r="D30" i="44"/>
  <c r="D16" i="52"/>
  <c r="D15" i="52"/>
  <c r="D14" i="52"/>
  <c r="D12" i="52"/>
  <c r="D11" i="52"/>
  <c r="D10" i="52"/>
  <c r="H16" i="48"/>
  <c r="F15" i="48"/>
  <c r="H15" i="48" s="1"/>
  <c r="BD9" i="48"/>
  <c r="C24" i="44"/>
  <c r="C16" i="86" s="1"/>
  <c r="D25" i="44"/>
  <c r="AX9" i="48"/>
  <c r="AV8" i="48"/>
  <c r="AX8" i="48" s="1"/>
  <c r="F63" i="48"/>
  <c r="BJ10" i="48"/>
  <c r="BH9" i="48"/>
  <c r="F65" i="48"/>
  <c r="H29" i="48"/>
  <c r="F25" i="48"/>
  <c r="H25" i="48" s="1"/>
  <c r="F66" i="48"/>
  <c r="H11" i="48"/>
  <c r="F10" i="48"/>
  <c r="H10" i="48" l="1"/>
  <c r="F9" i="48"/>
  <c r="BJ9" i="48"/>
  <c r="BH8" i="48"/>
  <c r="BJ8" i="48" l="1"/>
  <c r="D9" i="50"/>
  <c r="D8" i="87" s="1"/>
  <c r="H9" i="48"/>
  <c r="F8" i="48"/>
  <c r="D27" i="50" s="1"/>
  <c r="D26" i="87" l="1"/>
  <c r="F67" i="48"/>
  <c r="H8" i="48"/>
  <c r="G46" i="49" l="1"/>
  <c r="G47" i="49"/>
  <c r="G48" i="49"/>
  <c r="G49" i="49"/>
  <c r="G50" i="49"/>
  <c r="G51" i="49"/>
  <c r="G52" i="49"/>
  <c r="G53" i="49"/>
  <c r="G54" i="49"/>
  <c r="G55" i="49"/>
  <c r="G56" i="49"/>
  <c r="G57" i="49"/>
  <c r="G58" i="49"/>
  <c r="G59" i="49"/>
  <c r="G61" i="49"/>
  <c r="G63" i="49"/>
  <c r="G64" i="49"/>
  <c r="G65" i="49"/>
  <c r="G66" i="49"/>
  <c r="G67" i="49"/>
  <c r="G68" i="49"/>
  <c r="G69" i="49"/>
  <c r="G70" i="49"/>
  <c r="G71" i="49"/>
  <c r="G72" i="49"/>
  <c r="G73" i="49"/>
  <c r="G74" i="49"/>
  <c r="G75" i="49"/>
  <c r="G76" i="49"/>
  <c r="G77" i="49"/>
  <c r="G78" i="49"/>
  <c r="G79" i="49"/>
  <c r="G80" i="49"/>
  <c r="G81" i="49"/>
  <c r="G82" i="49"/>
  <c r="G83" i="49"/>
  <c r="G84" i="49"/>
  <c r="G85" i="49"/>
  <c r="G86" i="49"/>
  <c r="G87" i="49"/>
  <c r="G88" i="49"/>
  <c r="G89" i="49"/>
  <c r="G90" i="49"/>
  <c r="G91" i="49"/>
  <c r="G92" i="49"/>
  <c r="G93" i="49"/>
  <c r="G94" i="49"/>
  <c r="G95" i="49"/>
  <c r="G96" i="49"/>
  <c r="G97" i="49"/>
  <c r="G98" i="49"/>
  <c r="G99" i="49"/>
  <c r="G100" i="49"/>
  <c r="G101" i="49"/>
  <c r="G102" i="49"/>
  <c r="G103" i="49"/>
  <c r="G104" i="49"/>
  <c r="G105" i="49"/>
  <c r="G106" i="49"/>
  <c r="G107" i="49"/>
  <c r="H46" i="49"/>
  <c r="H47" i="49"/>
  <c r="H49" i="49"/>
  <c r="H50" i="49"/>
  <c r="H51" i="49"/>
  <c r="H52" i="49"/>
  <c r="H53" i="49"/>
  <c r="H57" i="49"/>
  <c r="H58" i="49"/>
  <c r="H59" i="49"/>
  <c r="H61" i="49"/>
  <c r="H63" i="49"/>
  <c r="H64" i="49"/>
  <c r="H65" i="49"/>
  <c r="H66" i="49"/>
  <c r="H67" i="49"/>
  <c r="H68" i="49"/>
  <c r="H69" i="49"/>
  <c r="H70" i="49"/>
  <c r="H71" i="49"/>
  <c r="H72" i="49"/>
  <c r="H73" i="49"/>
  <c r="H74" i="49"/>
  <c r="H75" i="49"/>
  <c r="H76" i="49"/>
  <c r="H77" i="49"/>
  <c r="H78" i="49"/>
  <c r="H79" i="49"/>
  <c r="H80" i="49"/>
  <c r="H81" i="49"/>
  <c r="H82" i="49"/>
  <c r="H83" i="49"/>
  <c r="H84" i="49"/>
  <c r="H85" i="49"/>
  <c r="H86" i="49"/>
  <c r="H87" i="49"/>
  <c r="H88" i="49"/>
  <c r="H89" i="49"/>
  <c r="H90" i="49"/>
  <c r="H91" i="49"/>
  <c r="H92" i="49"/>
  <c r="H93" i="49"/>
  <c r="H94" i="49"/>
  <c r="H95" i="49"/>
  <c r="H106" i="49"/>
  <c r="H107" i="49"/>
  <c r="D62" i="49"/>
  <c r="D60" i="49" s="1"/>
  <c r="D45" i="49"/>
  <c r="E62" i="49"/>
  <c r="F62" i="49"/>
  <c r="E60" i="49"/>
  <c r="F60" i="49"/>
  <c r="C62" i="49"/>
  <c r="C60" i="49" s="1"/>
  <c r="C45" i="49"/>
  <c r="C44" i="49" s="1"/>
  <c r="G36" i="53"/>
  <c r="G33" i="53"/>
  <c r="G32" i="53"/>
  <c r="K27" i="53"/>
  <c r="K38" i="53"/>
  <c r="K64" i="53"/>
  <c r="K65" i="53"/>
  <c r="K66" i="53"/>
  <c r="K68" i="53"/>
  <c r="K76" i="53"/>
  <c r="K77" i="53"/>
  <c r="K78" i="53"/>
  <c r="K80" i="53"/>
  <c r="K83" i="53"/>
  <c r="K84" i="53"/>
  <c r="K89" i="53"/>
  <c r="K90" i="53"/>
  <c r="K103" i="53"/>
  <c r="J15" i="53"/>
  <c r="J16" i="53"/>
  <c r="J17" i="53"/>
  <c r="J25" i="53"/>
  <c r="J27" i="53"/>
  <c r="J33" i="53"/>
  <c r="J38" i="53"/>
  <c r="J46" i="53"/>
  <c r="J54" i="53"/>
  <c r="J59" i="53"/>
  <c r="J60" i="53"/>
  <c r="J61" i="53"/>
  <c r="J62" i="53"/>
  <c r="J63" i="53"/>
  <c r="J64" i="53"/>
  <c r="J65" i="53"/>
  <c r="J67" i="53"/>
  <c r="J68" i="53"/>
  <c r="J69" i="53"/>
  <c r="J70" i="53"/>
  <c r="J71" i="53"/>
  <c r="J72" i="53"/>
  <c r="J73" i="53"/>
  <c r="J74" i="53"/>
  <c r="J75" i="53"/>
  <c r="J76" i="53"/>
  <c r="J78" i="53"/>
  <c r="J79" i="53"/>
  <c r="J81" i="53"/>
  <c r="J82" i="53"/>
  <c r="J83" i="53"/>
  <c r="J84" i="53"/>
  <c r="J85" i="53"/>
  <c r="J86" i="53"/>
  <c r="J87" i="53"/>
  <c r="J88" i="53"/>
  <c r="J89" i="53"/>
  <c r="J90" i="53"/>
  <c r="J91" i="53"/>
  <c r="J102" i="53"/>
  <c r="J103" i="53"/>
  <c r="I38" i="53"/>
  <c r="H53" i="53"/>
  <c r="D87" i="89" s="1"/>
  <c r="F44" i="53"/>
  <c r="D67" i="89" s="1"/>
  <c r="D65" i="89" s="1"/>
  <c r="F46" i="53"/>
  <c r="D77" i="89" s="1"/>
  <c r="F50" i="53"/>
  <c r="F52" i="53"/>
  <c r="F54" i="53"/>
  <c r="D93" i="89" s="1"/>
  <c r="C60" i="53"/>
  <c r="C61" i="53"/>
  <c r="C62" i="53"/>
  <c r="C63" i="53"/>
  <c r="C64" i="53"/>
  <c r="C65" i="53"/>
  <c r="C66" i="53"/>
  <c r="C67" i="53"/>
  <c r="C68" i="53"/>
  <c r="C69" i="53"/>
  <c r="C70" i="53"/>
  <c r="C71" i="53"/>
  <c r="C72" i="53"/>
  <c r="C73" i="53"/>
  <c r="C74" i="53"/>
  <c r="C75" i="53"/>
  <c r="C76" i="53"/>
  <c r="C77" i="53"/>
  <c r="C78" i="53"/>
  <c r="C79" i="53"/>
  <c r="C80" i="53"/>
  <c r="C81" i="53"/>
  <c r="C82" i="53"/>
  <c r="C83" i="53"/>
  <c r="C84" i="53"/>
  <c r="C85" i="53"/>
  <c r="C86" i="53"/>
  <c r="C87" i="53"/>
  <c r="C88" i="53"/>
  <c r="C89" i="53"/>
  <c r="C90" i="53"/>
  <c r="C91" i="53"/>
  <c r="I91" i="53" s="1"/>
  <c r="C92" i="53"/>
  <c r="C93" i="53"/>
  <c r="C94" i="53"/>
  <c r="C95" i="53"/>
  <c r="C96" i="53"/>
  <c r="C97" i="53"/>
  <c r="C98" i="53"/>
  <c r="C99" i="53"/>
  <c r="C100" i="53"/>
  <c r="C101" i="53"/>
  <c r="C102" i="53"/>
  <c r="C103" i="53"/>
  <c r="C59" i="53"/>
  <c r="D58" i="53"/>
  <c r="E58" i="53"/>
  <c r="E56" i="53" s="1"/>
  <c r="G58" i="53"/>
  <c r="J58" i="53" s="1"/>
  <c r="H58" i="53"/>
  <c r="H56" i="53" s="1"/>
  <c r="K56" i="53" s="1"/>
  <c r="F59" i="53"/>
  <c r="I59" i="53" s="1"/>
  <c r="F60" i="53"/>
  <c r="I60" i="53" s="1"/>
  <c r="F61" i="53"/>
  <c r="I61" i="53" s="1"/>
  <c r="F62" i="53"/>
  <c r="I62" i="53" s="1"/>
  <c r="F63" i="53"/>
  <c r="I63" i="53" s="1"/>
  <c r="F64" i="53"/>
  <c r="I64" i="53" s="1"/>
  <c r="F65" i="53"/>
  <c r="I65" i="53" s="1"/>
  <c r="F66" i="53"/>
  <c r="I66" i="53" s="1"/>
  <c r="F67" i="53"/>
  <c r="I67" i="53" s="1"/>
  <c r="F68" i="53"/>
  <c r="I68" i="53" s="1"/>
  <c r="F69" i="53"/>
  <c r="I69" i="53" s="1"/>
  <c r="F70" i="53"/>
  <c r="I70" i="53" s="1"/>
  <c r="F71" i="53"/>
  <c r="I71" i="53" s="1"/>
  <c r="F72" i="53"/>
  <c r="I72" i="53" s="1"/>
  <c r="F73" i="53"/>
  <c r="I73" i="53" s="1"/>
  <c r="F74" i="53"/>
  <c r="I74" i="53" s="1"/>
  <c r="F75" i="53"/>
  <c r="I75" i="53" s="1"/>
  <c r="F76" i="53"/>
  <c r="I76" i="53" s="1"/>
  <c r="F77" i="53"/>
  <c r="I77" i="53" s="1"/>
  <c r="F78" i="53"/>
  <c r="I78" i="53" s="1"/>
  <c r="F79" i="53"/>
  <c r="I79" i="53" s="1"/>
  <c r="F80" i="53"/>
  <c r="I80" i="53" s="1"/>
  <c r="F81" i="53"/>
  <c r="I81" i="53" s="1"/>
  <c r="F82" i="53"/>
  <c r="I82" i="53" s="1"/>
  <c r="F83" i="53"/>
  <c r="I83" i="53" s="1"/>
  <c r="F84" i="53"/>
  <c r="I84" i="53" s="1"/>
  <c r="F85" i="53"/>
  <c r="I85" i="53" s="1"/>
  <c r="F86" i="53"/>
  <c r="I86" i="53" s="1"/>
  <c r="F87" i="53"/>
  <c r="I87" i="53" s="1"/>
  <c r="F88" i="53"/>
  <c r="I88" i="53" s="1"/>
  <c r="F89" i="53"/>
  <c r="I89" i="53" s="1"/>
  <c r="F90" i="53"/>
  <c r="I90" i="53" s="1"/>
  <c r="F92" i="53"/>
  <c r="F93" i="53"/>
  <c r="F94" i="53"/>
  <c r="F95" i="53"/>
  <c r="F96" i="53"/>
  <c r="F97" i="53"/>
  <c r="F98" i="53"/>
  <c r="F99" i="53"/>
  <c r="F100" i="53"/>
  <c r="F101" i="53"/>
  <c r="F102" i="53"/>
  <c r="I102" i="53" s="1"/>
  <c r="F103" i="53"/>
  <c r="I103" i="53" s="1"/>
  <c r="F25" i="53"/>
  <c r="F17" i="53"/>
  <c r="I17" i="53" s="1"/>
  <c r="F18" i="53"/>
  <c r="D22" i="89" s="1"/>
  <c r="F53" i="53" l="1"/>
  <c r="G45" i="49"/>
  <c r="C58" i="53"/>
  <c r="C56" i="53" s="1"/>
  <c r="H41" i="53"/>
  <c r="H40" i="53" s="1"/>
  <c r="F58" i="53"/>
  <c r="I58" i="53" s="1"/>
  <c r="H39" i="53"/>
  <c r="I18" i="53"/>
  <c r="K58" i="53"/>
  <c r="C43" i="49"/>
  <c r="G60" i="49"/>
  <c r="D44" i="49"/>
  <c r="H62" i="49"/>
  <c r="H60" i="49"/>
  <c r="G62" i="49"/>
  <c r="D43" i="49" l="1"/>
  <c r="G44" i="49"/>
  <c r="I73" i="65"/>
  <c r="G55" i="53"/>
  <c r="E73" i="65"/>
  <c r="D8" i="47"/>
  <c r="D13" i="47"/>
  <c r="E13" i="47" s="1"/>
  <c r="D34" i="47"/>
  <c r="D22" i="47"/>
  <c r="D35" i="85"/>
  <c r="J55" i="53" l="1"/>
  <c r="F55" i="53"/>
  <c r="D20" i="85"/>
  <c r="S49" i="65"/>
  <c r="Y49" i="65"/>
  <c r="Q49" i="65"/>
  <c r="O49" i="65"/>
  <c r="U49" i="65"/>
  <c r="O43" i="65"/>
  <c r="D92" i="89" l="1"/>
  <c r="V32" i="66"/>
  <c r="P32" i="66"/>
  <c r="H38" i="66" l="1"/>
  <c r="C36" i="66"/>
  <c r="C37" i="66"/>
  <c r="C12" i="66"/>
  <c r="C13" i="66"/>
  <c r="C11" i="66"/>
  <c r="X11" i="66" s="1"/>
  <c r="V26" i="66"/>
  <c r="V27" i="66"/>
  <c r="V25" i="66"/>
  <c r="V31" i="66"/>
  <c r="V30" i="66"/>
  <c r="V38" i="66"/>
  <c r="T17" i="66"/>
  <c r="T18" i="66"/>
  <c r="T16" i="66"/>
  <c r="T12" i="66"/>
  <c r="T26" i="66"/>
  <c r="T27" i="66"/>
  <c r="T25" i="66"/>
  <c r="T33" i="66"/>
  <c r="T31" i="66"/>
  <c r="T30" i="66"/>
  <c r="T38" i="66"/>
  <c r="R17" i="66"/>
  <c r="R16" i="66"/>
  <c r="R32" i="66"/>
  <c r="R26" i="66"/>
  <c r="R27" i="66"/>
  <c r="R25" i="66"/>
  <c r="R31" i="66"/>
  <c r="R33" i="66"/>
  <c r="R30" i="66"/>
  <c r="R38" i="66"/>
  <c r="P31" i="66"/>
  <c r="P33" i="66"/>
  <c r="P30" i="66"/>
  <c r="P38" i="66"/>
  <c r="P26" i="66"/>
  <c r="P27" i="66"/>
  <c r="P25" i="66"/>
  <c r="P18" i="66"/>
  <c r="P16" i="66"/>
  <c r="N26" i="66"/>
  <c r="N27" i="66"/>
  <c r="N25" i="66"/>
  <c r="N33" i="66"/>
  <c r="N31" i="66"/>
  <c r="N30" i="66"/>
  <c r="N38" i="66"/>
  <c r="N17" i="66"/>
  <c r="N18" i="66"/>
  <c r="N16" i="66"/>
  <c r="N12" i="66"/>
  <c r="L38" i="66"/>
  <c r="L33" i="66"/>
  <c r="L31" i="66"/>
  <c r="L30" i="66"/>
  <c r="L26" i="66"/>
  <c r="L27" i="66"/>
  <c r="L25" i="66"/>
  <c r="L17" i="66"/>
  <c r="J38" i="66"/>
  <c r="J31" i="66"/>
  <c r="J33" i="66"/>
  <c r="J30" i="66"/>
  <c r="J26" i="66"/>
  <c r="J27" i="66"/>
  <c r="J25" i="66"/>
  <c r="J24" i="66" s="1"/>
  <c r="J17" i="66"/>
  <c r="H33" i="66"/>
  <c r="H31" i="66"/>
  <c r="H30" i="66"/>
  <c r="H32" i="66"/>
  <c r="H26" i="66"/>
  <c r="H27" i="66"/>
  <c r="H25" i="66"/>
  <c r="H24" i="66" s="1"/>
  <c r="H18" i="66"/>
  <c r="H17" i="66"/>
  <c r="H16" i="66"/>
  <c r="D12" i="66" l="1"/>
  <c r="X13" i="66"/>
  <c r="D13" i="66" s="1"/>
  <c r="G47" i="53"/>
  <c r="O34" i="56"/>
  <c r="E16" i="65"/>
  <c r="E17" i="65"/>
  <c r="E19" i="65"/>
  <c r="D16" i="49" s="1"/>
  <c r="E20" i="65"/>
  <c r="G20" i="65" s="1"/>
  <c r="E21" i="65"/>
  <c r="E71" i="65"/>
  <c r="Q43" i="65"/>
  <c r="Q44" i="65"/>
  <c r="U43" i="65"/>
  <c r="U44" i="65"/>
  <c r="C37" i="65"/>
  <c r="C60" i="65"/>
  <c r="C61" i="65"/>
  <c r="C62" i="65"/>
  <c r="C63" i="65"/>
  <c r="C64" i="65"/>
  <c r="C65" i="65"/>
  <c r="C66" i="65"/>
  <c r="C67" i="65"/>
  <c r="C68" i="65"/>
  <c r="C69" i="65"/>
  <c r="C70" i="65"/>
  <c r="C71" i="65"/>
  <c r="C72" i="65"/>
  <c r="C73" i="65"/>
  <c r="G73" i="65" s="1"/>
  <c r="G71" i="65" l="1"/>
  <c r="G21" i="65"/>
  <c r="D18" i="49"/>
  <c r="J47" i="53"/>
  <c r="F47" i="53"/>
  <c r="G75" i="57"/>
  <c r="E110" i="55" s="1"/>
  <c r="C110" i="55" s="1"/>
  <c r="S47" i="65"/>
  <c r="K47" i="65" s="1"/>
  <c r="K41" i="65"/>
  <c r="K38" i="65"/>
  <c r="K143" i="65"/>
  <c r="H37" i="53" s="1"/>
  <c r="K39" i="65"/>
  <c r="K40" i="65"/>
  <c r="K42" i="65"/>
  <c r="K44" i="65"/>
  <c r="K45" i="65"/>
  <c r="K46" i="65"/>
  <c r="J19" i="65"/>
  <c r="J20" i="65"/>
  <c r="J21" i="65"/>
  <c r="J22" i="65"/>
  <c r="K22" i="65"/>
  <c r="E22" i="65" s="1"/>
  <c r="Y124" i="65"/>
  <c r="D81" i="89" l="1"/>
  <c r="Z10" i="65"/>
  <c r="AA15" i="65"/>
  <c r="M128" i="65"/>
  <c r="M48" i="65"/>
  <c r="K15" i="65" l="1"/>
  <c r="AA10" i="65"/>
  <c r="Q15" i="58" s="1"/>
  <c r="Y129" i="65"/>
  <c r="Y131" i="65"/>
  <c r="Y126" i="65"/>
  <c r="W124" i="65"/>
  <c r="W43" i="65"/>
  <c r="K43" i="65" s="1"/>
  <c r="U131" i="65"/>
  <c r="U126" i="65"/>
  <c r="U128" i="65"/>
  <c r="B127" i="65"/>
  <c r="I68" i="65"/>
  <c r="E68" i="65" s="1"/>
  <c r="I70" i="65"/>
  <c r="E70" i="65" s="1"/>
  <c r="B70" i="65"/>
  <c r="B69" i="65"/>
  <c r="I62" i="65"/>
  <c r="E62" i="65" s="1"/>
  <c r="I64" i="65"/>
  <c r="E64" i="65" s="1"/>
  <c r="G64" i="65" s="1"/>
  <c r="I65" i="65"/>
  <c r="E65" i="65" s="1"/>
  <c r="G65" i="65" s="1"/>
  <c r="G10" i="53"/>
  <c r="G9" i="53" l="1"/>
  <c r="I15" i="65" s="1"/>
  <c r="E15" i="65" s="1"/>
  <c r="F19" i="53"/>
  <c r="G42" i="53"/>
  <c r="G45" i="53"/>
  <c r="G48" i="53"/>
  <c r="G43" i="53"/>
  <c r="G13" i="53"/>
  <c r="J13" i="53" s="1"/>
  <c r="G12" i="53"/>
  <c r="J12" i="53" s="1"/>
  <c r="E59" i="56"/>
  <c r="C71" i="56"/>
  <c r="C70" i="56"/>
  <c r="C73" i="56" s="1"/>
  <c r="D23" i="56"/>
  <c r="D25" i="56"/>
  <c r="D27" i="56"/>
  <c r="D28" i="56"/>
  <c r="D29" i="56"/>
  <c r="D30" i="56"/>
  <c r="D31" i="56"/>
  <c r="D32" i="56"/>
  <c r="D11" i="56"/>
  <c r="F61" i="56"/>
  <c r="O53" i="56"/>
  <c r="N39" i="56"/>
  <c r="O38" i="56"/>
  <c r="P32" i="56"/>
  <c r="O32" i="56"/>
  <c r="M32" i="56"/>
  <c r="O25" i="56"/>
  <c r="P23" i="56"/>
  <c r="O23" i="56"/>
  <c r="N23" i="56"/>
  <c r="N16" i="56"/>
  <c r="N14" i="56"/>
  <c r="O11" i="56"/>
  <c r="M11" i="56"/>
  <c r="I72" i="65"/>
  <c r="E72" i="65" s="1"/>
  <c r="G72" i="65" s="1"/>
  <c r="G49" i="53"/>
  <c r="G51" i="53"/>
  <c r="H26" i="56"/>
  <c r="R33" i="56"/>
  <c r="R29" i="56"/>
  <c r="R30" i="56" s="1"/>
  <c r="R7" i="56"/>
  <c r="G32" i="56"/>
  <c r="G26" i="56"/>
  <c r="H30" i="56"/>
  <c r="H25" i="56"/>
  <c r="F31" i="56"/>
  <c r="P25" i="56"/>
  <c r="O29" i="56"/>
  <c r="N51" i="56"/>
  <c r="I69" i="65" l="1"/>
  <c r="E69" i="65" s="1"/>
  <c r="F51" i="53"/>
  <c r="D86" i="89" s="1"/>
  <c r="I67" i="65"/>
  <c r="E67" i="65" s="1"/>
  <c r="G67" i="65" s="1"/>
  <c r="J49" i="53"/>
  <c r="F49" i="53"/>
  <c r="I66" i="65"/>
  <c r="E66" i="65" s="1"/>
  <c r="G66" i="65" s="1"/>
  <c r="J48" i="53"/>
  <c r="F48" i="53"/>
  <c r="I60" i="65"/>
  <c r="J42" i="53"/>
  <c r="F42" i="53"/>
  <c r="I61" i="65"/>
  <c r="E61" i="65" s="1"/>
  <c r="G61" i="65" s="1"/>
  <c r="F43" i="53"/>
  <c r="J43" i="53"/>
  <c r="I63" i="65"/>
  <c r="E63" i="65" s="1"/>
  <c r="G63" i="65" s="1"/>
  <c r="J45" i="53"/>
  <c r="F45" i="53"/>
  <c r="D21" i="89"/>
  <c r="D15" i="89" s="1"/>
  <c r="G41" i="53"/>
  <c r="L54" i="56"/>
  <c r="C54" i="56" s="1"/>
  <c r="D68" i="55" s="1"/>
  <c r="C68" i="55" s="1"/>
  <c r="D91" i="89" l="1"/>
  <c r="F41" i="53"/>
  <c r="G40" i="53"/>
  <c r="D17" i="89"/>
  <c r="D75" i="89"/>
  <c r="D73" i="89" s="1"/>
  <c r="D59" i="89"/>
  <c r="D57" i="89" s="1"/>
  <c r="D53" i="89"/>
  <c r="I59" i="65"/>
  <c r="E60" i="65"/>
  <c r="G60" i="65" s="1"/>
  <c r="D61" i="89"/>
  <c r="D63" i="89" s="1"/>
  <c r="L7" i="54"/>
  <c r="E15" i="56"/>
  <c r="D22" i="56"/>
  <c r="N50" i="56"/>
  <c r="N47" i="56"/>
  <c r="N42" i="56"/>
  <c r="N49" i="56"/>
  <c r="N31" i="56"/>
  <c r="N26" i="56"/>
  <c r="D55" i="89" l="1"/>
  <c r="F40" i="53"/>
  <c r="E78" i="65"/>
  <c r="E79" i="65"/>
  <c r="E80" i="65"/>
  <c r="E81" i="65"/>
  <c r="E83" i="65"/>
  <c r="E84" i="65"/>
  <c r="G84" i="65" s="1"/>
  <c r="E85" i="65"/>
  <c r="E86" i="65"/>
  <c r="G86" i="65" s="1"/>
  <c r="E88" i="65"/>
  <c r="E94" i="65"/>
  <c r="G94" i="65" s="1"/>
  <c r="E96" i="65"/>
  <c r="E98" i="65"/>
  <c r="G98" i="65" s="1"/>
  <c r="E100" i="65"/>
  <c r="E101" i="65"/>
  <c r="E107" i="65"/>
  <c r="E110" i="65"/>
  <c r="E111" i="65"/>
  <c r="E112" i="65"/>
  <c r="E113" i="65"/>
  <c r="E114" i="65"/>
  <c r="E115" i="65"/>
  <c r="E116" i="65"/>
  <c r="E118" i="65"/>
  <c r="E119" i="65"/>
  <c r="E120" i="65"/>
  <c r="E77" i="65"/>
  <c r="D76" i="65"/>
  <c r="F76" i="65"/>
  <c r="D74" i="65"/>
  <c r="D57" i="65" s="1"/>
  <c r="F74" i="65"/>
  <c r="C75" i="65"/>
  <c r="C77" i="65"/>
  <c r="C78" i="65"/>
  <c r="C79" i="65"/>
  <c r="C80" i="65"/>
  <c r="C81" i="65"/>
  <c r="C82" i="65"/>
  <c r="C83" i="65"/>
  <c r="C84" i="65"/>
  <c r="C85" i="65"/>
  <c r="C86" i="65"/>
  <c r="C87" i="65"/>
  <c r="C88" i="65"/>
  <c r="C89" i="65"/>
  <c r="C90" i="65"/>
  <c r="C91" i="65"/>
  <c r="C92" i="65"/>
  <c r="C93" i="65"/>
  <c r="C94" i="65"/>
  <c r="C95" i="65"/>
  <c r="C96" i="65"/>
  <c r="C97" i="65"/>
  <c r="C98" i="65"/>
  <c r="C99" i="65"/>
  <c r="C100" i="65"/>
  <c r="C101" i="65"/>
  <c r="C103" i="65"/>
  <c r="C104" i="65"/>
  <c r="C105" i="65"/>
  <c r="C106" i="65"/>
  <c r="C107" i="65"/>
  <c r="C108" i="65"/>
  <c r="C109" i="65"/>
  <c r="C110" i="65"/>
  <c r="C111" i="65"/>
  <c r="C112" i="65"/>
  <c r="C113" i="65"/>
  <c r="C114" i="65"/>
  <c r="C115" i="65"/>
  <c r="C116" i="65"/>
  <c r="C117" i="65"/>
  <c r="C118" i="65"/>
  <c r="C119" i="65"/>
  <c r="C120" i="65"/>
  <c r="K59" i="65"/>
  <c r="K58" i="65" s="1"/>
  <c r="J59" i="65"/>
  <c r="J58" i="65" s="1"/>
  <c r="K117" i="65"/>
  <c r="E117" i="65" s="1"/>
  <c r="K95" i="65"/>
  <c r="J102" i="65"/>
  <c r="K102" i="65"/>
  <c r="I121" i="65"/>
  <c r="E121" i="65" s="1"/>
  <c r="G121" i="65" s="1"/>
  <c r="H121" i="65"/>
  <c r="C121" i="65" s="1"/>
  <c r="I122" i="65"/>
  <c r="I75" i="65"/>
  <c r="I89" i="65"/>
  <c r="E89" i="65" s="1"/>
  <c r="G89" i="65" s="1"/>
  <c r="I97" i="65"/>
  <c r="E97" i="65" s="1"/>
  <c r="Q77" i="57"/>
  <c r="I99" i="65"/>
  <c r="E99" i="65" s="1"/>
  <c r="I108" i="65"/>
  <c r="E108" i="65" s="1"/>
  <c r="G108" i="65" s="1"/>
  <c r="J76" i="65" l="1"/>
  <c r="J74" i="65" s="1"/>
  <c r="G77" i="65"/>
  <c r="G101" i="65"/>
  <c r="G81" i="65"/>
  <c r="G79" i="65"/>
  <c r="G99" i="65"/>
  <c r="G97" i="65"/>
  <c r="E75" i="65"/>
  <c r="G75" i="65" s="1"/>
  <c r="G57" i="53"/>
  <c r="E95" i="65"/>
  <c r="G95" i="65" s="1"/>
  <c r="K49" i="65"/>
  <c r="G120" i="65"/>
  <c r="G107" i="65"/>
  <c r="G100" i="65"/>
  <c r="G96" i="65"/>
  <c r="G88" i="65"/>
  <c r="G85" i="65"/>
  <c r="G83" i="65"/>
  <c r="G80" i="65"/>
  <c r="G78" i="65"/>
  <c r="E59" i="65"/>
  <c r="K76" i="65"/>
  <c r="K74" i="65" s="1"/>
  <c r="F57" i="53" l="1"/>
  <c r="G56" i="53"/>
  <c r="G39" i="53" s="1"/>
  <c r="E109" i="65"/>
  <c r="G109" i="65" s="1"/>
  <c r="I106" i="65"/>
  <c r="E106" i="65" s="1"/>
  <c r="G106" i="65" s="1"/>
  <c r="I105" i="65"/>
  <c r="E105" i="65" s="1"/>
  <c r="G105" i="65" s="1"/>
  <c r="I104" i="65"/>
  <c r="E104" i="65" s="1"/>
  <c r="G104" i="65" s="1"/>
  <c r="I103" i="65"/>
  <c r="H102" i="65"/>
  <c r="C102" i="65" s="1"/>
  <c r="C76" i="65" s="1"/>
  <c r="C74" i="65" s="1"/>
  <c r="I90" i="65"/>
  <c r="E90" i="65" s="1"/>
  <c r="G90" i="65" s="1"/>
  <c r="I91" i="65"/>
  <c r="E91" i="65" s="1"/>
  <c r="G91" i="65" s="1"/>
  <c r="I92" i="65"/>
  <c r="E92" i="65" s="1"/>
  <c r="G92" i="65" s="1"/>
  <c r="I93" i="65"/>
  <c r="E93" i="65" s="1"/>
  <c r="G93" i="65" s="1"/>
  <c r="I87" i="65"/>
  <c r="E87" i="65" s="1"/>
  <c r="G87" i="65" s="1"/>
  <c r="I82" i="65"/>
  <c r="E82" i="65" s="1"/>
  <c r="G82" i="65" s="1"/>
  <c r="I57" i="53" l="1"/>
  <c r="F56" i="53"/>
  <c r="I102" i="65"/>
  <c r="E103" i="65"/>
  <c r="G103" i="65" s="1"/>
  <c r="I56" i="53" l="1"/>
  <c r="F39" i="53"/>
  <c r="E102" i="65"/>
  <c r="I76" i="65"/>
  <c r="G102" i="65" l="1"/>
  <c r="E76" i="65"/>
  <c r="K63" i="57"/>
  <c r="G63" i="57" s="1"/>
  <c r="G62" i="57"/>
  <c r="E97" i="55" s="1"/>
  <c r="V61" i="57"/>
  <c r="U61" i="57"/>
  <c r="T61" i="57"/>
  <c r="S61" i="57"/>
  <c r="R61" i="57"/>
  <c r="Q61" i="57"/>
  <c r="P61" i="57"/>
  <c r="P7" i="57" s="1"/>
  <c r="I46" i="65" s="1"/>
  <c r="E46" i="65" s="1"/>
  <c r="O61" i="57"/>
  <c r="N61" i="57"/>
  <c r="N7" i="57" s="1"/>
  <c r="I44" i="65" s="1"/>
  <c r="E44" i="65" s="1"/>
  <c r="M61" i="57"/>
  <c r="L61" i="57"/>
  <c r="J61" i="57"/>
  <c r="I61" i="57"/>
  <c r="H61" i="57"/>
  <c r="G60" i="57"/>
  <c r="E95" i="55" s="1"/>
  <c r="C95" i="55" s="1"/>
  <c r="G59" i="57"/>
  <c r="E94" i="55" s="1"/>
  <c r="C94" i="55" s="1"/>
  <c r="G58" i="57"/>
  <c r="E93" i="55" s="1"/>
  <c r="G57" i="57"/>
  <c r="E92" i="55" s="1"/>
  <c r="G56" i="57"/>
  <c r="E91" i="55" s="1"/>
  <c r="G55" i="57"/>
  <c r="E90" i="55" s="1"/>
  <c r="G54" i="57"/>
  <c r="E89" i="55" s="1"/>
  <c r="G53" i="57"/>
  <c r="E88" i="55" s="1"/>
  <c r="G52" i="57"/>
  <c r="E87" i="55" s="1"/>
  <c r="G51" i="57"/>
  <c r="E86" i="55" s="1"/>
  <c r="G50" i="57"/>
  <c r="E85" i="55" s="1"/>
  <c r="G49" i="57"/>
  <c r="G48" i="57"/>
  <c r="E83" i="55" s="1"/>
  <c r="G47" i="57"/>
  <c r="E82" i="55" s="1"/>
  <c r="V46" i="57"/>
  <c r="U46" i="57"/>
  <c r="T46" i="57"/>
  <c r="S46" i="57"/>
  <c r="R46" i="57"/>
  <c r="Q46" i="57"/>
  <c r="P46" i="57"/>
  <c r="O46" i="57"/>
  <c r="N46" i="57"/>
  <c r="M46" i="57"/>
  <c r="L46" i="57"/>
  <c r="K46" i="57"/>
  <c r="J46" i="57"/>
  <c r="I46" i="57"/>
  <c r="H46" i="57"/>
  <c r="G46" i="57"/>
  <c r="G45" i="57"/>
  <c r="E80" i="55" s="1"/>
  <c r="G44" i="57"/>
  <c r="E79" i="55" s="1"/>
  <c r="T43" i="57"/>
  <c r="G43" i="57"/>
  <c r="E78" i="55" s="1"/>
  <c r="G42" i="57"/>
  <c r="E77" i="55" s="1"/>
  <c r="T41" i="57"/>
  <c r="G41" i="57" s="1"/>
  <c r="V40" i="57"/>
  <c r="U40" i="57"/>
  <c r="U7" i="57" s="1"/>
  <c r="I49" i="65" s="1"/>
  <c r="E49" i="65" s="1"/>
  <c r="S40" i="57"/>
  <c r="R40" i="57"/>
  <c r="Q40" i="57"/>
  <c r="P40" i="57"/>
  <c r="O40" i="57"/>
  <c r="N40" i="57"/>
  <c r="M40" i="57"/>
  <c r="L40" i="57"/>
  <c r="K40" i="57"/>
  <c r="J40" i="57"/>
  <c r="I40" i="57"/>
  <c r="H40" i="57"/>
  <c r="T39" i="57"/>
  <c r="G39" i="57" s="1"/>
  <c r="G38" i="57"/>
  <c r="E73" i="55" s="1"/>
  <c r="V37" i="57"/>
  <c r="U37" i="57"/>
  <c r="S37" i="57"/>
  <c r="S7" i="57" s="1"/>
  <c r="R37" i="57"/>
  <c r="Q37" i="57"/>
  <c r="P37" i="57"/>
  <c r="O37" i="57"/>
  <c r="N37" i="57"/>
  <c r="M37" i="57"/>
  <c r="L37" i="57"/>
  <c r="K37" i="57"/>
  <c r="J37" i="57"/>
  <c r="I37" i="57"/>
  <c r="I7" i="57" s="1"/>
  <c r="I39" i="65" s="1"/>
  <c r="E39" i="65" s="1"/>
  <c r="D24" i="49" s="1"/>
  <c r="H37" i="57"/>
  <c r="Q36" i="57"/>
  <c r="G36" i="57" s="1"/>
  <c r="E37" i="55" s="1"/>
  <c r="G35" i="57"/>
  <c r="E36" i="55" s="1"/>
  <c r="G34" i="57"/>
  <c r="E35" i="55" s="1"/>
  <c r="G33" i="57"/>
  <c r="E34" i="55" s="1"/>
  <c r="G32" i="57"/>
  <c r="E33" i="55" s="1"/>
  <c r="G31" i="57"/>
  <c r="E32" i="55" s="1"/>
  <c r="G30" i="57"/>
  <c r="E31" i="55" s="1"/>
  <c r="G29" i="57"/>
  <c r="E30" i="55" s="1"/>
  <c r="G28" i="57"/>
  <c r="E29" i="55" s="1"/>
  <c r="G27" i="57"/>
  <c r="E28" i="55" s="1"/>
  <c r="G26" i="57"/>
  <c r="E27" i="55" s="1"/>
  <c r="G25" i="57"/>
  <c r="E26" i="55" s="1"/>
  <c r="G24" i="57"/>
  <c r="E25" i="55" s="1"/>
  <c r="G23" i="57"/>
  <c r="E24" i="55" s="1"/>
  <c r="Q22" i="57"/>
  <c r="G22" i="57" s="1"/>
  <c r="E23" i="55" s="1"/>
  <c r="E22" i="55"/>
  <c r="I20" i="57"/>
  <c r="G20" i="57"/>
  <c r="E21" i="55" s="1"/>
  <c r="G19" i="57"/>
  <c r="E20" i="55" s="1"/>
  <c r="M18" i="57"/>
  <c r="G18" i="57" s="1"/>
  <c r="E19" i="55" s="1"/>
  <c r="G17" i="57"/>
  <c r="E18" i="55" s="1"/>
  <c r="G16" i="57"/>
  <c r="E17" i="55" s="1"/>
  <c r="G15" i="57"/>
  <c r="E16" i="55" s="1"/>
  <c r="G14" i="57"/>
  <c r="E15" i="55" s="1"/>
  <c r="Q13" i="57"/>
  <c r="G13" i="57" s="1"/>
  <c r="E14" i="55" s="1"/>
  <c r="G12" i="57"/>
  <c r="E13" i="55" s="1"/>
  <c r="G11" i="57"/>
  <c r="E12" i="55" s="1"/>
  <c r="G10" i="57"/>
  <c r="G9" i="57"/>
  <c r="E10" i="55" s="1"/>
  <c r="C10" i="55" s="1"/>
  <c r="V8" i="57"/>
  <c r="U8" i="57"/>
  <c r="T8" i="57"/>
  <c r="S8" i="57"/>
  <c r="R8" i="57"/>
  <c r="R7" i="57" s="1"/>
  <c r="P8" i="57"/>
  <c r="O8" i="57"/>
  <c r="O7" i="57" s="1"/>
  <c r="I45" i="65" s="1"/>
  <c r="E45" i="65" s="1"/>
  <c r="N8" i="57"/>
  <c r="L8" i="57"/>
  <c r="K8" i="57"/>
  <c r="J8" i="57"/>
  <c r="J7" i="57" s="1"/>
  <c r="I40" i="65" s="1"/>
  <c r="E40" i="65" s="1"/>
  <c r="I8" i="57"/>
  <c r="H8" i="57"/>
  <c r="H7" i="57" s="1"/>
  <c r="I38" i="65" s="1"/>
  <c r="E38" i="65" s="1"/>
  <c r="D23" i="49" s="1"/>
  <c r="H64" i="57"/>
  <c r="I64" i="57"/>
  <c r="J64" i="57"/>
  <c r="K64" i="57"/>
  <c r="M64" i="57"/>
  <c r="N64" i="57"/>
  <c r="O64" i="57"/>
  <c r="P64" i="57"/>
  <c r="R64" i="57"/>
  <c r="S64" i="57"/>
  <c r="T64" i="57"/>
  <c r="U64" i="57"/>
  <c r="G65" i="57"/>
  <c r="G8" i="57" l="1"/>
  <c r="E11" i="55"/>
  <c r="G37" i="57"/>
  <c r="E74" i="55"/>
  <c r="G40" i="57"/>
  <c r="E76" i="55"/>
  <c r="G61" i="57"/>
  <c r="E98" i="55"/>
  <c r="C98" i="55" s="1"/>
  <c r="E100" i="55"/>
  <c r="T40" i="57"/>
  <c r="K61" i="57"/>
  <c r="K7" i="57" s="1"/>
  <c r="I41" i="65" s="1"/>
  <c r="E41" i="65" s="1"/>
  <c r="E74" i="65"/>
  <c r="G74" i="65" s="1"/>
  <c r="G76" i="65"/>
  <c r="M8" i="57"/>
  <c r="M7" i="57" s="1"/>
  <c r="I43" i="65" s="1"/>
  <c r="E43" i="65" s="1"/>
  <c r="Q8" i="57"/>
  <c r="T37" i="57"/>
  <c r="T7" i="57" s="1"/>
  <c r="I48" i="65" s="1"/>
  <c r="C100" i="55" l="1"/>
  <c r="I74" i="65"/>
  <c r="I145" i="65" s="1"/>
  <c r="H76" i="65"/>
  <c r="H74" i="65" s="1"/>
  <c r="I58" i="65"/>
  <c r="E58" i="65" s="1"/>
  <c r="H59" i="65"/>
  <c r="I28" i="65"/>
  <c r="I32" i="65"/>
  <c r="I33" i="65"/>
  <c r="I34" i="65"/>
  <c r="I35" i="65"/>
  <c r="I36" i="65"/>
  <c r="I26" i="65"/>
  <c r="I24" i="65"/>
  <c r="I14" i="65"/>
  <c r="H15" i="65"/>
  <c r="H19" i="65"/>
  <c r="H18" i="65"/>
  <c r="H58" i="65" l="1"/>
  <c r="C59" i="65"/>
  <c r="E57" i="65"/>
  <c r="H14" i="65"/>
  <c r="C25" i="54"/>
  <c r="C24" i="54"/>
  <c r="C23" i="54"/>
  <c r="C22" i="54"/>
  <c r="C21" i="54"/>
  <c r="C20" i="54"/>
  <c r="C18" i="54"/>
  <c r="C17" i="54"/>
  <c r="C16" i="54"/>
  <c r="C14" i="54"/>
  <c r="C13" i="54"/>
  <c r="C12" i="54"/>
  <c r="C11" i="54" s="1"/>
  <c r="C10" i="54" s="1"/>
  <c r="C43" i="53"/>
  <c r="I43" i="53" s="1"/>
  <c r="C58" i="65" l="1"/>
  <c r="G59" i="65"/>
  <c r="D28" i="47"/>
  <c r="D26" i="85"/>
  <c r="L61" i="56"/>
  <c r="C61" i="56"/>
  <c r="Q60" i="56"/>
  <c r="P60" i="56"/>
  <c r="O60" i="56"/>
  <c r="N60" i="56"/>
  <c r="M60" i="56"/>
  <c r="L60" i="56"/>
  <c r="K60" i="56"/>
  <c r="J60" i="56"/>
  <c r="I60" i="56"/>
  <c r="H60" i="56"/>
  <c r="G60" i="56"/>
  <c r="F60" i="56"/>
  <c r="E60" i="56"/>
  <c r="D60" i="56"/>
  <c r="L59" i="56"/>
  <c r="C59" i="56" s="1"/>
  <c r="Q58" i="56"/>
  <c r="P58" i="56"/>
  <c r="O58" i="56"/>
  <c r="N58" i="56"/>
  <c r="M58" i="56"/>
  <c r="L58" i="56"/>
  <c r="K58" i="56"/>
  <c r="K7" i="56" s="1"/>
  <c r="D20" i="54" s="1"/>
  <c r="J58" i="56"/>
  <c r="I58" i="56"/>
  <c r="I7" i="56" s="1"/>
  <c r="D18" i="54" s="1"/>
  <c r="H58" i="56"/>
  <c r="G58" i="56"/>
  <c r="F58" i="56"/>
  <c r="E58" i="56"/>
  <c r="D58" i="56"/>
  <c r="C57" i="56"/>
  <c r="D71" i="55" s="1"/>
  <c r="C71" i="55" s="1"/>
  <c r="C56" i="56"/>
  <c r="D70" i="55" s="1"/>
  <c r="C70" i="55" s="1"/>
  <c r="L55" i="56"/>
  <c r="C55" i="56" s="1"/>
  <c r="D69" i="55" s="1"/>
  <c r="C69" i="55" s="1"/>
  <c r="L53" i="56"/>
  <c r="C53" i="56" s="1"/>
  <c r="D67" i="55" s="1"/>
  <c r="C67" i="55" s="1"/>
  <c r="L52" i="56"/>
  <c r="C52" i="56" s="1"/>
  <c r="D66" i="55" s="1"/>
  <c r="C66" i="55" s="1"/>
  <c r="L51" i="56"/>
  <c r="C51" i="56" s="1"/>
  <c r="D65" i="55" s="1"/>
  <c r="C65" i="55" s="1"/>
  <c r="L50" i="56"/>
  <c r="C50" i="56"/>
  <c r="D64" i="55" s="1"/>
  <c r="C64" i="55" s="1"/>
  <c r="L49" i="56"/>
  <c r="C49" i="56"/>
  <c r="D63" i="55" s="1"/>
  <c r="C63" i="55" s="1"/>
  <c r="L48" i="56"/>
  <c r="C48" i="56"/>
  <c r="D62" i="55" s="1"/>
  <c r="C62" i="55" s="1"/>
  <c r="L47" i="56"/>
  <c r="C47" i="56"/>
  <c r="D61" i="55" s="1"/>
  <c r="C61" i="55" s="1"/>
  <c r="L46" i="56"/>
  <c r="C46" i="56"/>
  <c r="D60" i="55" s="1"/>
  <c r="C60" i="55" s="1"/>
  <c r="L45" i="56"/>
  <c r="C45" i="56"/>
  <c r="D59" i="55" s="1"/>
  <c r="C59" i="55" s="1"/>
  <c r="L44" i="56"/>
  <c r="C44" i="56"/>
  <c r="D58" i="55" s="1"/>
  <c r="C58" i="55" s="1"/>
  <c r="L43" i="56"/>
  <c r="C43" i="56"/>
  <c r="D57" i="55" s="1"/>
  <c r="C57" i="55" s="1"/>
  <c r="L42" i="56"/>
  <c r="C42" i="56"/>
  <c r="D56" i="55" s="1"/>
  <c r="C56" i="55" s="1"/>
  <c r="L41" i="56"/>
  <c r="C41" i="56"/>
  <c r="D55" i="55" s="1"/>
  <c r="C55" i="55" s="1"/>
  <c r="L40" i="56"/>
  <c r="C40" i="56"/>
  <c r="D16" i="55" s="1"/>
  <c r="L39" i="56"/>
  <c r="C39" i="56" s="1"/>
  <c r="D53" i="55" s="1"/>
  <c r="C53" i="55" s="1"/>
  <c r="L38" i="56"/>
  <c r="C38" i="56" s="1"/>
  <c r="D52" i="55" s="1"/>
  <c r="C52" i="55" s="1"/>
  <c r="L37" i="56"/>
  <c r="C37" i="56"/>
  <c r="D51" i="55" s="1"/>
  <c r="C51" i="55" s="1"/>
  <c r="L36" i="56"/>
  <c r="C36" i="56"/>
  <c r="D50" i="55" s="1"/>
  <c r="C50" i="55" s="1"/>
  <c r="L35" i="56"/>
  <c r="C35" i="56"/>
  <c r="D49" i="55" s="1"/>
  <c r="C49" i="55" s="1"/>
  <c r="L34" i="56"/>
  <c r="C34" i="56" s="1"/>
  <c r="D48" i="55" s="1"/>
  <c r="C48" i="55" s="1"/>
  <c r="L33" i="56"/>
  <c r="C33" i="56" s="1"/>
  <c r="D47" i="55" s="1"/>
  <c r="C47" i="55" s="1"/>
  <c r="L32" i="56"/>
  <c r="C32" i="56" s="1"/>
  <c r="D46" i="55" s="1"/>
  <c r="C46" i="55" s="1"/>
  <c r="L31" i="56"/>
  <c r="C31" i="56"/>
  <c r="D45" i="55" s="1"/>
  <c r="C45" i="55" s="1"/>
  <c r="L30" i="56"/>
  <c r="C30" i="56"/>
  <c r="D44" i="55" s="1"/>
  <c r="C44" i="55" s="1"/>
  <c r="L29" i="56"/>
  <c r="C29" i="56"/>
  <c r="D43" i="55" s="1"/>
  <c r="C43" i="55" s="1"/>
  <c r="L28" i="56"/>
  <c r="C28" i="56"/>
  <c r="D42" i="55" s="1"/>
  <c r="C42" i="55" s="1"/>
  <c r="L27" i="56"/>
  <c r="C27" i="56"/>
  <c r="D41" i="55" s="1"/>
  <c r="C41" i="55" s="1"/>
  <c r="L26" i="56"/>
  <c r="C26" i="56" s="1"/>
  <c r="D40" i="55" s="1"/>
  <c r="C40" i="55" s="1"/>
  <c r="L25" i="56"/>
  <c r="C25" i="56" s="1"/>
  <c r="D39" i="55" s="1"/>
  <c r="C39" i="55" s="1"/>
  <c r="L24" i="56"/>
  <c r="C24" i="56" s="1"/>
  <c r="D38" i="55" s="1"/>
  <c r="C38" i="55" s="1"/>
  <c r="L23" i="56"/>
  <c r="C23" i="56" s="1"/>
  <c r="L22" i="56"/>
  <c r="C22" i="56" s="1"/>
  <c r="D35" i="55" s="1"/>
  <c r="L21" i="56"/>
  <c r="C21" i="56" s="1"/>
  <c r="D30" i="55" s="1"/>
  <c r="L20" i="56"/>
  <c r="C20" i="56"/>
  <c r="D29" i="55" s="1"/>
  <c r="L19" i="56"/>
  <c r="C19" i="56"/>
  <c r="D19" i="55" s="1"/>
  <c r="L18" i="56"/>
  <c r="C18" i="56"/>
  <c r="D25" i="55" s="1"/>
  <c r="L17" i="56"/>
  <c r="C17" i="56"/>
  <c r="D24" i="55" s="1"/>
  <c r="L16" i="56"/>
  <c r="C16" i="56" s="1"/>
  <c r="D22" i="55" s="1"/>
  <c r="L15" i="56"/>
  <c r="C15" i="56" s="1"/>
  <c r="D21" i="55" s="1"/>
  <c r="L14" i="56"/>
  <c r="C14" i="56" s="1"/>
  <c r="D17" i="55" s="1"/>
  <c r="L13" i="56"/>
  <c r="C13" i="56"/>
  <c r="D74" i="55" s="1"/>
  <c r="L12" i="56"/>
  <c r="C12" i="56"/>
  <c r="D26" i="55" s="1"/>
  <c r="L11" i="56"/>
  <c r="C11" i="56" s="1"/>
  <c r="D54" i="55" s="1"/>
  <c r="C54" i="55" s="1"/>
  <c r="L10" i="56"/>
  <c r="C10" i="56" s="1"/>
  <c r="D76" i="55" s="1"/>
  <c r="L9" i="56"/>
  <c r="C9" i="56" s="1"/>
  <c r="D13" i="55" s="1"/>
  <c r="Q8" i="56"/>
  <c r="Q7" i="56" s="1"/>
  <c r="D24" i="54" s="1"/>
  <c r="P8" i="56"/>
  <c r="O8" i="56"/>
  <c r="O7" i="56" s="1"/>
  <c r="N8" i="56"/>
  <c r="M8" i="56"/>
  <c r="M7" i="56" s="1"/>
  <c r="K8" i="56"/>
  <c r="J8" i="56"/>
  <c r="I8" i="56"/>
  <c r="H8" i="56"/>
  <c r="H7" i="56" s="1"/>
  <c r="D17" i="54" s="1"/>
  <c r="G8" i="56"/>
  <c r="F8" i="56"/>
  <c r="E8" i="56"/>
  <c r="D8" i="56"/>
  <c r="D7" i="56" s="1"/>
  <c r="D12" i="54" s="1"/>
  <c r="J7" i="56"/>
  <c r="D23" i="54" s="1"/>
  <c r="F7" i="56"/>
  <c r="D14" i="54" s="1"/>
  <c r="C60" i="56" l="1"/>
  <c r="D97" i="55"/>
  <c r="E7" i="56"/>
  <c r="D13" i="54" s="1"/>
  <c r="G7" i="56"/>
  <c r="D16" i="54" s="1"/>
  <c r="N7" i="56"/>
  <c r="P7" i="56"/>
  <c r="D22" i="54" s="1"/>
  <c r="C58" i="56"/>
  <c r="D73" i="55"/>
  <c r="D72" i="55" s="1"/>
  <c r="C57" i="65"/>
  <c r="G57" i="65" s="1"/>
  <c r="G58" i="65"/>
  <c r="C8" i="56"/>
  <c r="D37" i="55"/>
  <c r="D9" i="55" s="1"/>
  <c r="L8" i="56"/>
  <c r="L7" i="56" s="1"/>
  <c r="D21" i="54" s="1"/>
  <c r="C7" i="56"/>
  <c r="C67" i="56" s="1"/>
  <c r="Q14" i="65"/>
  <c r="T128" i="65" l="1"/>
  <c r="T123" i="65"/>
  <c r="U123" i="65"/>
  <c r="U122" i="65" l="1"/>
  <c r="S50" i="65"/>
  <c r="K50" i="65" s="1"/>
  <c r="O48" i="65" l="1"/>
  <c r="O37" i="65" l="1"/>
  <c r="K48" i="65"/>
  <c r="E48" i="65" s="1"/>
  <c r="S128" i="65"/>
  <c r="S123" i="65"/>
  <c r="S23" i="65"/>
  <c r="S18" i="65"/>
  <c r="R14" i="65"/>
  <c r="R23" i="65"/>
  <c r="S14" i="65" l="1"/>
  <c r="V10" i="58"/>
  <c r="S10" i="65"/>
  <c r="Q10" i="58" s="1"/>
  <c r="S122" i="65"/>
  <c r="S56" i="65" s="1"/>
  <c r="R3" i="65"/>
  <c r="T10" i="58" l="1"/>
  <c r="Q9" i="58"/>
  <c r="X66" i="57"/>
  <c r="W66" i="57"/>
  <c r="L66" i="57"/>
  <c r="L64" i="57" s="1"/>
  <c r="L7" i="57" s="1"/>
  <c r="I42" i="65" s="1"/>
  <c r="E42" i="65" s="1"/>
  <c r="W77" i="57"/>
  <c r="G81" i="57"/>
  <c r="E116" i="55" s="1"/>
  <c r="C116" i="55" s="1"/>
  <c r="G82" i="57"/>
  <c r="E117" i="55" s="1"/>
  <c r="C117" i="55" s="1"/>
  <c r="V84" i="57"/>
  <c r="W76" i="57"/>
  <c r="W75" i="57"/>
  <c r="X67" i="57"/>
  <c r="X71" i="57" s="1"/>
  <c r="X80" i="57"/>
  <c r="V80" i="57"/>
  <c r="V83" i="57"/>
  <c r="G85" i="57"/>
  <c r="E120" i="55" s="1"/>
  <c r="C120" i="55" s="1"/>
  <c r="Q74" i="57"/>
  <c r="W74" i="57" s="1"/>
  <c r="Q73" i="57"/>
  <c r="W73" i="57" s="1"/>
  <c r="Q72" i="57"/>
  <c r="W72" i="57" s="1"/>
  <c r="Q71" i="57"/>
  <c r="W71" i="57" s="1"/>
  <c r="G79" i="57"/>
  <c r="E114" i="55" s="1"/>
  <c r="C114" i="55" s="1"/>
  <c r="V64" i="57" l="1"/>
  <c r="V7" i="57" s="1"/>
  <c r="I50" i="65" s="1"/>
  <c r="E50" i="65" s="1"/>
  <c r="G50" i="65" s="1"/>
  <c r="X72" i="57"/>
  <c r="X73" i="57" s="1"/>
  <c r="X74" i="57" s="1"/>
  <c r="X75" i="57"/>
  <c r="X76" i="57" s="1"/>
  <c r="X77" i="57" s="1"/>
  <c r="Q64" i="57"/>
  <c r="Q7" i="57" s="1"/>
  <c r="I47" i="65" s="1"/>
  <c r="G80" i="57"/>
  <c r="E115" i="55" s="1"/>
  <c r="C115" i="55" s="1"/>
  <c r="F36" i="47"/>
  <c r="E47" i="65" l="1"/>
  <c r="E37" i="65" s="1"/>
  <c r="I37" i="65"/>
  <c r="G21" i="53" s="1"/>
  <c r="C67" i="89"/>
  <c r="C75" i="89"/>
  <c r="C63" i="89"/>
  <c r="C59" i="89"/>
  <c r="D21" i="47" l="1"/>
  <c r="D19" i="85"/>
  <c r="D21" i="49"/>
  <c r="C21" i="89"/>
  <c r="C15" i="89" l="1"/>
  <c r="C17" i="89" s="1"/>
  <c r="C26" i="88"/>
  <c r="C23" i="88"/>
  <c r="C14" i="88"/>
  <c r="C13" i="88" s="1"/>
  <c r="C18" i="88"/>
  <c r="C26" i="87" l="1"/>
  <c r="C20" i="87"/>
  <c r="C10" i="88" s="1"/>
  <c r="C19" i="87"/>
  <c r="C33" i="85"/>
  <c r="F33" i="85" s="1"/>
  <c r="C25" i="85"/>
  <c r="C22" i="85"/>
  <c r="C20" i="85"/>
  <c r="C19" i="85"/>
  <c r="C18" i="85"/>
  <c r="C11" i="85"/>
  <c r="D11" i="85" s="1"/>
  <c r="C12" i="85"/>
  <c r="C9" i="85" s="1"/>
  <c r="C10" i="85"/>
  <c r="D10" i="85" s="1"/>
  <c r="G95" i="89"/>
  <c r="G94" i="89" s="1"/>
  <c r="F94" i="89"/>
  <c r="E94" i="89"/>
  <c r="G89" i="89"/>
  <c r="F89" i="89"/>
  <c r="F49" i="89" s="1"/>
  <c r="D89" i="89"/>
  <c r="D49" i="89" s="1"/>
  <c r="C89" i="89"/>
  <c r="C81" i="89"/>
  <c r="D79" i="89"/>
  <c r="C79" i="89"/>
  <c r="C55" i="89"/>
  <c r="G49" i="89"/>
  <c r="C47" i="89"/>
  <c r="C43" i="89"/>
  <c r="G37" i="89"/>
  <c r="F37" i="89"/>
  <c r="E33" i="89"/>
  <c r="C37" i="89"/>
  <c r="F33" i="89"/>
  <c r="C24" i="89"/>
  <c r="C14" i="89" s="1"/>
  <c r="A2" i="89"/>
  <c r="E26" i="88"/>
  <c r="E25" i="88"/>
  <c r="G22" i="88"/>
  <c r="F22" i="88"/>
  <c r="I17" i="88"/>
  <c r="H17" i="88"/>
  <c r="G14" i="88"/>
  <c r="G13" i="88" s="1"/>
  <c r="A3" i="88"/>
  <c r="G35" i="87"/>
  <c r="F35" i="87"/>
  <c r="E35" i="87"/>
  <c r="D35" i="87"/>
  <c r="C35" i="87"/>
  <c r="E26" i="86"/>
  <c r="F38" i="85"/>
  <c r="I35" i="85"/>
  <c r="H35" i="85"/>
  <c r="G35" i="85"/>
  <c r="E34" i="85"/>
  <c r="E33" i="85"/>
  <c r="I32" i="85"/>
  <c r="H32" i="85"/>
  <c r="G32" i="85"/>
  <c r="D32" i="85"/>
  <c r="E31" i="85"/>
  <c r="F30" i="85"/>
  <c r="E30" i="85"/>
  <c r="E29" i="85"/>
  <c r="E22" i="85"/>
  <c r="F21" i="85"/>
  <c r="E21" i="85"/>
  <c r="F19" i="85"/>
  <c r="E19" i="85"/>
  <c r="H17" i="85"/>
  <c r="C17" i="85"/>
  <c r="H33" i="89" l="1"/>
  <c r="H12" i="85"/>
  <c r="F12" i="87" s="1"/>
  <c r="I25" i="85"/>
  <c r="G16" i="88"/>
  <c r="G21" i="87"/>
  <c r="G17" i="88"/>
  <c r="I26" i="85"/>
  <c r="F16" i="88"/>
  <c r="F21" i="87"/>
  <c r="H25" i="85"/>
  <c r="C49" i="89"/>
  <c r="C33" i="89" s="1"/>
  <c r="C10" i="89" s="1"/>
  <c r="C6" i="89" s="1"/>
  <c r="H26" i="85"/>
  <c r="F17" i="88"/>
  <c r="G12" i="88"/>
  <c r="P20" i="88"/>
  <c r="G38" i="85"/>
  <c r="H31" i="85" s="1"/>
  <c r="H38" i="85" s="1"/>
  <c r="I31" i="85" s="1"/>
  <c r="I38" i="85" s="1"/>
  <c r="C37" i="85"/>
  <c r="G33" i="89"/>
  <c r="F10" i="89"/>
  <c r="C9" i="88"/>
  <c r="C32" i="85"/>
  <c r="E32" i="85" s="1"/>
  <c r="G17" i="89"/>
  <c r="G9" i="85"/>
  <c r="H10" i="85"/>
  <c r="F10" i="85"/>
  <c r="E10" i="85"/>
  <c r="W23" i="58"/>
  <c r="O10" i="58" s="1"/>
  <c r="W24" i="58"/>
  <c r="O11" i="58" s="1"/>
  <c r="W25" i="58"/>
  <c r="O12" i="58" s="1"/>
  <c r="W26" i="58"/>
  <c r="O13" i="58" s="1"/>
  <c r="W27" i="58"/>
  <c r="O14" i="58" s="1"/>
  <c r="W28" i="58"/>
  <c r="O15" i="58" s="1"/>
  <c r="W29" i="58"/>
  <c r="O16" i="58" s="1"/>
  <c r="W30" i="58"/>
  <c r="O17" i="58" s="1"/>
  <c r="T22" i="58"/>
  <c r="C28" i="54"/>
  <c r="E36" i="53"/>
  <c r="D36" i="53"/>
  <c r="J36" i="53" s="1"/>
  <c r="Q22" i="58"/>
  <c r="J27" i="58"/>
  <c r="E27" i="58" s="1"/>
  <c r="N14" i="58" s="1"/>
  <c r="O22" i="58"/>
  <c r="P22" i="58"/>
  <c r="W22" i="58" s="1"/>
  <c r="R22" i="58"/>
  <c r="S22" i="58"/>
  <c r="U22" i="58"/>
  <c r="N22" i="58"/>
  <c r="J24" i="58"/>
  <c r="E24" i="58" s="1"/>
  <c r="N11" i="58" s="1"/>
  <c r="J25" i="58"/>
  <c r="E25" i="58" s="1"/>
  <c r="N12" i="58" s="1"/>
  <c r="M12" i="58" s="1"/>
  <c r="J26" i="58"/>
  <c r="E26" i="58" s="1"/>
  <c r="N13" i="58" s="1"/>
  <c r="J28" i="58"/>
  <c r="E28" i="58" s="1"/>
  <c r="N15" i="58" s="1"/>
  <c r="J29" i="58"/>
  <c r="E29" i="58" s="1"/>
  <c r="N16" i="58" s="1"/>
  <c r="J30" i="58"/>
  <c r="E30" i="58" s="1"/>
  <c r="N17" i="58" s="1"/>
  <c r="M17" i="58" s="1"/>
  <c r="J23" i="58"/>
  <c r="E23" i="58" s="1"/>
  <c r="N10" i="58" s="1"/>
  <c r="M10" i="58" s="1"/>
  <c r="K22" i="58"/>
  <c r="L22" i="58"/>
  <c r="M22" i="58"/>
  <c r="H22" i="58"/>
  <c r="I22" i="58"/>
  <c r="G22" i="58"/>
  <c r="F11" i="88" l="1"/>
  <c r="F30" i="87"/>
  <c r="G11" i="88"/>
  <c r="G30" i="87"/>
  <c r="I24" i="85"/>
  <c r="I16" i="85" s="1"/>
  <c r="C10" i="58"/>
  <c r="H24" i="85"/>
  <c r="H16" i="85" s="1"/>
  <c r="H23" i="87" s="1"/>
  <c r="I10" i="85"/>
  <c r="J11" i="85"/>
  <c r="F32" i="85"/>
  <c r="F6" i="89"/>
  <c r="F14" i="88"/>
  <c r="F13" i="88" s="1"/>
  <c r="I23" i="87"/>
  <c r="C35" i="85"/>
  <c r="F37" i="85"/>
  <c r="E37" i="85"/>
  <c r="I33" i="89"/>
  <c r="G10" i="89"/>
  <c r="G6" i="89" s="1"/>
  <c r="I12" i="85"/>
  <c r="G12" i="87" s="1"/>
  <c r="H9" i="85"/>
  <c r="H7" i="85" s="1"/>
  <c r="J22" i="58"/>
  <c r="E22" i="58" s="1"/>
  <c r="L9" i="58"/>
  <c r="D17" i="58"/>
  <c r="D11" i="58"/>
  <c r="D12" i="58"/>
  <c r="D13" i="58"/>
  <c r="D14" i="58"/>
  <c r="D15" i="58"/>
  <c r="D16" i="58"/>
  <c r="D10" i="58"/>
  <c r="G9" i="58"/>
  <c r="H9" i="58"/>
  <c r="I9" i="58"/>
  <c r="C31" i="54"/>
  <c r="C37" i="54"/>
  <c r="C38" i="54"/>
  <c r="C33" i="54"/>
  <c r="C39" i="54"/>
  <c r="C32" i="54"/>
  <c r="C29" i="54"/>
  <c r="H27" i="54"/>
  <c r="F44" i="54"/>
  <c r="C40" i="54"/>
  <c r="D19" i="53"/>
  <c r="J19" i="53" s="1"/>
  <c r="H10" i="54"/>
  <c r="I9" i="85" l="1"/>
  <c r="I7" i="85" s="1"/>
  <c r="K16" i="85" s="1"/>
  <c r="J17" i="87" s="1"/>
  <c r="J16" i="85"/>
  <c r="I17" i="87" s="1"/>
  <c r="J13" i="85"/>
  <c r="J14" i="85"/>
  <c r="G10" i="87"/>
  <c r="K11" i="85"/>
  <c r="O20" i="88"/>
  <c r="F12" i="88"/>
  <c r="E35" i="85"/>
  <c r="F35" i="85"/>
  <c r="D9" i="58"/>
  <c r="C27" i="54"/>
  <c r="D31" i="53"/>
  <c r="Z23" i="58" s="1"/>
  <c r="D34" i="53"/>
  <c r="D57" i="53"/>
  <c r="C9" i="54" l="1"/>
  <c r="I9" i="54" s="1"/>
  <c r="C19" i="88"/>
  <c r="K13" i="85"/>
  <c r="K14" i="85"/>
  <c r="D56" i="53"/>
  <c r="J56" i="53" s="1"/>
  <c r="J57" i="53"/>
  <c r="D30" i="53"/>
  <c r="C21" i="88" s="1"/>
  <c r="E21" i="88" s="1"/>
  <c r="Z22" i="58"/>
  <c r="Z24" i="58" s="1"/>
  <c r="Z26" i="58" s="1"/>
  <c r="C12" i="88" l="1"/>
  <c r="E19" i="88"/>
  <c r="B33" i="53"/>
  <c r="B36" i="53" s="1"/>
  <c r="B32" i="53"/>
  <c r="B35" i="53" s="1"/>
  <c r="C25" i="53"/>
  <c r="I25" i="53" s="1"/>
  <c r="E9" i="53"/>
  <c r="D10" i="53"/>
  <c r="C19" i="53"/>
  <c r="I19" i="53" s="1"/>
  <c r="B17" i="53"/>
  <c r="D21" i="53"/>
  <c r="J21" i="53" s="1"/>
  <c r="D23" i="53"/>
  <c r="C55" i="53"/>
  <c r="I55" i="53" s="1"/>
  <c r="C54" i="53"/>
  <c r="I54" i="53" s="1"/>
  <c r="C44" i="53"/>
  <c r="C45" i="53"/>
  <c r="I45" i="53" s="1"/>
  <c r="C46" i="53"/>
  <c r="I46" i="53" s="1"/>
  <c r="C47" i="53"/>
  <c r="I47" i="53" s="1"/>
  <c r="C48" i="53"/>
  <c r="I48" i="53" s="1"/>
  <c r="C49" i="53"/>
  <c r="I49" i="53" s="1"/>
  <c r="C50" i="53"/>
  <c r="C42" i="53"/>
  <c r="I42" i="53" s="1"/>
  <c r="D41" i="53"/>
  <c r="E53" i="53"/>
  <c r="C30" i="50"/>
  <c r="E8" i="53" l="1"/>
  <c r="D40" i="53"/>
  <c r="J40" i="53" s="1"/>
  <c r="J41" i="53"/>
  <c r="E41" i="53"/>
  <c r="K53" i="53"/>
  <c r="D9" i="53"/>
  <c r="J9" i="53" s="1"/>
  <c r="J10" i="53"/>
  <c r="D30" i="50"/>
  <c r="C29" i="87"/>
  <c r="C53" i="53"/>
  <c r="B21" i="50"/>
  <c r="B30" i="50"/>
  <c r="C12" i="50"/>
  <c r="C17" i="88" l="1"/>
  <c r="N14" i="88" s="1"/>
  <c r="E40" i="53"/>
  <c r="K41" i="53"/>
  <c r="D8" i="53"/>
  <c r="I14" i="54" s="1"/>
  <c r="C41" i="53"/>
  <c r="I53" i="53"/>
  <c r="D29" i="87"/>
  <c r="E30" i="50"/>
  <c r="D12" i="50"/>
  <c r="C11" i="87"/>
  <c r="C54" i="45"/>
  <c r="C25" i="45"/>
  <c r="C36" i="45"/>
  <c r="C36" i="53" s="1"/>
  <c r="C35" i="45"/>
  <c r="C35" i="53" s="1"/>
  <c r="C33" i="45"/>
  <c r="C33" i="53" s="1"/>
  <c r="C32" i="45"/>
  <c r="C32" i="53" s="1"/>
  <c r="B18" i="45"/>
  <c r="B18" i="53" s="1"/>
  <c r="E39" i="45"/>
  <c r="E38" i="45" s="1"/>
  <c r="C39" i="45"/>
  <c r="C38" i="45" s="1"/>
  <c r="C40" i="53" l="1"/>
  <c r="I40" i="53" s="1"/>
  <c r="I41" i="53"/>
  <c r="K40" i="53"/>
  <c r="E39" i="53"/>
  <c r="K39" i="53" s="1"/>
  <c r="D11" i="87"/>
  <c r="E32" i="53"/>
  <c r="E35" i="53"/>
  <c r="C52" i="45"/>
  <c r="C37" i="45" s="1"/>
  <c r="E34" i="53" l="1"/>
  <c r="E31" i="53"/>
  <c r="C10" i="49" l="1"/>
  <c r="C9" i="49" s="1"/>
  <c r="C8" i="49" s="1"/>
  <c r="G8" i="45" s="1"/>
  <c r="C28" i="47"/>
  <c r="C26" i="85" s="1"/>
  <c r="C11" i="47"/>
  <c r="E26" i="85" l="1"/>
  <c r="F26" i="85"/>
  <c r="C24" i="85"/>
  <c r="H33" i="45"/>
  <c r="H32" i="45"/>
  <c r="G32" i="45"/>
  <c r="C16" i="85" l="1"/>
  <c r="G33" i="45"/>
  <c r="O283" i="73" l="1"/>
  <c r="O375" i="73"/>
  <c r="AE47" i="66"/>
  <c r="AE9" i="66"/>
  <c r="AE8" i="66"/>
  <c r="K35" i="67"/>
  <c r="J35" i="67"/>
  <c r="I35" i="67"/>
  <c r="H35" i="67"/>
  <c r="G33" i="67"/>
  <c r="F35" i="67"/>
  <c r="E35" i="67"/>
  <c r="D35" i="67"/>
  <c r="N382" i="73"/>
  <c r="N378" i="73"/>
  <c r="N377" i="73"/>
  <c r="N375" i="73"/>
  <c r="N360" i="73"/>
  <c r="N358" i="73"/>
  <c r="N354" i="73"/>
  <c r="N353" i="73"/>
  <c r="N351" i="73"/>
  <c r="N336" i="73"/>
  <c r="N334" i="73"/>
  <c r="N330" i="73"/>
  <c r="N329" i="73"/>
  <c r="N327" i="73"/>
  <c r="N314" i="73"/>
  <c r="N312" i="73"/>
  <c r="N308" i="73"/>
  <c r="N307" i="73"/>
  <c r="N305" i="73"/>
  <c r="N292" i="73"/>
  <c r="N290" i="73"/>
  <c r="N286" i="73"/>
  <c r="N285" i="73"/>
  <c r="N283" i="73"/>
  <c r="N270" i="73"/>
  <c r="N268" i="73"/>
  <c r="N264" i="73"/>
  <c r="N263" i="73"/>
  <c r="N261" i="73"/>
  <c r="N248" i="73"/>
  <c r="N246" i="73"/>
  <c r="N242" i="73"/>
  <c r="N241" i="73"/>
  <c r="N239" i="73"/>
  <c r="N225" i="73"/>
  <c r="N223" i="73"/>
  <c r="N219" i="73"/>
  <c r="N218" i="73"/>
  <c r="N216" i="73"/>
  <c r="N202" i="73"/>
  <c r="E33" i="67" l="1"/>
  <c r="I33" i="67"/>
  <c r="K33" i="67"/>
  <c r="D33" i="67"/>
  <c r="F33" i="67"/>
  <c r="H33" i="67"/>
  <c r="J33" i="67"/>
  <c r="C35" i="67"/>
  <c r="C33" i="67" l="1"/>
  <c r="P376" i="73"/>
  <c r="P379" i="73"/>
  <c r="P380" i="73"/>
  <c r="P352" i="73"/>
  <c r="P356" i="73"/>
  <c r="P328" i="73"/>
  <c r="P310" i="73"/>
  <c r="P306" i="73"/>
  <c r="P284" i="73"/>
  <c r="P287" i="73"/>
  <c r="P288" i="73"/>
  <c r="P266" i="73"/>
  <c r="P243" i="73"/>
  <c r="P244" i="73"/>
  <c r="P240" i="73"/>
  <c r="P217" i="73"/>
  <c r="P221" i="73"/>
  <c r="Q200" i="73"/>
  <c r="N359" i="73"/>
  <c r="N335" i="73"/>
  <c r="N313" i="73"/>
  <c r="N291" i="73"/>
  <c r="N269" i="73"/>
  <c r="N247" i="73"/>
  <c r="N224" i="73"/>
  <c r="N201" i="73"/>
  <c r="E42" i="68"/>
  <c r="C34" i="67"/>
  <c r="E41" i="68" s="1"/>
  <c r="B41" i="68" s="1"/>
  <c r="B42" i="68" l="1"/>
  <c r="H26" i="68" s="1"/>
  <c r="H28" i="68" s="1"/>
  <c r="L20" i="68"/>
  <c r="M20" i="68" s="1"/>
  <c r="E40" i="68"/>
  <c r="C50" i="39"/>
  <c r="N200" i="73"/>
  <c r="G8" i="82" l="1"/>
  <c r="F16" i="82"/>
  <c r="D16" i="82" s="1"/>
  <c r="C16" i="82" s="1"/>
  <c r="T17" i="31" s="1"/>
  <c r="K16" i="67" l="1"/>
  <c r="F15" i="82"/>
  <c r="D15" i="82" s="1"/>
  <c r="C15" i="82" s="1"/>
  <c r="J16" i="67" l="1"/>
  <c r="T16" i="31"/>
  <c r="F14" i="82"/>
  <c r="D14" i="82" s="1"/>
  <c r="C14" i="82" s="1"/>
  <c r="T15" i="31" l="1"/>
  <c r="I16" i="67"/>
  <c r="F13" i="82"/>
  <c r="D13" i="82" s="1"/>
  <c r="C13" i="82" s="1"/>
  <c r="H16" i="67" l="1"/>
  <c r="T14" i="31"/>
  <c r="F12" i="82"/>
  <c r="D12" i="82" s="1"/>
  <c r="C12" i="82" s="1"/>
  <c r="T13" i="31" l="1"/>
  <c r="G16" i="67"/>
  <c r="F11" i="82"/>
  <c r="D11" i="82" s="1"/>
  <c r="C11" i="82" s="1"/>
  <c r="F16" i="67" l="1"/>
  <c r="T12" i="31"/>
  <c r="F10" i="82"/>
  <c r="D10" i="82" s="1"/>
  <c r="C10" i="82" s="1"/>
  <c r="T11" i="31" l="1"/>
  <c r="E16" i="67"/>
  <c r="F8" i="82"/>
  <c r="D8" i="82" s="1"/>
  <c r="C8" i="82" s="1"/>
  <c r="F9" i="82"/>
  <c r="D9" i="82" s="1"/>
  <c r="C9" i="82" s="1"/>
  <c r="T10" i="31" l="1"/>
  <c r="D16" i="67"/>
  <c r="C16" i="67" s="1"/>
  <c r="E19" i="68" s="1"/>
  <c r="E32" i="89" s="1"/>
  <c r="C103" i="25" l="1"/>
  <c r="C117" i="25"/>
  <c r="C97" i="25"/>
  <c r="C98" i="25"/>
  <c r="C99" i="25"/>
  <c r="C100" i="25"/>
  <c r="C101" i="25"/>
  <c r="C102" i="25"/>
  <c r="C108" i="25"/>
  <c r="C96" i="25" l="1"/>
  <c r="C95" i="25" s="1"/>
  <c r="F44" i="49" l="1"/>
  <c r="A2" i="49" l="1"/>
  <c r="A2" i="50" l="1"/>
  <c r="A2" i="51" s="1"/>
  <c r="A3" i="52" s="1"/>
  <c r="A2" i="53" s="1"/>
  <c r="A2" i="54" s="1"/>
  <c r="A2" i="55" s="1"/>
  <c r="A2" i="65" s="1"/>
  <c r="A2" i="56" s="1"/>
  <c r="A2" i="57" s="1"/>
  <c r="A2" i="58" s="1"/>
  <c r="A4" i="94" s="1"/>
  <c r="A2" i="90"/>
  <c r="A3" i="66" l="1"/>
  <c r="E25" i="45"/>
  <c r="A2" i="39" l="1"/>
  <c r="E33" i="50"/>
  <c r="E32" i="50"/>
  <c r="E15" i="50"/>
  <c r="A2" i="25" l="1"/>
  <c r="A3" i="26" s="1"/>
  <c r="A2" i="77" s="1"/>
  <c r="A2" i="70" s="1"/>
  <c r="A3" i="61"/>
  <c r="A2" i="38" s="1"/>
  <c r="A2" i="31" s="1"/>
  <c r="D71" i="25"/>
  <c r="D55" i="25"/>
  <c r="F39" i="65"/>
  <c r="F40" i="65"/>
  <c r="F41" i="65"/>
  <c r="F43" i="65"/>
  <c r="F44" i="65"/>
  <c r="F45" i="65"/>
  <c r="F46" i="65"/>
  <c r="F47" i="65"/>
  <c r="F49" i="65"/>
  <c r="F50" i="65"/>
  <c r="D37" i="65"/>
  <c r="D128" i="65"/>
  <c r="D123" i="65"/>
  <c r="D14" i="65"/>
  <c r="A2" i="72" l="1"/>
  <c r="A3" i="82" s="1"/>
  <c r="A3" i="67"/>
  <c r="A2" i="74" s="1"/>
  <c r="A2" i="97" s="1"/>
  <c r="D122" i="65"/>
  <c r="D56" i="65" s="1"/>
  <c r="D23" i="65"/>
  <c r="D10" i="65"/>
  <c r="D9" i="65" s="1"/>
  <c r="D7" i="65" l="1"/>
  <c r="C107" i="25"/>
  <c r="C37" i="25"/>
  <c r="C38" i="25"/>
  <c r="D49" i="25"/>
  <c r="C41" i="25"/>
  <c r="C40" i="25"/>
  <c r="C39" i="25"/>
  <c r="C35" i="25"/>
  <c r="B18" i="68" l="1"/>
  <c r="C14" i="39"/>
  <c r="C11" i="39" s="1"/>
  <c r="C36" i="25" l="1"/>
  <c r="B34" i="45" l="1"/>
  <c r="B14" i="68"/>
  <c r="B13" i="68"/>
  <c r="B19" i="68" l="1"/>
  <c r="E11" i="45" l="1"/>
  <c r="E14" i="45"/>
  <c r="E17" i="45"/>
  <c r="E19" i="45"/>
  <c r="E20" i="45"/>
  <c r="E22" i="45"/>
  <c r="E28" i="45"/>
  <c r="E32" i="45"/>
  <c r="E33" i="45"/>
  <c r="E35" i="45"/>
  <c r="E36" i="45"/>
  <c r="K37" i="67" l="1"/>
  <c r="J37" i="67"/>
  <c r="I37" i="67"/>
  <c r="H37" i="67"/>
  <c r="F37" i="67"/>
  <c r="F36" i="67" s="1"/>
  <c r="E37" i="67"/>
  <c r="E36" i="67" s="1"/>
  <c r="D37" i="67"/>
  <c r="D36" i="67" s="1"/>
  <c r="M382" i="73"/>
  <c r="M375" i="73"/>
  <c r="M360" i="73"/>
  <c r="M358" i="73"/>
  <c r="M351" i="73"/>
  <c r="M336" i="73"/>
  <c r="M312" i="73"/>
  <c r="M305" i="73"/>
  <c r="M292" i="73"/>
  <c r="M290" i="73"/>
  <c r="M283" i="73"/>
  <c r="M270" i="73"/>
  <c r="M268" i="73"/>
  <c r="M261" i="73"/>
  <c r="M248" i="73"/>
  <c r="M246" i="73"/>
  <c r="M239" i="73"/>
  <c r="M225" i="73"/>
  <c r="M216" i="73"/>
  <c r="M202" i="73"/>
  <c r="S216" i="73" l="1"/>
  <c r="O17" i="31" l="1"/>
  <c r="O16" i="31"/>
  <c r="O15" i="31"/>
  <c r="O14" i="31"/>
  <c r="O13" i="31"/>
  <c r="O12" i="31"/>
  <c r="O11" i="31"/>
  <c r="O10" i="31"/>
  <c r="F9" i="31"/>
  <c r="G9" i="31"/>
  <c r="I9" i="31"/>
  <c r="M9" i="31"/>
  <c r="N9" i="31"/>
  <c r="P9" i="31"/>
  <c r="R9" i="31"/>
  <c r="T9" i="31"/>
  <c r="U9" i="31"/>
  <c r="O9" i="31" l="1"/>
  <c r="C84" i="25" l="1"/>
  <c r="C43" i="68" l="1"/>
  <c r="D43" i="68"/>
  <c r="F43" i="68"/>
  <c r="M314" i="73"/>
  <c r="M327" i="73"/>
  <c r="C37" i="67"/>
  <c r="L30" i="68" s="1"/>
  <c r="M29" i="68" s="1"/>
  <c r="D51" i="72"/>
  <c r="F51" i="72"/>
  <c r="H51" i="72"/>
  <c r="J51" i="72"/>
  <c r="L51" i="72"/>
  <c r="N51" i="72"/>
  <c r="P51" i="72"/>
  <c r="R51" i="72"/>
  <c r="Q199" i="73"/>
  <c r="O335" i="73"/>
  <c r="O224" i="73"/>
  <c r="O30" i="68" l="1"/>
  <c r="C51" i="72"/>
  <c r="F20" i="68"/>
  <c r="C82" i="25" l="1"/>
  <c r="C83" i="25"/>
  <c r="L6" i="67" l="1"/>
  <c r="O269" i="73" l="1"/>
  <c r="O327" i="73"/>
  <c r="O314" i="73"/>
  <c r="O26" i="67"/>
  <c r="O19" i="67"/>
  <c r="S16" i="38" l="1"/>
  <c r="Q16" i="38"/>
  <c r="P16" i="38"/>
  <c r="O16" i="38"/>
  <c r="N16" i="38"/>
  <c r="M16" i="38"/>
  <c r="K16" i="38"/>
  <c r="T15" i="38"/>
  <c r="S15" i="38"/>
  <c r="Q15" i="38"/>
  <c r="O15" i="38"/>
  <c r="L15" i="38"/>
  <c r="J15" i="38"/>
  <c r="I15" i="38"/>
  <c r="T14" i="38"/>
  <c r="S14" i="38"/>
  <c r="R14" i="38"/>
  <c r="Q14" i="38"/>
  <c r="O14" i="38"/>
  <c r="L14" i="38"/>
  <c r="J14" i="38"/>
  <c r="I14" i="38"/>
  <c r="T13" i="38"/>
  <c r="S13" i="38"/>
  <c r="R13" i="38"/>
  <c r="Q13" i="38"/>
  <c r="O13" i="38"/>
  <c r="L13" i="38"/>
  <c r="J13" i="38"/>
  <c r="I13" i="38"/>
  <c r="T12" i="38"/>
  <c r="S12" i="38"/>
  <c r="R12" i="38"/>
  <c r="Q12" i="38"/>
  <c r="O12" i="38"/>
  <c r="L12" i="38"/>
  <c r="J12" i="38"/>
  <c r="T11" i="38"/>
  <c r="S11" i="38"/>
  <c r="R11" i="38"/>
  <c r="Q11" i="38"/>
  <c r="O11" i="38"/>
  <c r="L11" i="38"/>
  <c r="J11" i="38"/>
  <c r="I11" i="38"/>
  <c r="T10" i="38"/>
  <c r="S10" i="38"/>
  <c r="R10" i="38"/>
  <c r="Q10" i="38"/>
  <c r="O10" i="38"/>
  <c r="L10" i="38"/>
  <c r="J10" i="38"/>
  <c r="T9" i="38"/>
  <c r="S9" i="38"/>
  <c r="R9" i="38"/>
  <c r="Q9" i="38"/>
  <c r="O9" i="38"/>
  <c r="L9" i="38"/>
  <c r="J9" i="38"/>
  <c r="T8" i="38"/>
  <c r="S8" i="38"/>
  <c r="R8" i="38"/>
  <c r="Q8" i="38"/>
  <c r="O8" i="38"/>
  <c r="L8" i="38"/>
  <c r="J8" i="38"/>
  <c r="I8" i="38"/>
  <c r="F46" i="44" l="1"/>
  <c r="E29" i="44"/>
  <c r="E18" i="44"/>
  <c r="E19" i="44"/>
  <c r="C76" i="25" l="1"/>
  <c r="C77" i="25"/>
  <c r="C78" i="25"/>
  <c r="C79" i="25"/>
  <c r="C81" i="25"/>
  <c r="C53" i="25" l="1"/>
  <c r="S51" i="72" l="1"/>
  <c r="Q51" i="72"/>
  <c r="O51" i="72"/>
  <c r="M51" i="72"/>
  <c r="K51" i="72"/>
  <c r="I51" i="72"/>
  <c r="G51" i="72"/>
  <c r="E51" i="72"/>
  <c r="D206" i="73"/>
  <c r="D204" i="73"/>
  <c r="D203" i="73"/>
  <c r="D216" i="73"/>
  <c r="C40" i="72" l="1"/>
  <c r="C75" i="25"/>
  <c r="C52" i="67" l="1"/>
  <c r="K206" i="73"/>
  <c r="B23" i="68"/>
  <c r="B37" i="68"/>
  <c r="C72" i="25" l="1"/>
  <c r="C74" i="25"/>
  <c r="C80" i="25"/>
  <c r="C85" i="25"/>
  <c r="C86" i="25"/>
  <c r="C70" i="25"/>
  <c r="C67" i="25"/>
  <c r="C66" i="25"/>
  <c r="C65" i="25"/>
  <c r="C64" i="25"/>
  <c r="C63" i="25"/>
  <c r="C62" i="25"/>
  <c r="C61" i="25"/>
  <c r="C60" i="25"/>
  <c r="C59" i="25"/>
  <c r="C58" i="25"/>
  <c r="C57" i="25"/>
  <c r="C54" i="25"/>
  <c r="C52" i="25"/>
  <c r="C51" i="25"/>
  <c r="C47" i="25"/>
  <c r="D32" i="68"/>
  <c r="D28" i="68"/>
  <c r="D27" i="68"/>
  <c r="D22" i="68"/>
  <c r="D21" i="68" l="1"/>
  <c r="C50" i="25"/>
  <c r="C49" i="25" s="1"/>
  <c r="E49" i="25"/>
  <c r="E55" i="25"/>
  <c r="C56" i="25"/>
  <c r="C55" i="25" s="1"/>
  <c r="C69" i="25"/>
  <c r="D34" i="68"/>
  <c r="D26" i="68"/>
  <c r="D29" i="68"/>
  <c r="D30" i="68"/>
  <c r="C30" i="68"/>
  <c r="C48" i="25" l="1"/>
  <c r="C28" i="68"/>
  <c r="S200" i="73"/>
  <c r="D33" i="68"/>
  <c r="L37" i="67"/>
  <c r="L39" i="67" s="1"/>
  <c r="R33" i="72"/>
  <c r="R6" i="72" s="1"/>
  <c r="P33" i="72"/>
  <c r="P6" i="72" s="1"/>
  <c r="N33" i="72"/>
  <c r="N6" i="72" s="1"/>
  <c r="L33" i="72"/>
  <c r="L6" i="72" s="1"/>
  <c r="J33" i="72"/>
  <c r="J6" i="72" s="1"/>
  <c r="H33" i="72"/>
  <c r="H6" i="72" s="1"/>
  <c r="F33" i="72"/>
  <c r="F6" i="72" s="1"/>
  <c r="D33" i="72"/>
  <c r="D6" i="72" s="1"/>
  <c r="B58" i="68"/>
  <c r="C18" i="67"/>
  <c r="B27" i="68" l="1"/>
  <c r="D24" i="45" s="1"/>
  <c r="C33" i="72"/>
  <c r="S3" i="73"/>
  <c r="E43" i="68"/>
  <c r="E10" i="39" s="1"/>
  <c r="T24" i="72"/>
  <c r="L17" i="68" l="1"/>
  <c r="R201" i="73"/>
  <c r="H13" i="31"/>
  <c r="O32" i="67"/>
  <c r="B59" i="68" l="1"/>
  <c r="B39" i="68"/>
  <c r="D31" i="68"/>
  <c r="D20" i="68" s="1"/>
  <c r="D9" i="68" s="1"/>
  <c r="B17" i="68"/>
  <c r="F10" i="68"/>
  <c r="F9" i="68" s="1"/>
  <c r="H118" i="25" l="1"/>
  <c r="G21" i="85"/>
  <c r="C46" i="39"/>
  <c r="F7" i="68"/>
  <c r="D7" i="68"/>
  <c r="B40" i="68"/>
  <c r="G22" i="85" s="1"/>
  <c r="Q376" i="73"/>
  <c r="Q379" i="73"/>
  <c r="Q380" i="73"/>
  <c r="Q280" i="73"/>
  <c r="Q281" i="73"/>
  <c r="Q284" i="73"/>
  <c r="Q287" i="73"/>
  <c r="Q288" i="73"/>
  <c r="U9" i="72"/>
  <c r="Q18" i="72"/>
  <c r="F4" i="76"/>
  <c r="C4" i="76"/>
  <c r="B12" i="76"/>
  <c r="A12" i="76"/>
  <c r="B11" i="76"/>
  <c r="A11" i="76"/>
  <c r="B10" i="76"/>
  <c r="A10" i="76"/>
  <c r="B9" i="76"/>
  <c r="A9" i="76"/>
  <c r="B8" i="76"/>
  <c r="A8" i="76"/>
  <c r="B7" i="76"/>
  <c r="A7" i="76"/>
  <c r="B6" i="76"/>
  <c r="A6" i="76"/>
  <c r="B5" i="76"/>
  <c r="A5" i="76"/>
  <c r="G11" i="76" l="1"/>
  <c r="G9" i="76"/>
  <c r="E9" i="67" s="1"/>
  <c r="C118" i="25"/>
  <c r="F9" i="67" l="1"/>
  <c r="G4" i="76"/>
  <c r="H12" i="31"/>
  <c r="H16" i="31"/>
  <c r="H11" i="31"/>
  <c r="H15" i="31"/>
  <c r="H14" i="31"/>
  <c r="H17" i="31"/>
  <c r="H10" i="31"/>
  <c r="G14" i="72"/>
  <c r="O359" i="73"/>
  <c r="O313" i="73"/>
  <c r="D239" i="73"/>
  <c r="H9" i="31" l="1"/>
  <c r="O200" i="73"/>
  <c r="H17" i="72"/>
  <c r="C17" i="72" s="1"/>
  <c r="B14" i="74" l="1"/>
  <c r="B12" i="74"/>
  <c r="C15" i="67"/>
  <c r="C9" i="67"/>
  <c r="C14" i="72"/>
  <c r="E11" i="68" l="1"/>
  <c r="E31" i="89" s="1"/>
  <c r="C24" i="72"/>
  <c r="E28" i="87" l="1"/>
  <c r="E19" i="87"/>
  <c r="B11" i="68"/>
  <c r="P372" i="73"/>
  <c r="Q372" i="73" s="1"/>
  <c r="P373" i="73"/>
  <c r="Q373" i="73" s="1"/>
  <c r="M359" i="73"/>
  <c r="P348" i="73"/>
  <c r="P349" i="73"/>
  <c r="M335" i="73"/>
  <c r="P324" i="73"/>
  <c r="Q324" i="73" s="1"/>
  <c r="P325" i="73"/>
  <c r="Q325" i="73" s="1"/>
  <c r="Q328" i="73"/>
  <c r="P332" i="73"/>
  <c r="Q332" i="73" s="1"/>
  <c r="M334" i="73"/>
  <c r="M329" i="73"/>
  <c r="P302" i="73"/>
  <c r="P303" i="73"/>
  <c r="M307" i="73"/>
  <c r="M291" i="73" s="1"/>
  <c r="M269" i="73"/>
  <c r="M285" i="73"/>
  <c r="M247" i="73"/>
  <c r="J247" i="73"/>
  <c r="M313" i="73" l="1"/>
  <c r="D9" i="88"/>
  <c r="F19" i="87"/>
  <c r="D225" i="73"/>
  <c r="P235" i="73"/>
  <c r="P236" i="73"/>
  <c r="P238" i="73"/>
  <c r="M241" i="73"/>
  <c r="M224" i="73" s="1"/>
  <c r="F28" i="87" l="1"/>
  <c r="F9" i="88"/>
  <c r="G19" i="87"/>
  <c r="E9" i="88"/>
  <c r="M201" i="73"/>
  <c r="M200" i="73" s="1"/>
  <c r="I202" i="73"/>
  <c r="I201" i="73" s="1"/>
  <c r="J202" i="73"/>
  <c r="G9" i="88" l="1"/>
  <c r="G8" i="88" s="1"/>
  <c r="G28" i="87"/>
  <c r="G18" i="87"/>
  <c r="C382" i="73"/>
  <c r="P382" i="73" s="1"/>
  <c r="H381" i="73"/>
  <c r="C381" i="73" s="1"/>
  <c r="P381" i="73" s="1"/>
  <c r="Q381" i="73" s="1"/>
  <c r="C378" i="73"/>
  <c r="P378" i="73" s="1"/>
  <c r="Q378" i="73" s="1"/>
  <c r="C377" i="73"/>
  <c r="P377" i="73" s="1"/>
  <c r="Q377" i="73" s="1"/>
  <c r="C375" i="73"/>
  <c r="P375" i="73" s="1"/>
  <c r="Q375" i="73" s="1"/>
  <c r="C374" i="73"/>
  <c r="P374" i="73" s="1"/>
  <c r="Q374" i="73" s="1"/>
  <c r="C371" i="73"/>
  <c r="C368" i="73"/>
  <c r="C367" i="73"/>
  <c r="C364" i="73"/>
  <c r="C362" i="73"/>
  <c r="C361" i="73"/>
  <c r="L360" i="73"/>
  <c r="K360" i="73"/>
  <c r="I360" i="73"/>
  <c r="I359" i="73" s="1"/>
  <c r="G360" i="73"/>
  <c r="F360" i="73"/>
  <c r="E360" i="73"/>
  <c r="D360" i="73"/>
  <c r="C360" i="73" s="1"/>
  <c r="P360" i="73" s="1"/>
  <c r="Q360" i="73" s="1"/>
  <c r="L359" i="73"/>
  <c r="K359" i="73"/>
  <c r="J359" i="73"/>
  <c r="H359" i="73"/>
  <c r="G359" i="73"/>
  <c r="F359" i="73"/>
  <c r="E359" i="73"/>
  <c r="D359" i="73"/>
  <c r="C358" i="73"/>
  <c r="P358" i="73" s="1"/>
  <c r="H357" i="73"/>
  <c r="C357" i="73" s="1"/>
  <c r="P357" i="73" s="1"/>
  <c r="C355" i="73"/>
  <c r="P355" i="73" s="1"/>
  <c r="C354" i="73"/>
  <c r="P354" i="73" s="1"/>
  <c r="C353" i="73"/>
  <c r="P353" i="73" s="1"/>
  <c r="C351" i="73"/>
  <c r="P351" i="73" s="1"/>
  <c r="C350" i="73"/>
  <c r="P350" i="73" s="1"/>
  <c r="C347" i="73"/>
  <c r="C344" i="73"/>
  <c r="C343" i="73"/>
  <c r="C340" i="73"/>
  <c r="C338" i="73"/>
  <c r="C337" i="73"/>
  <c r="L336" i="73"/>
  <c r="L335" i="73" s="1"/>
  <c r="K336" i="73"/>
  <c r="K335" i="73" s="1"/>
  <c r="I336" i="73"/>
  <c r="I335" i="73" s="1"/>
  <c r="H336" i="73"/>
  <c r="H335" i="73" s="1"/>
  <c r="G336" i="73"/>
  <c r="G335" i="73" s="1"/>
  <c r="F336" i="73"/>
  <c r="F335" i="73" s="1"/>
  <c r="E336" i="73"/>
  <c r="E335" i="73" s="1"/>
  <c r="D336" i="73"/>
  <c r="J335" i="73"/>
  <c r="D335" i="73"/>
  <c r="C334" i="73"/>
  <c r="H333" i="73"/>
  <c r="C333" i="73" s="1"/>
  <c r="P333" i="73" s="1"/>
  <c r="Q333" i="73" s="1"/>
  <c r="C331" i="73"/>
  <c r="P331" i="73" s="1"/>
  <c r="Q331" i="73" s="1"/>
  <c r="C330" i="73"/>
  <c r="P330" i="73" s="1"/>
  <c r="Q330" i="73" s="1"/>
  <c r="C329" i="73"/>
  <c r="C327" i="73"/>
  <c r="P327" i="73" s="1"/>
  <c r="Q327" i="73" s="1"/>
  <c r="C326" i="73"/>
  <c r="P326" i="73" s="1"/>
  <c r="Q326" i="73" s="1"/>
  <c r="C323" i="73"/>
  <c r="C320" i="73"/>
  <c r="C319" i="73"/>
  <c r="C318" i="73"/>
  <c r="D316" i="73"/>
  <c r="C316" i="73" s="1"/>
  <c r="D315" i="73"/>
  <c r="L314" i="73"/>
  <c r="L313" i="73" s="1"/>
  <c r="K314" i="73"/>
  <c r="I314" i="73"/>
  <c r="I313" i="73" s="1"/>
  <c r="H314" i="73"/>
  <c r="G314" i="73"/>
  <c r="G313" i="73" s="1"/>
  <c r="F314" i="73"/>
  <c r="F313" i="73" s="1"/>
  <c r="E314" i="73"/>
  <c r="K313" i="73"/>
  <c r="J313" i="73"/>
  <c r="H313" i="73"/>
  <c r="E313" i="73"/>
  <c r="C312" i="73"/>
  <c r="P312" i="73" s="1"/>
  <c r="H311" i="73"/>
  <c r="C311" i="73" s="1"/>
  <c r="P311" i="73" s="1"/>
  <c r="C309" i="73"/>
  <c r="P309" i="73" s="1"/>
  <c r="C308" i="73"/>
  <c r="P308" i="73" s="1"/>
  <c r="C307" i="73"/>
  <c r="P307" i="73" s="1"/>
  <c r="C305" i="73"/>
  <c r="P305" i="73" s="1"/>
  <c r="C304" i="73"/>
  <c r="P304" i="73" s="1"/>
  <c r="C301" i="73"/>
  <c r="C298" i="73"/>
  <c r="C297" i="73"/>
  <c r="C296" i="73"/>
  <c r="C294" i="73"/>
  <c r="C293" i="73"/>
  <c r="L292" i="73"/>
  <c r="L291" i="73" s="1"/>
  <c r="K292" i="73"/>
  <c r="I292" i="73"/>
  <c r="I291" i="73" s="1"/>
  <c r="H292" i="73"/>
  <c r="G292" i="73"/>
  <c r="G291" i="73" s="1"/>
  <c r="F292" i="73"/>
  <c r="F291" i="73" s="1"/>
  <c r="E292" i="73"/>
  <c r="E291" i="73" s="1"/>
  <c r="D292" i="73"/>
  <c r="C292" i="73" s="1"/>
  <c r="P292" i="73" s="1"/>
  <c r="K291" i="73"/>
  <c r="J291" i="73"/>
  <c r="H291" i="73"/>
  <c r="D291" i="73"/>
  <c r="D290" i="73"/>
  <c r="C290" i="73" s="1"/>
  <c r="P290" i="73" s="1"/>
  <c r="H289" i="73"/>
  <c r="C289" i="73" s="1"/>
  <c r="P289" i="73" s="1"/>
  <c r="Q289" i="73" s="1"/>
  <c r="D286" i="73"/>
  <c r="C286" i="73" s="1"/>
  <c r="P286" i="73" s="1"/>
  <c r="Q286" i="73" s="1"/>
  <c r="C285" i="73"/>
  <c r="P285" i="73" s="1"/>
  <c r="Q285" i="73" s="1"/>
  <c r="D283" i="73"/>
  <c r="C283" i="73" s="1"/>
  <c r="P283" i="73" s="1"/>
  <c r="Q283" i="73" s="1"/>
  <c r="C282" i="73"/>
  <c r="P282" i="73" s="1"/>
  <c r="Q282" i="73" s="1"/>
  <c r="D279" i="73"/>
  <c r="C279" i="73"/>
  <c r="C276" i="73"/>
  <c r="G270" i="73"/>
  <c r="G269" i="73" s="1"/>
  <c r="C275" i="73"/>
  <c r="D274" i="73"/>
  <c r="C274" i="73" s="1"/>
  <c r="C272" i="73"/>
  <c r="D271" i="73"/>
  <c r="C271" i="73" s="1"/>
  <c r="L270" i="73"/>
  <c r="L269" i="73" s="1"/>
  <c r="K270" i="73"/>
  <c r="K269" i="73" s="1"/>
  <c r="I270" i="73"/>
  <c r="I269" i="73" s="1"/>
  <c r="F270" i="73"/>
  <c r="E270" i="73"/>
  <c r="E269" i="73" s="1"/>
  <c r="J269" i="73"/>
  <c r="F269" i="73"/>
  <c r="C268" i="73"/>
  <c r="P268" i="73" s="1"/>
  <c r="H267" i="73"/>
  <c r="C265" i="73"/>
  <c r="P265" i="73" s="1"/>
  <c r="C264" i="73"/>
  <c r="P264" i="73" s="1"/>
  <c r="C263" i="73"/>
  <c r="P263" i="73" s="1"/>
  <c r="C262" i="73"/>
  <c r="P262" i="73" s="1"/>
  <c r="C261" i="73"/>
  <c r="P261" i="73" s="1"/>
  <c r="C260" i="73"/>
  <c r="P260" i="73" s="1"/>
  <c r="C257" i="73"/>
  <c r="C254" i="73"/>
  <c r="C253" i="73"/>
  <c r="C252" i="73"/>
  <c r="C250" i="73"/>
  <c r="C249" i="73"/>
  <c r="L248" i="73"/>
  <c r="L247" i="73" s="1"/>
  <c r="K248" i="73"/>
  <c r="K247" i="73" s="1"/>
  <c r="I248" i="73"/>
  <c r="I247" i="73" s="1"/>
  <c r="H248" i="73"/>
  <c r="G248" i="73"/>
  <c r="F248" i="73"/>
  <c r="E248" i="73"/>
  <c r="D248" i="73"/>
  <c r="D247" i="73" s="1"/>
  <c r="G247" i="73"/>
  <c r="E247" i="73"/>
  <c r="C246" i="73"/>
  <c r="P246" i="73" s="1"/>
  <c r="H245" i="73"/>
  <c r="C245" i="73"/>
  <c r="P245" i="73" s="1"/>
  <c r="C242" i="73"/>
  <c r="P242" i="73" s="1"/>
  <c r="C241" i="73"/>
  <c r="P241" i="73" s="1"/>
  <c r="C239" i="73"/>
  <c r="P239" i="73" s="1"/>
  <c r="C237" i="73"/>
  <c r="P237" i="73" s="1"/>
  <c r="C234" i="73"/>
  <c r="C231" i="73"/>
  <c r="C230" i="73"/>
  <c r="C229" i="73"/>
  <c r="C227" i="73"/>
  <c r="C226" i="73"/>
  <c r="L225" i="73"/>
  <c r="L224" i="73" s="1"/>
  <c r="K225" i="73"/>
  <c r="I225" i="73"/>
  <c r="I224" i="73" s="1"/>
  <c r="H225" i="73"/>
  <c r="H224" i="73" s="1"/>
  <c r="G225" i="73"/>
  <c r="G224" i="73" s="1"/>
  <c r="F225" i="73"/>
  <c r="E225" i="73"/>
  <c r="K224" i="73"/>
  <c r="J224" i="73"/>
  <c r="E224" i="73"/>
  <c r="D224" i="73"/>
  <c r="C223" i="73"/>
  <c r="P223" i="73" s="1"/>
  <c r="H222" i="73"/>
  <c r="C222" i="73"/>
  <c r="P222" i="73" s="1"/>
  <c r="C220" i="73"/>
  <c r="P220" i="73" s="1"/>
  <c r="C219" i="73"/>
  <c r="P219" i="73" s="1"/>
  <c r="C218" i="73"/>
  <c r="P218" i="73" s="1"/>
  <c r="C216" i="73"/>
  <c r="P216" i="73" s="1"/>
  <c r="C215" i="73"/>
  <c r="P215" i="73" s="1"/>
  <c r="C211" i="73"/>
  <c r="C208" i="73"/>
  <c r="C207" i="73"/>
  <c r="C206" i="73"/>
  <c r="C204" i="73"/>
  <c r="C203" i="73"/>
  <c r="L202" i="73"/>
  <c r="L201" i="73" s="1"/>
  <c r="K202" i="73"/>
  <c r="H202" i="73"/>
  <c r="G202" i="73"/>
  <c r="F202" i="73"/>
  <c r="E202" i="73"/>
  <c r="D202" i="73"/>
  <c r="C202" i="73" s="1"/>
  <c r="P202" i="73" s="1"/>
  <c r="K201" i="73"/>
  <c r="J201" i="73"/>
  <c r="H201" i="73"/>
  <c r="G201" i="73"/>
  <c r="F201" i="73"/>
  <c r="E201" i="73"/>
  <c r="C199" i="73"/>
  <c r="C198" i="73"/>
  <c r="C197" i="73"/>
  <c r="C196" i="73"/>
  <c r="C195" i="73"/>
  <c r="C194" i="73"/>
  <c r="C193" i="73"/>
  <c r="C192" i="73"/>
  <c r="C191" i="73"/>
  <c r="C190" i="73"/>
  <c r="C189" i="73"/>
  <c r="C188" i="73"/>
  <c r="C187" i="73"/>
  <c r="C186" i="73"/>
  <c r="C185" i="73"/>
  <c r="C184" i="73"/>
  <c r="C183" i="73"/>
  <c r="C182" i="73"/>
  <c r="C181" i="73"/>
  <c r="C180" i="73"/>
  <c r="C179" i="73"/>
  <c r="C178" i="73"/>
  <c r="C177" i="73"/>
  <c r="C176" i="73"/>
  <c r="C175" i="73"/>
  <c r="C174" i="73"/>
  <c r="C173" i="73"/>
  <c r="C172" i="73"/>
  <c r="C171" i="73"/>
  <c r="C170" i="73"/>
  <c r="C169" i="73"/>
  <c r="C168" i="73"/>
  <c r="C167" i="73"/>
  <c r="C166" i="73"/>
  <c r="C165" i="73"/>
  <c r="C164" i="73"/>
  <c r="L163" i="73"/>
  <c r="K163" i="73"/>
  <c r="H163" i="73"/>
  <c r="D163" i="73"/>
  <c r="C162" i="73"/>
  <c r="C161" i="73"/>
  <c r="C160" i="73"/>
  <c r="L159" i="73"/>
  <c r="K159" i="73"/>
  <c r="H159" i="73"/>
  <c r="D159" i="73"/>
  <c r="C159" i="73" s="1"/>
  <c r="C158" i="73"/>
  <c r="C157" i="73"/>
  <c r="C156" i="73"/>
  <c r="C155" i="73"/>
  <c r="C154" i="73"/>
  <c r="C153" i="73"/>
  <c r="L152" i="73"/>
  <c r="K152" i="73"/>
  <c r="C152" i="73" s="1"/>
  <c r="C151" i="73"/>
  <c r="C150" i="73"/>
  <c r="C149" i="73"/>
  <c r="L148" i="73"/>
  <c r="H148" i="73"/>
  <c r="D148" i="73"/>
  <c r="C147" i="73"/>
  <c r="C146" i="73"/>
  <c r="L145" i="73"/>
  <c r="K145" i="73"/>
  <c r="H145" i="73"/>
  <c r="D145" i="73"/>
  <c r="C145" i="73" s="1"/>
  <c r="C144" i="73"/>
  <c r="C143" i="73"/>
  <c r="D142" i="73"/>
  <c r="C142" i="73" s="1"/>
  <c r="C141" i="73"/>
  <c r="D140" i="73"/>
  <c r="C140" i="73"/>
  <c r="D139" i="73"/>
  <c r="C139" i="73"/>
  <c r="D138" i="73"/>
  <c r="C138" i="73"/>
  <c r="L137" i="73"/>
  <c r="K137" i="73"/>
  <c r="G137" i="73"/>
  <c r="F137" i="73"/>
  <c r="C137" i="73" s="1"/>
  <c r="D136" i="73"/>
  <c r="C136" i="73" s="1"/>
  <c r="C135" i="73"/>
  <c r="C134" i="73"/>
  <c r="C133" i="73"/>
  <c r="C132" i="73"/>
  <c r="C131" i="73"/>
  <c r="C130" i="73"/>
  <c r="C129" i="73"/>
  <c r="L128" i="73"/>
  <c r="K128" i="73"/>
  <c r="G128" i="73"/>
  <c r="F128" i="73"/>
  <c r="F127" i="73" s="1"/>
  <c r="E128" i="73"/>
  <c r="C128" i="73"/>
  <c r="L127" i="73"/>
  <c r="K127" i="73"/>
  <c r="J127" i="73"/>
  <c r="I127" i="73"/>
  <c r="H127" i="73"/>
  <c r="G127" i="73"/>
  <c r="E127" i="73"/>
  <c r="D127" i="73"/>
  <c r="C127" i="73" s="1"/>
  <c r="C126" i="73"/>
  <c r="C125" i="73"/>
  <c r="C124" i="73"/>
  <c r="C123" i="73"/>
  <c r="C122" i="73"/>
  <c r="C121" i="73"/>
  <c r="L120" i="73"/>
  <c r="K120" i="73"/>
  <c r="H120" i="73"/>
  <c r="G120" i="73"/>
  <c r="F120" i="73"/>
  <c r="E120" i="73"/>
  <c r="D120" i="73"/>
  <c r="C119" i="73"/>
  <c r="C117" i="73"/>
  <c r="C116" i="73"/>
  <c r="C115" i="73"/>
  <c r="D114" i="73"/>
  <c r="C114" i="73" s="1"/>
  <c r="C113" i="73"/>
  <c r="L112" i="73"/>
  <c r="K112" i="73"/>
  <c r="C112" i="73" s="1"/>
  <c r="C111" i="73"/>
  <c r="L110" i="73"/>
  <c r="J110" i="73"/>
  <c r="I110" i="73"/>
  <c r="H110" i="73"/>
  <c r="G110" i="73"/>
  <c r="F110" i="73"/>
  <c r="E110" i="73"/>
  <c r="D110" i="73"/>
  <c r="D109" i="73"/>
  <c r="C109" i="73" s="1"/>
  <c r="C108" i="73"/>
  <c r="D107" i="73"/>
  <c r="C107" i="73" s="1"/>
  <c r="C106" i="73"/>
  <c r="L105" i="73"/>
  <c r="K105" i="73"/>
  <c r="G105" i="73"/>
  <c r="F105" i="73"/>
  <c r="E105" i="73"/>
  <c r="D105" i="73"/>
  <c r="C105" i="73" s="1"/>
  <c r="D104" i="73"/>
  <c r="C104" i="73" s="1"/>
  <c r="G103" i="73"/>
  <c r="F103" i="73"/>
  <c r="E103" i="73"/>
  <c r="D103" i="73"/>
  <c r="D102" i="73"/>
  <c r="C102" i="73" s="1"/>
  <c r="L101" i="73"/>
  <c r="K101" i="73"/>
  <c r="H101" i="73"/>
  <c r="D101" i="73"/>
  <c r="C100" i="73"/>
  <c r="C99" i="73"/>
  <c r="C98" i="73"/>
  <c r="L97" i="73"/>
  <c r="K97" i="73"/>
  <c r="H97" i="73"/>
  <c r="D97" i="73"/>
  <c r="C96" i="73"/>
  <c r="C95" i="73"/>
  <c r="D94" i="73"/>
  <c r="C94" i="73" s="1"/>
  <c r="L93" i="73"/>
  <c r="K93" i="73"/>
  <c r="C93" i="73" s="1"/>
  <c r="C92" i="73"/>
  <c r="L91" i="73"/>
  <c r="K91" i="73"/>
  <c r="H91" i="73"/>
  <c r="G91" i="73"/>
  <c r="F91" i="73"/>
  <c r="E91" i="73"/>
  <c r="D91" i="73"/>
  <c r="C90" i="73"/>
  <c r="C89" i="73"/>
  <c r="C88" i="73"/>
  <c r="C87" i="73"/>
  <c r="C86" i="73"/>
  <c r="L85" i="73"/>
  <c r="K85" i="73"/>
  <c r="L84" i="73"/>
  <c r="D84" i="73"/>
  <c r="C83" i="73"/>
  <c r="C82" i="73"/>
  <c r="L81" i="73"/>
  <c r="K81" i="73"/>
  <c r="H81" i="73"/>
  <c r="C80" i="73"/>
  <c r="C79" i="73"/>
  <c r="C78" i="73"/>
  <c r="C77" i="73"/>
  <c r="L76" i="73"/>
  <c r="K76" i="73"/>
  <c r="H76" i="73"/>
  <c r="D76" i="73"/>
  <c r="C75" i="73"/>
  <c r="C74" i="73"/>
  <c r="D73" i="73"/>
  <c r="C73" i="73" s="1"/>
  <c r="C72" i="73"/>
  <c r="D71" i="73"/>
  <c r="C71" i="73" s="1"/>
  <c r="D70" i="73"/>
  <c r="C70" i="73" s="1"/>
  <c r="D69" i="73"/>
  <c r="C69" i="73" s="1"/>
  <c r="D68" i="73"/>
  <c r="C68" i="73" s="1"/>
  <c r="D67" i="73"/>
  <c r="C67" i="73" s="1"/>
  <c r="D66" i="73"/>
  <c r="C66" i="73" s="1"/>
  <c r="D65" i="73"/>
  <c r="C65" i="73" s="1"/>
  <c r="D64" i="73"/>
  <c r="C64" i="73" s="1"/>
  <c r="D63" i="73"/>
  <c r="C63" i="73" s="1"/>
  <c r="D62" i="73"/>
  <c r="C62" i="73" s="1"/>
  <c r="D61" i="73"/>
  <c r="C61" i="73" s="1"/>
  <c r="D60" i="73"/>
  <c r="C60" i="73" s="1"/>
  <c r="D59" i="73"/>
  <c r="C59" i="73" s="1"/>
  <c r="D58" i="73"/>
  <c r="C58" i="73" s="1"/>
  <c r="D57" i="73"/>
  <c r="C57" i="73" s="1"/>
  <c r="D56" i="73"/>
  <c r="C56" i="73" s="1"/>
  <c r="D55" i="73"/>
  <c r="C55" i="73" s="1"/>
  <c r="D54" i="73"/>
  <c r="C54" i="73" s="1"/>
  <c r="D53" i="73"/>
  <c r="C53" i="73" s="1"/>
  <c r="D52" i="73"/>
  <c r="C52" i="73" s="1"/>
  <c r="D51" i="73"/>
  <c r="C51" i="73" s="1"/>
  <c r="D50" i="73"/>
  <c r="C50" i="73" s="1"/>
  <c r="D49" i="73"/>
  <c r="C49" i="73" s="1"/>
  <c r="D48" i="73"/>
  <c r="C48" i="73" s="1"/>
  <c r="D47" i="73"/>
  <c r="C47" i="73" s="1"/>
  <c r="D46" i="73"/>
  <c r="C46" i="73" s="1"/>
  <c r="D45" i="73"/>
  <c r="C45" i="73" s="1"/>
  <c r="D44" i="73"/>
  <c r="C44" i="73" s="1"/>
  <c r="D43" i="73"/>
  <c r="C43" i="73" s="1"/>
  <c r="L42" i="73"/>
  <c r="K42" i="73"/>
  <c r="J42" i="73"/>
  <c r="I42" i="73"/>
  <c r="G42" i="73"/>
  <c r="G40" i="73" s="1"/>
  <c r="E42" i="73"/>
  <c r="C42" i="73" s="1"/>
  <c r="C41" i="73"/>
  <c r="L40" i="73"/>
  <c r="K40" i="73"/>
  <c r="H40" i="73"/>
  <c r="F40" i="73"/>
  <c r="D40" i="73"/>
  <c r="C39" i="73"/>
  <c r="C38" i="73"/>
  <c r="D37" i="73"/>
  <c r="C37" i="73" s="1"/>
  <c r="I36" i="73"/>
  <c r="C36" i="73" s="1"/>
  <c r="D35" i="73"/>
  <c r="C35" i="73"/>
  <c r="D34" i="73"/>
  <c r="C34" i="73"/>
  <c r="D33" i="73"/>
  <c r="C33" i="73"/>
  <c r="D32" i="73"/>
  <c r="C32" i="73"/>
  <c r="D31" i="73"/>
  <c r="C31" i="73"/>
  <c r="D30" i="73"/>
  <c r="C30" i="73"/>
  <c r="D29" i="73"/>
  <c r="C29" i="73"/>
  <c r="D28" i="73"/>
  <c r="C28" i="73"/>
  <c r="D27" i="73"/>
  <c r="C27" i="73"/>
  <c r="D26" i="73"/>
  <c r="C26" i="73"/>
  <c r="D25" i="73"/>
  <c r="C25" i="73"/>
  <c r="D24" i="73"/>
  <c r="C24" i="73"/>
  <c r="D23" i="73"/>
  <c r="C23" i="73"/>
  <c r="D22" i="73"/>
  <c r="C22" i="73"/>
  <c r="D21" i="73"/>
  <c r="C21" i="73"/>
  <c r="D20" i="73"/>
  <c r="C20" i="73"/>
  <c r="D19" i="73"/>
  <c r="C19" i="73"/>
  <c r="D18" i="73"/>
  <c r="C18" i="73"/>
  <c r="D17" i="73"/>
  <c r="C17" i="73"/>
  <c r="D16" i="73"/>
  <c r="C16" i="73"/>
  <c r="D15" i="73"/>
  <c r="C15" i="73"/>
  <c r="D14" i="73"/>
  <c r="C14" i="73"/>
  <c r="D13" i="73"/>
  <c r="C13" i="73"/>
  <c r="D12" i="73"/>
  <c r="C12" i="73"/>
  <c r="D11" i="73"/>
  <c r="C11" i="73"/>
  <c r="L10" i="73"/>
  <c r="K10" i="73"/>
  <c r="J10" i="73"/>
  <c r="I10" i="73"/>
  <c r="H10" i="73"/>
  <c r="G10" i="73"/>
  <c r="F10" i="73"/>
  <c r="C10" i="73"/>
  <c r="C9" i="73"/>
  <c r="C8" i="73"/>
  <c r="D7" i="73"/>
  <c r="C7" i="73"/>
  <c r="L6" i="73"/>
  <c r="K6" i="73"/>
  <c r="K5" i="73" s="1"/>
  <c r="J6" i="73"/>
  <c r="J5" i="73" s="1"/>
  <c r="J4" i="73" s="1"/>
  <c r="I6" i="73"/>
  <c r="I5" i="73" s="1"/>
  <c r="H6" i="73"/>
  <c r="H5" i="73" s="1"/>
  <c r="H4" i="73" s="1"/>
  <c r="G6" i="73"/>
  <c r="G5" i="73" s="1"/>
  <c r="F6" i="73"/>
  <c r="F5" i="73" s="1"/>
  <c r="E6" i="73"/>
  <c r="L5" i="73"/>
  <c r="L4" i="73" s="1"/>
  <c r="D5" i="73"/>
  <c r="D4" i="73" s="1"/>
  <c r="E40" i="73" l="1"/>
  <c r="C40" i="73" s="1"/>
  <c r="C76" i="73"/>
  <c r="C81" i="73"/>
  <c r="C91" i="73"/>
  <c r="C97" i="73"/>
  <c r="C103" i="73"/>
  <c r="F101" i="73"/>
  <c r="E101" i="73"/>
  <c r="K148" i="73"/>
  <c r="C148" i="73" s="1"/>
  <c r="H269" i="73"/>
  <c r="D270" i="73"/>
  <c r="D269" i="73" s="1"/>
  <c r="P334" i="73"/>
  <c r="Q334" i="73" s="1"/>
  <c r="Q329" i="73"/>
  <c r="P329" i="73"/>
  <c r="H18" i="88"/>
  <c r="G7" i="88"/>
  <c r="L14" i="88" s="1"/>
  <c r="C336" i="73"/>
  <c r="C359" i="73"/>
  <c r="C163" i="73"/>
  <c r="K110" i="73"/>
  <c r="C120" i="73"/>
  <c r="D201" i="73"/>
  <c r="P291" i="73"/>
  <c r="F11" i="67" s="1"/>
  <c r="C248" i="73"/>
  <c r="P248" i="73" s="1"/>
  <c r="C225" i="73"/>
  <c r="Q382" i="73"/>
  <c r="P359" i="73"/>
  <c r="K11" i="67" s="1"/>
  <c r="Q290" i="73"/>
  <c r="P201" i="73"/>
  <c r="D11" i="67" s="1"/>
  <c r="C6" i="73"/>
  <c r="C5" i="73" s="1"/>
  <c r="I4" i="73"/>
  <c r="C201" i="73"/>
  <c r="K200" i="73"/>
  <c r="I200" i="73"/>
  <c r="L200" i="73"/>
  <c r="L3" i="73" s="1"/>
  <c r="F224" i="73"/>
  <c r="F247" i="73"/>
  <c r="C335" i="73"/>
  <c r="G200" i="73"/>
  <c r="F4" i="73"/>
  <c r="G101" i="73"/>
  <c r="G4" i="73" s="1"/>
  <c r="C110" i="73"/>
  <c r="J200" i="73"/>
  <c r="J3" i="73" s="1"/>
  <c r="C291" i="73"/>
  <c r="E200" i="73"/>
  <c r="C85" i="73"/>
  <c r="K84" i="73"/>
  <c r="C84" i="73" s="1"/>
  <c r="C101" i="73"/>
  <c r="C267" i="73"/>
  <c r="P267" i="73" s="1"/>
  <c r="H247" i="73"/>
  <c r="C269" i="73"/>
  <c r="C315" i="73"/>
  <c r="D314" i="73"/>
  <c r="E5" i="73"/>
  <c r="E4" i="73" s="1"/>
  <c r="C270" i="73"/>
  <c r="C21" i="67"/>
  <c r="E28" i="68" s="1"/>
  <c r="C26" i="67"/>
  <c r="E29" i="68" s="1"/>
  <c r="B29" i="68" s="1"/>
  <c r="C27" i="67"/>
  <c r="E30" i="68" s="1"/>
  <c r="B30" i="68" s="1"/>
  <c r="C28" i="67"/>
  <c r="E31" i="68" s="1"/>
  <c r="B31" i="68" s="1"/>
  <c r="B34" i="68"/>
  <c r="C31" i="67"/>
  <c r="E35" i="68" s="1"/>
  <c r="B35" i="68" s="1"/>
  <c r="C32" i="67"/>
  <c r="E36" i="68" s="1"/>
  <c r="B36" i="68" s="1"/>
  <c r="S18" i="72"/>
  <c r="S17" i="72"/>
  <c r="Q17" i="72"/>
  <c r="O18" i="72"/>
  <c r="O17" i="72"/>
  <c r="M17" i="72"/>
  <c r="M18" i="72"/>
  <c r="K18" i="72"/>
  <c r="K17" i="72"/>
  <c r="I18" i="72"/>
  <c r="I17" i="72"/>
  <c r="G18" i="72"/>
  <c r="G17" i="72"/>
  <c r="C11" i="72"/>
  <c r="C12" i="72"/>
  <c r="C13" i="72"/>
  <c r="C15" i="72"/>
  <c r="C22" i="72"/>
  <c r="C31" i="72"/>
  <c r="T25" i="72"/>
  <c r="T28" i="72" s="1"/>
  <c r="T29" i="72" s="1"/>
  <c r="T13" i="72"/>
  <c r="T9" i="72"/>
  <c r="T10" i="72" s="1"/>
  <c r="T11" i="72" s="1"/>
  <c r="T14" i="72" s="1"/>
  <c r="Q22" i="72"/>
  <c r="Q6" i="72" s="1"/>
  <c r="M22" i="72"/>
  <c r="M6" i="72" s="1"/>
  <c r="K22" i="72"/>
  <c r="K6" i="72" s="1"/>
  <c r="I22" i="72"/>
  <c r="I6" i="72" s="1"/>
  <c r="G22" i="72"/>
  <c r="G6" i="72" s="1"/>
  <c r="U10" i="72"/>
  <c r="E9" i="72"/>
  <c r="E10" i="72"/>
  <c r="C6" i="72" l="1"/>
  <c r="E6" i="72"/>
  <c r="Q270" i="73"/>
  <c r="Q269" i="73" s="1"/>
  <c r="P270" i="73"/>
  <c r="P225" i="73"/>
  <c r="Q225" i="73" s="1"/>
  <c r="P336" i="73"/>
  <c r="Q336" i="73" s="1"/>
  <c r="Q335" i="73" s="1"/>
  <c r="M20" i="67"/>
  <c r="M21" i="67" s="1"/>
  <c r="M23" i="67" s="1"/>
  <c r="B28" i="68"/>
  <c r="P335" i="73"/>
  <c r="J11" i="67" s="1"/>
  <c r="E25" i="68"/>
  <c r="B25" i="68" s="1"/>
  <c r="T23" i="72"/>
  <c r="T27" i="72"/>
  <c r="C4" i="73"/>
  <c r="P269" i="73"/>
  <c r="H11" i="67" s="1"/>
  <c r="P247" i="73"/>
  <c r="E11" i="67" s="1"/>
  <c r="E3" i="73"/>
  <c r="Q359" i="73"/>
  <c r="F200" i="73"/>
  <c r="F3" i="73" s="1"/>
  <c r="C224" i="73"/>
  <c r="I3" i="73"/>
  <c r="G3" i="73"/>
  <c r="D313" i="73"/>
  <c r="C314" i="73"/>
  <c r="P314" i="73" s="1"/>
  <c r="Q314" i="73" s="1"/>
  <c r="Q313" i="73" s="1"/>
  <c r="H200" i="73"/>
  <c r="H3" i="73" s="1"/>
  <c r="C247" i="73"/>
  <c r="K4" i="73"/>
  <c r="K3" i="73" s="1"/>
  <c r="K12" i="67"/>
  <c r="I12" i="67"/>
  <c r="D12" i="67"/>
  <c r="D8" i="67" s="1"/>
  <c r="C11" i="67" l="1"/>
  <c r="L35" i="68" s="1"/>
  <c r="L38" i="68"/>
  <c r="T204" i="73"/>
  <c r="P224" i="73"/>
  <c r="I11" i="67" s="1"/>
  <c r="P313" i="73"/>
  <c r="S15" i="31"/>
  <c r="Q15" i="31" s="1"/>
  <c r="S17" i="31"/>
  <c r="Q17" i="31" s="1"/>
  <c r="J12" i="67"/>
  <c r="F12" i="67"/>
  <c r="E12" i="67"/>
  <c r="K8" i="67"/>
  <c r="G12" i="67"/>
  <c r="H12" i="67"/>
  <c r="C29" i="67"/>
  <c r="E32" i="68" s="1"/>
  <c r="S10" i="31"/>
  <c r="Q10" i="31" s="1"/>
  <c r="I8" i="67"/>
  <c r="C20" i="67"/>
  <c r="E21" i="68" s="1"/>
  <c r="C313" i="73"/>
  <c r="Q312" i="73" s="1"/>
  <c r="D200" i="73"/>
  <c r="L13" i="31"/>
  <c r="L17" i="31"/>
  <c r="L10" i="31"/>
  <c r="L12" i="31"/>
  <c r="L14" i="31"/>
  <c r="P200" i="73" l="1"/>
  <c r="B32" i="68"/>
  <c r="C22" i="67"/>
  <c r="E33" i="68" s="1"/>
  <c r="H19" i="67"/>
  <c r="AA20" i="67"/>
  <c r="AA21" i="67" s="1"/>
  <c r="AA23" i="67" s="1"/>
  <c r="S20" i="67"/>
  <c r="S21" i="67" s="1"/>
  <c r="S23" i="67" s="1"/>
  <c r="S14" i="31"/>
  <c r="Q14" i="31" s="1"/>
  <c r="S11" i="31"/>
  <c r="S12" i="31"/>
  <c r="Q12" i="31" s="1"/>
  <c r="H8" i="67"/>
  <c r="Z20" i="67"/>
  <c r="Z21" i="67" s="1"/>
  <c r="Z23" i="67" s="1"/>
  <c r="K19" i="67"/>
  <c r="K17" i="31" s="1"/>
  <c r="T20" i="67"/>
  <c r="T21" i="67" s="1"/>
  <c r="T23" i="67" s="1"/>
  <c r="R20" i="67"/>
  <c r="R21" i="67" s="1"/>
  <c r="R23" i="67" s="1"/>
  <c r="W20" i="67"/>
  <c r="W21" i="67" s="1"/>
  <c r="W23" i="67" s="1"/>
  <c r="S13" i="31"/>
  <c r="Q13" i="31" s="1"/>
  <c r="G8" i="67"/>
  <c r="S16" i="31"/>
  <c r="Q16" i="31" s="1"/>
  <c r="J8" i="67"/>
  <c r="F8" i="67"/>
  <c r="B21" i="68"/>
  <c r="C200" i="73"/>
  <c r="C3" i="73" s="1"/>
  <c r="D3" i="73"/>
  <c r="N45" i="72"/>
  <c r="R44" i="72"/>
  <c r="R45" i="72" s="1"/>
  <c r="R46" i="72" s="1"/>
  <c r="N44" i="72"/>
  <c r="L44" i="72"/>
  <c r="L45" i="72" s="1"/>
  <c r="L46" i="72" s="1"/>
  <c r="J44" i="72"/>
  <c r="J45" i="72" s="1"/>
  <c r="J46" i="72" s="1"/>
  <c r="H44" i="72"/>
  <c r="H45" i="72" s="1"/>
  <c r="H46" i="72" s="1"/>
  <c r="F44" i="72"/>
  <c r="F45" i="72" s="1"/>
  <c r="F46" i="72" s="1"/>
  <c r="D44" i="72"/>
  <c r="D45" i="72" s="1"/>
  <c r="D46" i="72" s="1"/>
  <c r="R43" i="72"/>
  <c r="N43" i="72"/>
  <c r="L43" i="72"/>
  <c r="J43" i="72"/>
  <c r="H43" i="72"/>
  <c r="F43" i="72"/>
  <c r="D43" i="72"/>
  <c r="V38" i="72"/>
  <c r="T33" i="72"/>
  <c r="T38" i="72"/>
  <c r="K29" i="68" l="1"/>
  <c r="K30" i="68" s="1"/>
  <c r="Q3" i="73"/>
  <c r="B33" i="68"/>
  <c r="T203" i="73"/>
  <c r="T206" i="73" s="1"/>
  <c r="T207" i="73" s="1"/>
  <c r="T208" i="73" s="1"/>
  <c r="K14" i="31"/>
  <c r="N46" i="72"/>
  <c r="N47" i="72" s="1"/>
  <c r="C23" i="67"/>
  <c r="E22" i="68" s="1"/>
  <c r="G19" i="67"/>
  <c r="E71" i="25"/>
  <c r="C73" i="25"/>
  <c r="C71" i="25" s="1"/>
  <c r="U5" i="72"/>
  <c r="U13" i="72" s="1"/>
  <c r="E8" i="67"/>
  <c r="C12" i="67"/>
  <c r="C8" i="67" s="1"/>
  <c r="L15" i="31"/>
  <c r="I19" i="67"/>
  <c r="Y19" i="67" s="1"/>
  <c r="L16" i="31"/>
  <c r="J19" i="67"/>
  <c r="Q11" i="31"/>
  <c r="Q9" i="31" s="1"/>
  <c r="S9" i="31"/>
  <c r="K10" i="31"/>
  <c r="C24" i="67"/>
  <c r="E24" i="68" s="1"/>
  <c r="K12" i="31"/>
  <c r="L11" i="31"/>
  <c r="E19" i="67"/>
  <c r="H47" i="72"/>
  <c r="F47" i="72"/>
  <c r="D47" i="72"/>
  <c r="L47" i="72"/>
  <c r="R47" i="72"/>
  <c r="J47" i="72"/>
  <c r="E20" i="87" l="1"/>
  <c r="C19" i="67"/>
  <c r="E20" i="68"/>
  <c r="X24" i="67"/>
  <c r="K13" i="31"/>
  <c r="L9" i="31"/>
  <c r="K16" i="31"/>
  <c r="K15" i="31"/>
  <c r="C8" i="39"/>
  <c r="K11" i="31"/>
  <c r="B24" i="68"/>
  <c r="B26" i="68"/>
  <c r="R199" i="73"/>
  <c r="F20" i="87" l="1"/>
  <c r="D10" i="88"/>
  <c r="E29" i="87"/>
  <c r="E21" i="87"/>
  <c r="K9" i="31"/>
  <c r="S9" i="52"/>
  <c r="D9" i="52" s="1"/>
  <c r="C9" i="52" s="1"/>
  <c r="N13" i="52"/>
  <c r="D13" i="52" s="1"/>
  <c r="N18" i="51"/>
  <c r="G18" i="51"/>
  <c r="I8" i="51"/>
  <c r="D27" i="45"/>
  <c r="D11" i="88" l="1"/>
  <c r="D8" i="88" s="1"/>
  <c r="E18" i="87"/>
  <c r="F10" i="88"/>
  <c r="F8" i="88" s="1"/>
  <c r="F29" i="87"/>
  <c r="H30" i="87" s="1"/>
  <c r="H31" i="87" s="1"/>
  <c r="H33" i="87" s="1"/>
  <c r="F18" i="87"/>
  <c r="F16" i="87" s="1"/>
  <c r="E30" i="87"/>
  <c r="E27" i="87" s="1"/>
  <c r="J8" i="51"/>
  <c r="S8" i="52"/>
  <c r="H52" i="44"/>
  <c r="H53" i="44"/>
  <c r="H54" i="44"/>
  <c r="H55" i="44"/>
  <c r="H56" i="44"/>
  <c r="H57" i="44"/>
  <c r="H58" i="44"/>
  <c r="F51" i="44"/>
  <c r="F50" i="44"/>
  <c r="Z49" i="44"/>
  <c r="Z48" i="44"/>
  <c r="Z47" i="44"/>
  <c r="Z46" i="44"/>
  <c r="X46" i="44"/>
  <c r="V46" i="44"/>
  <c r="T46" i="44"/>
  <c r="R46" i="44"/>
  <c r="P46" i="44"/>
  <c r="N46" i="44"/>
  <c r="L46" i="44"/>
  <c r="J46" i="44"/>
  <c r="Z45" i="44"/>
  <c r="F45" i="44" s="1"/>
  <c r="E45" i="44"/>
  <c r="Z44" i="44"/>
  <c r="F44" i="44" s="1"/>
  <c r="E44" i="44"/>
  <c r="Z43" i="44"/>
  <c r="F43" i="44" s="1"/>
  <c r="E43" i="44"/>
  <c r="Z42" i="44"/>
  <c r="F42" i="44" s="1"/>
  <c r="H42" i="44" s="1"/>
  <c r="E42" i="44"/>
  <c r="Z41" i="44"/>
  <c r="Z40" i="44"/>
  <c r="Z39" i="44"/>
  <c r="Y38" i="44"/>
  <c r="Z38" i="44" s="1"/>
  <c r="X38" i="44"/>
  <c r="W38" i="44"/>
  <c r="V38" i="44"/>
  <c r="U38" i="44"/>
  <c r="T38" i="44"/>
  <c r="S38" i="44"/>
  <c r="R38" i="44"/>
  <c r="Q38" i="44"/>
  <c r="P38" i="44"/>
  <c r="O38" i="44"/>
  <c r="N38" i="44"/>
  <c r="M38" i="44"/>
  <c r="L38" i="44"/>
  <c r="K38" i="44"/>
  <c r="J38" i="44"/>
  <c r="I38" i="44"/>
  <c r="Z37" i="44"/>
  <c r="Z36" i="44"/>
  <c r="Z35" i="44"/>
  <c r="Z34" i="44"/>
  <c r="Z33" i="44"/>
  <c r="X32" i="44"/>
  <c r="V32" i="44"/>
  <c r="T32" i="44"/>
  <c r="R32" i="44"/>
  <c r="P32" i="44"/>
  <c r="N32" i="44"/>
  <c r="L32" i="44"/>
  <c r="J32" i="44"/>
  <c r="Z31" i="44"/>
  <c r="Z30" i="44"/>
  <c r="Z27" i="44"/>
  <c r="Z26" i="44"/>
  <c r="Z25" i="44"/>
  <c r="Y24" i="44"/>
  <c r="X24" i="44"/>
  <c r="W24" i="44"/>
  <c r="V24" i="44"/>
  <c r="U24" i="44"/>
  <c r="T24" i="44"/>
  <c r="S24" i="44"/>
  <c r="R24" i="44"/>
  <c r="Q24" i="44"/>
  <c r="P24" i="44"/>
  <c r="O24" i="44"/>
  <c r="N24" i="44"/>
  <c r="M24" i="44"/>
  <c r="L24" i="44"/>
  <c r="K24" i="44"/>
  <c r="J24" i="44"/>
  <c r="I24" i="44"/>
  <c r="Z22" i="44"/>
  <c r="Z21" i="44"/>
  <c r="Z20" i="44"/>
  <c r="Y20" i="44"/>
  <c r="X20" i="44"/>
  <c r="W20" i="44"/>
  <c r="V20" i="44"/>
  <c r="U20" i="44"/>
  <c r="T20" i="44"/>
  <c r="S20" i="44"/>
  <c r="R20" i="44"/>
  <c r="Q20" i="44"/>
  <c r="P20" i="44"/>
  <c r="O20" i="44"/>
  <c r="N20" i="44"/>
  <c r="M20" i="44"/>
  <c r="L20" i="44"/>
  <c r="K20" i="44"/>
  <c r="J20" i="44"/>
  <c r="I20" i="44"/>
  <c r="Z17" i="44"/>
  <c r="Z16" i="44"/>
  <c r="AB15" i="44"/>
  <c r="Z15" i="44"/>
  <c r="AB14" i="44"/>
  <c r="AB16" i="44" s="1"/>
  <c r="Y14" i="44"/>
  <c r="X14" i="44"/>
  <c r="W14" i="44"/>
  <c r="V14" i="44"/>
  <c r="U14" i="44"/>
  <c r="T14" i="44"/>
  <c r="S14" i="44"/>
  <c r="R14" i="44"/>
  <c r="Q14" i="44"/>
  <c r="P14" i="44"/>
  <c r="O14" i="44"/>
  <c r="N14" i="44"/>
  <c r="M14" i="44"/>
  <c r="L14" i="44"/>
  <c r="K14" i="44"/>
  <c r="J14" i="44"/>
  <c r="I14" i="44"/>
  <c r="F13" i="44"/>
  <c r="AB9" i="44"/>
  <c r="AB11" i="44" s="1"/>
  <c r="Y9" i="44"/>
  <c r="Y8" i="44" s="1"/>
  <c r="Y7" i="44" s="1"/>
  <c r="X9" i="44"/>
  <c r="W9" i="44"/>
  <c r="W8" i="44" s="1"/>
  <c r="W7" i="44" s="1"/>
  <c r="V9" i="44"/>
  <c r="U9" i="44"/>
  <c r="U8" i="44" s="1"/>
  <c r="U7" i="44" s="1"/>
  <c r="T9" i="44"/>
  <c r="S9" i="44"/>
  <c r="S8" i="44" s="1"/>
  <c r="S7" i="44" s="1"/>
  <c r="R9" i="44"/>
  <c r="Q9" i="44"/>
  <c r="Q8" i="44" s="1"/>
  <c r="Q7" i="44" s="1"/>
  <c r="P9" i="44"/>
  <c r="O9" i="44"/>
  <c r="O8" i="44" s="1"/>
  <c r="O7" i="44" s="1"/>
  <c r="N9" i="44"/>
  <c r="M9" i="44"/>
  <c r="M8" i="44" s="1"/>
  <c r="M7" i="44" s="1"/>
  <c r="L9" i="44"/>
  <c r="K9" i="44"/>
  <c r="K8" i="44" s="1"/>
  <c r="K7" i="44" s="1"/>
  <c r="J9" i="44"/>
  <c r="I9" i="44"/>
  <c r="I8" i="44" s="1"/>
  <c r="I7" i="44" s="1"/>
  <c r="X8" i="44"/>
  <c r="V8" i="44"/>
  <c r="V7" i="44" s="1"/>
  <c r="T8" i="44"/>
  <c r="R8" i="44"/>
  <c r="R7" i="44" s="1"/>
  <c r="P8" i="44"/>
  <c r="N8" i="44"/>
  <c r="N7" i="44" s="1"/>
  <c r="L8" i="44"/>
  <c r="L7" i="44" s="1"/>
  <c r="J8" i="44"/>
  <c r="J7" i="44" s="1"/>
  <c r="AA7" i="44"/>
  <c r="X7" i="44"/>
  <c r="T7" i="44"/>
  <c r="P7" i="44"/>
  <c r="F47" i="44"/>
  <c r="D50" i="66"/>
  <c r="D51" i="66"/>
  <c r="D29" i="66"/>
  <c r="F29" i="44" s="1"/>
  <c r="D19" i="66"/>
  <c r="F18" i="44" s="1"/>
  <c r="D20" i="66"/>
  <c r="F19" i="44" s="1"/>
  <c r="F11" i="44"/>
  <c r="D14" i="66"/>
  <c r="Z16" i="66"/>
  <c r="D48" i="66"/>
  <c r="F48" i="44" s="1"/>
  <c r="Z15" i="66"/>
  <c r="Z17" i="66" s="1"/>
  <c r="Z10" i="66"/>
  <c r="Z12" i="66" s="1"/>
  <c r="X31" i="66"/>
  <c r="D31" i="66" s="1"/>
  <c r="F31" i="44" s="1"/>
  <c r="H31" i="44" s="1"/>
  <c r="X33" i="66"/>
  <c r="D33" i="66" s="1"/>
  <c r="F33" i="44" s="1"/>
  <c r="X34" i="66"/>
  <c r="D34" i="66" s="1"/>
  <c r="F34" i="44" s="1"/>
  <c r="X36" i="66"/>
  <c r="D36" i="66" s="1"/>
  <c r="X37" i="66"/>
  <c r="D37" i="66" s="1"/>
  <c r="F39" i="44"/>
  <c r="X42" i="66"/>
  <c r="D42" i="66" s="1"/>
  <c r="X43" i="66"/>
  <c r="D43" i="66" s="1"/>
  <c r="X44" i="66"/>
  <c r="D44" i="66" s="1"/>
  <c r="X45" i="66"/>
  <c r="D45" i="66" s="1"/>
  <c r="X47" i="66"/>
  <c r="X49" i="66"/>
  <c r="D49" i="66" s="1"/>
  <c r="F49" i="44" s="1"/>
  <c r="X30" i="66"/>
  <c r="D30" i="66" s="1"/>
  <c r="F30" i="44" s="1"/>
  <c r="X26" i="66"/>
  <c r="D26" i="66" s="1"/>
  <c r="F26" i="44" s="1"/>
  <c r="H26" i="44" s="1"/>
  <c r="D27" i="66"/>
  <c r="F27" i="44" s="1"/>
  <c r="X25" i="66"/>
  <c r="D25" i="66" s="1"/>
  <c r="F25" i="44" s="1"/>
  <c r="X23" i="66"/>
  <c r="D23" i="66" s="1"/>
  <c r="F22" i="44" s="1"/>
  <c r="X22" i="66"/>
  <c r="X17" i="66"/>
  <c r="D17" i="66" s="1"/>
  <c r="X18" i="66"/>
  <c r="D18" i="66" s="1"/>
  <c r="F17" i="44" s="1"/>
  <c r="C49" i="66"/>
  <c r="C48" i="66"/>
  <c r="E48" i="44" s="1"/>
  <c r="C47" i="66"/>
  <c r="E47" i="44" s="1"/>
  <c r="C46" i="66"/>
  <c r="E46" i="44" s="1"/>
  <c r="C45" i="66"/>
  <c r="C44" i="66"/>
  <c r="C43" i="66"/>
  <c r="C42" i="66"/>
  <c r="C41" i="66"/>
  <c r="E40" i="44"/>
  <c r="E39" i="44"/>
  <c r="W38" i="66"/>
  <c r="I12" i="38"/>
  <c r="I10" i="38"/>
  <c r="I9" i="38"/>
  <c r="F38" i="66"/>
  <c r="E38" i="66"/>
  <c r="C35" i="66"/>
  <c r="C34" i="66"/>
  <c r="E34" i="44" s="1"/>
  <c r="C33" i="66"/>
  <c r="E33" i="44" s="1"/>
  <c r="T32" i="66"/>
  <c r="N32" i="66"/>
  <c r="J32" i="66"/>
  <c r="D32" i="66" s="1"/>
  <c r="C32" i="66"/>
  <c r="C31" i="66"/>
  <c r="E31" i="44" s="1"/>
  <c r="C30" i="66"/>
  <c r="C28" i="66"/>
  <c r="X28" i="66" s="1"/>
  <c r="C27" i="66"/>
  <c r="E27" i="44" s="1"/>
  <c r="C26" i="66"/>
  <c r="E26" i="44" s="1"/>
  <c r="C25" i="66"/>
  <c r="E25" i="44" s="1"/>
  <c r="W24" i="66"/>
  <c r="H16" i="38" s="1"/>
  <c r="V24" i="66"/>
  <c r="U24" i="66"/>
  <c r="H15" i="38" s="1"/>
  <c r="T24" i="66"/>
  <c r="S24" i="66"/>
  <c r="H14" i="38" s="1"/>
  <c r="R24" i="66"/>
  <c r="Q24" i="66"/>
  <c r="H13" i="38" s="1"/>
  <c r="P24" i="66"/>
  <c r="O24" i="66"/>
  <c r="H12" i="38" s="1"/>
  <c r="N24" i="66"/>
  <c r="M24" i="66"/>
  <c r="H11" i="38" s="1"/>
  <c r="L24" i="66"/>
  <c r="K24" i="66"/>
  <c r="H10" i="38" s="1"/>
  <c r="I24" i="66"/>
  <c r="H9" i="38" s="1"/>
  <c r="G24" i="66"/>
  <c r="H8" i="38" s="1"/>
  <c r="F24" i="66"/>
  <c r="E24" i="66"/>
  <c r="C23" i="66"/>
  <c r="E22" i="44" s="1"/>
  <c r="C22" i="66"/>
  <c r="W21" i="66"/>
  <c r="G16" i="38" s="1"/>
  <c r="V21" i="66"/>
  <c r="U21" i="66"/>
  <c r="T21" i="66"/>
  <c r="S21" i="66"/>
  <c r="R21" i="66"/>
  <c r="Q21" i="66"/>
  <c r="P21" i="66"/>
  <c r="O21" i="66"/>
  <c r="N21" i="66"/>
  <c r="M21" i="66"/>
  <c r="L21" i="66"/>
  <c r="K21" i="66"/>
  <c r="J21" i="66"/>
  <c r="I21" i="66"/>
  <c r="H21" i="66"/>
  <c r="G21" i="66"/>
  <c r="F21" i="66"/>
  <c r="E21" i="66"/>
  <c r="C18" i="66"/>
  <c r="E17" i="44" s="1"/>
  <c r="C17" i="66"/>
  <c r="C16" i="66"/>
  <c r="E15" i="44" s="1"/>
  <c r="W15" i="66"/>
  <c r="F16" i="38" s="1"/>
  <c r="V15" i="66"/>
  <c r="U15" i="66"/>
  <c r="T15" i="66"/>
  <c r="S15" i="66"/>
  <c r="F14" i="38" s="1"/>
  <c r="R15" i="66"/>
  <c r="Q15" i="66"/>
  <c r="F13" i="38" s="1"/>
  <c r="P15" i="66"/>
  <c r="O15" i="66"/>
  <c r="F12" i="38" s="1"/>
  <c r="N15" i="66"/>
  <c r="M15" i="66"/>
  <c r="F11" i="38" s="1"/>
  <c r="L15" i="66"/>
  <c r="K15" i="66"/>
  <c r="F10" i="38" s="1"/>
  <c r="J15" i="66"/>
  <c r="I15" i="66"/>
  <c r="F9" i="38" s="1"/>
  <c r="H15" i="66"/>
  <c r="G15" i="66"/>
  <c r="F8" i="38" s="1"/>
  <c r="F15" i="66"/>
  <c r="E15" i="66"/>
  <c r="E11" i="44"/>
  <c r="W10" i="66"/>
  <c r="E16" i="38" s="1"/>
  <c r="V10" i="66"/>
  <c r="U10" i="66"/>
  <c r="T10" i="66"/>
  <c r="T9" i="66" s="1"/>
  <c r="S10" i="66"/>
  <c r="R10" i="66"/>
  <c r="R9" i="66" s="1"/>
  <c r="Q10" i="66"/>
  <c r="P10" i="66"/>
  <c r="P9" i="66" s="1"/>
  <c r="O10" i="66"/>
  <c r="N10" i="66"/>
  <c r="N9" i="66" s="1"/>
  <c r="M10" i="66"/>
  <c r="L10" i="66"/>
  <c r="L9" i="66" s="1"/>
  <c r="K10" i="66"/>
  <c r="J10" i="66"/>
  <c r="J9" i="66" s="1"/>
  <c r="I10" i="66"/>
  <c r="H10" i="66"/>
  <c r="H9" i="66" s="1"/>
  <c r="G10" i="66"/>
  <c r="F10" i="66"/>
  <c r="E10" i="66"/>
  <c r="Y8" i="66"/>
  <c r="D50" i="44"/>
  <c r="D51" i="44"/>
  <c r="H43" i="44"/>
  <c r="H44" i="44"/>
  <c r="H45" i="44"/>
  <c r="H46" i="44"/>
  <c r="G9" i="51"/>
  <c r="D11" i="61"/>
  <c r="F27" i="87" l="1"/>
  <c r="F25" i="87" s="1"/>
  <c r="H25" i="87" s="1"/>
  <c r="E8" i="38"/>
  <c r="G9" i="66"/>
  <c r="E9" i="38"/>
  <c r="I9" i="66"/>
  <c r="E10" i="38"/>
  <c r="D10" i="38" s="1"/>
  <c r="C10" i="38" s="1"/>
  <c r="K9" i="66"/>
  <c r="E11" i="38"/>
  <c r="M9" i="66"/>
  <c r="E12" i="38"/>
  <c r="O9" i="66"/>
  <c r="E13" i="38"/>
  <c r="Q9" i="66"/>
  <c r="E14" i="38"/>
  <c r="S9" i="66"/>
  <c r="E15" i="38"/>
  <c r="U9" i="66"/>
  <c r="F9" i="66"/>
  <c r="F8" i="66" s="1"/>
  <c r="W9" i="66"/>
  <c r="X15" i="66"/>
  <c r="V9" i="66"/>
  <c r="V8" i="66" s="1"/>
  <c r="E9" i="66"/>
  <c r="E8" i="66" s="1"/>
  <c r="Z14" i="44"/>
  <c r="E35" i="44"/>
  <c r="D18" i="86"/>
  <c r="E18" i="86" s="1"/>
  <c r="D35" i="66"/>
  <c r="F16" i="44"/>
  <c r="H16" i="44" s="1"/>
  <c r="H8" i="66"/>
  <c r="E30" i="44"/>
  <c r="D17" i="86"/>
  <c r="E17" i="86" s="1"/>
  <c r="D21" i="86"/>
  <c r="E21" i="86" s="1"/>
  <c r="E49" i="44"/>
  <c r="X38" i="66"/>
  <c r="C38" i="66"/>
  <c r="E32" i="44"/>
  <c r="D20" i="86"/>
  <c r="E20" i="86" s="1"/>
  <c r="L8" i="66"/>
  <c r="T8" i="66"/>
  <c r="F33" i="87"/>
  <c r="I18" i="88"/>
  <c r="F7" i="88"/>
  <c r="M10" i="88" s="1"/>
  <c r="G29" i="87"/>
  <c r="G16" i="87"/>
  <c r="U8" i="66"/>
  <c r="H17" i="61" s="1"/>
  <c r="S8" i="66"/>
  <c r="H16" i="61" s="1"/>
  <c r="Q8" i="66"/>
  <c r="H15" i="61" s="1"/>
  <c r="O8" i="66"/>
  <c r="H14" i="61" s="1"/>
  <c r="D12" i="38"/>
  <c r="M8" i="66"/>
  <c r="H13" i="61" s="1"/>
  <c r="K8" i="66"/>
  <c r="H12" i="61" s="1"/>
  <c r="I8" i="66"/>
  <c r="H11" i="61" s="1"/>
  <c r="F40" i="44"/>
  <c r="D8" i="38"/>
  <c r="C15" i="66"/>
  <c r="D14" i="86" s="1"/>
  <c r="E16" i="44"/>
  <c r="E14" i="44" s="1"/>
  <c r="G8" i="66"/>
  <c r="H10" i="61" s="1"/>
  <c r="D28" i="66"/>
  <c r="E28" i="44"/>
  <c r="Z28" i="44" s="1"/>
  <c r="X21" i="66"/>
  <c r="C21" i="66"/>
  <c r="D15" i="86" s="1"/>
  <c r="E15" i="86" s="1"/>
  <c r="E21" i="44"/>
  <c r="E20" i="44" s="1"/>
  <c r="D22" i="66"/>
  <c r="D16" i="66"/>
  <c r="F15" i="44" s="1"/>
  <c r="F14" i="44" s="1"/>
  <c r="D11" i="66"/>
  <c r="E10" i="44"/>
  <c r="G10" i="44" s="1"/>
  <c r="F41" i="44"/>
  <c r="E41" i="44"/>
  <c r="AC32" i="66"/>
  <c r="F8" i="74"/>
  <c r="E17" i="67"/>
  <c r="L8" i="74"/>
  <c r="K17" i="67"/>
  <c r="K8" i="74"/>
  <c r="J17" i="67"/>
  <c r="J8" i="74"/>
  <c r="I17" i="67"/>
  <c r="I8" i="74"/>
  <c r="H17" i="67"/>
  <c r="H8" i="74"/>
  <c r="G17" i="67"/>
  <c r="G8" i="74"/>
  <c r="F17" i="67"/>
  <c r="E8" i="74"/>
  <c r="D17" i="67"/>
  <c r="W8" i="66"/>
  <c r="D6" i="74" s="1"/>
  <c r="F12" i="44"/>
  <c r="C10" i="66"/>
  <c r="D13" i="86" s="1"/>
  <c r="E12" i="44"/>
  <c r="Z12" i="44" s="1"/>
  <c r="H17" i="44"/>
  <c r="D10" i="61"/>
  <c r="G10" i="51"/>
  <c r="L10" i="51"/>
  <c r="G17" i="51"/>
  <c r="L17" i="51"/>
  <c r="G17" i="44"/>
  <c r="G25" i="44"/>
  <c r="G27" i="44"/>
  <c r="G30" i="44"/>
  <c r="G31" i="44"/>
  <c r="G32" i="44"/>
  <c r="G33" i="44"/>
  <c r="G35" i="44"/>
  <c r="G36" i="44"/>
  <c r="G37" i="44"/>
  <c r="G43" i="44"/>
  <c r="G44" i="44"/>
  <c r="G49" i="44"/>
  <c r="G51" i="44"/>
  <c r="D39" i="44"/>
  <c r="H22" i="44"/>
  <c r="H27" i="44"/>
  <c r="H49" i="44"/>
  <c r="D36" i="44"/>
  <c r="H36" i="44" s="1"/>
  <c r="G11" i="44"/>
  <c r="G26" i="44"/>
  <c r="G34" i="44"/>
  <c r="C39" i="44"/>
  <c r="G42" i="44"/>
  <c r="G45" i="44"/>
  <c r="G46" i="44"/>
  <c r="G48" i="44"/>
  <c r="D37" i="44"/>
  <c r="H37" i="44" s="1"/>
  <c r="H30" i="44"/>
  <c r="H48" i="44"/>
  <c r="H34" i="44"/>
  <c r="H33" i="44"/>
  <c r="C24" i="66"/>
  <c r="D16" i="86" s="1"/>
  <c r="E16" i="86" s="1"/>
  <c r="J6" i="74"/>
  <c r="G6" i="74"/>
  <c r="X24" i="66"/>
  <c r="E6" i="74"/>
  <c r="L9" i="51"/>
  <c r="Z24" i="44"/>
  <c r="Z10" i="44"/>
  <c r="X10" i="66"/>
  <c r="F7" i="67" l="1"/>
  <c r="F40" i="67" s="1"/>
  <c r="F42" i="67" s="1"/>
  <c r="H6" i="74"/>
  <c r="L7" i="74"/>
  <c r="L9" i="74" s="1"/>
  <c r="L25" i="74" s="1"/>
  <c r="L33" i="74" s="1"/>
  <c r="K7" i="67"/>
  <c r="K40" i="67" s="1"/>
  <c r="K42" i="67" s="1"/>
  <c r="C9" i="66"/>
  <c r="G27" i="87"/>
  <c r="G25" i="87" s="1"/>
  <c r="I25" i="87" s="1"/>
  <c r="I30" i="87"/>
  <c r="I31" i="87" s="1"/>
  <c r="I33" i="87" s="1"/>
  <c r="G21" i="44"/>
  <c r="D38" i="66"/>
  <c r="D7" i="67"/>
  <c r="D40" i="67" s="1"/>
  <c r="D42" i="67" s="1"/>
  <c r="E7" i="74"/>
  <c r="AD372" i="97"/>
  <c r="AC372" i="97" s="1"/>
  <c r="AD183" i="84"/>
  <c r="AC183" i="84" s="1"/>
  <c r="AD367" i="97"/>
  <c r="AC367" i="97" s="1"/>
  <c r="AD178" i="84"/>
  <c r="AC178" i="84" s="1"/>
  <c r="AD370" i="97"/>
  <c r="AC370" i="97" s="1"/>
  <c r="AD181" i="84"/>
  <c r="AC181" i="84" s="1"/>
  <c r="AD365" i="97"/>
  <c r="AC365" i="97" s="1"/>
  <c r="AD176" i="84"/>
  <c r="AC176" i="84" s="1"/>
  <c r="AD371" i="97"/>
  <c r="AC371" i="97" s="1"/>
  <c r="AD182" i="84"/>
  <c r="AC182" i="84" s="1"/>
  <c r="F10" i="44"/>
  <c r="D10" i="66"/>
  <c r="X35" i="66"/>
  <c r="X9" i="66" s="1"/>
  <c r="E8" i="87" s="1"/>
  <c r="F35" i="44"/>
  <c r="H35" i="44" s="1"/>
  <c r="D19" i="86"/>
  <c r="E19" i="86" s="1"/>
  <c r="E38" i="44"/>
  <c r="G38" i="44" s="1"/>
  <c r="J7" i="67"/>
  <c r="J40" i="67" s="1"/>
  <c r="J42" i="67" s="1"/>
  <c r="I6" i="74"/>
  <c r="AD369" i="97"/>
  <c r="AC369" i="97" s="1"/>
  <c r="AD180" i="84"/>
  <c r="AC180" i="84" s="1"/>
  <c r="AD366" i="97"/>
  <c r="AC366" i="97" s="1"/>
  <c r="AD177" i="84"/>
  <c r="AC177" i="84" s="1"/>
  <c r="AD368" i="97"/>
  <c r="AD179" i="84"/>
  <c r="P8" i="66"/>
  <c r="N8" i="66"/>
  <c r="K7" i="74"/>
  <c r="K9" i="74" s="1"/>
  <c r="K101" i="74" s="1"/>
  <c r="K102" i="74" s="1"/>
  <c r="G7" i="74"/>
  <c r="G9" i="74" s="1"/>
  <c r="G101" i="74" s="1"/>
  <c r="G102" i="74" s="1"/>
  <c r="R8" i="66"/>
  <c r="J8" i="66"/>
  <c r="E7" i="67" s="1"/>
  <c r="E49" i="67" s="1"/>
  <c r="E50" i="67" s="1"/>
  <c r="E51" i="67" s="1"/>
  <c r="G14" i="67"/>
  <c r="G13" i="67" s="1"/>
  <c r="E9" i="44"/>
  <c r="E8" i="44" s="1"/>
  <c r="L6" i="74"/>
  <c r="K6" i="74"/>
  <c r="AD10" i="66"/>
  <c r="G41" i="44"/>
  <c r="G16" i="44"/>
  <c r="F6" i="74"/>
  <c r="G12" i="44"/>
  <c r="D24" i="66"/>
  <c r="F28" i="44"/>
  <c r="F24" i="44" s="1"/>
  <c r="G28" i="44"/>
  <c r="E24" i="44"/>
  <c r="F21" i="44"/>
  <c r="F20" i="44" s="1"/>
  <c r="H20" i="44" s="1"/>
  <c r="D21" i="66"/>
  <c r="D15" i="66"/>
  <c r="AD8" i="66"/>
  <c r="J11" i="31"/>
  <c r="E11" i="31" s="1"/>
  <c r="D11" i="31" s="1"/>
  <c r="C11" i="31" s="1"/>
  <c r="E14" i="67"/>
  <c r="E13" i="67" s="1"/>
  <c r="AC33" i="66"/>
  <c r="K14" i="67"/>
  <c r="K13" i="67" s="1"/>
  <c r="J17" i="31"/>
  <c r="E17" i="31" s="1"/>
  <c r="D17" i="31" s="1"/>
  <c r="C17" i="31" s="1"/>
  <c r="J16" i="31"/>
  <c r="E16" i="31" s="1"/>
  <c r="D16" i="31" s="1"/>
  <c r="C16" i="31" s="1"/>
  <c r="J14" i="67"/>
  <c r="J13" i="67" s="1"/>
  <c r="I14" i="67"/>
  <c r="I13" i="67" s="1"/>
  <c r="J15" i="31"/>
  <c r="E15" i="31" s="1"/>
  <c r="D15" i="31" s="1"/>
  <c r="C15" i="31" s="1"/>
  <c r="H14" i="67"/>
  <c r="H13" i="67" s="1"/>
  <c r="J14" i="31"/>
  <c r="E14" i="31" s="1"/>
  <c r="D14" i="31" s="1"/>
  <c r="C14" i="31" s="1"/>
  <c r="H7" i="67"/>
  <c r="J13" i="31"/>
  <c r="E13" i="31" s="1"/>
  <c r="D13" i="31" s="1"/>
  <c r="C13" i="31" s="1"/>
  <c r="F14" i="67"/>
  <c r="F13" i="67" s="1"/>
  <c r="J12" i="31"/>
  <c r="E12" i="31" s="1"/>
  <c r="D12" i="31" s="1"/>
  <c r="C12" i="31" s="1"/>
  <c r="D14" i="67"/>
  <c r="D13" i="67" s="1"/>
  <c r="J10" i="31"/>
  <c r="E10" i="31" s="1"/>
  <c r="D10" i="31" s="1"/>
  <c r="C10" i="31" s="1"/>
  <c r="C17" i="67"/>
  <c r="G14" i="51"/>
  <c r="L14" i="51"/>
  <c r="G12" i="51"/>
  <c r="L12" i="51"/>
  <c r="G20" i="44"/>
  <c r="G22" i="44"/>
  <c r="G15" i="44"/>
  <c r="C14" i="44"/>
  <c r="G15" i="51"/>
  <c r="L15" i="51"/>
  <c r="H41" i="44"/>
  <c r="H11" i="44"/>
  <c r="I7" i="74"/>
  <c r="I9" i="74" s="1"/>
  <c r="I25" i="74" s="1"/>
  <c r="L15" i="74"/>
  <c r="L101" i="74"/>
  <c r="L102" i="74" s="1"/>
  <c r="K49" i="67"/>
  <c r="K50" i="67" s="1"/>
  <c r="K51" i="67" s="1"/>
  <c r="K6" i="67"/>
  <c r="J49" i="67"/>
  <c r="J50" i="67" s="1"/>
  <c r="J51" i="67" s="1"/>
  <c r="J6" i="67"/>
  <c r="F49" i="67"/>
  <c r="F50" i="67" s="1"/>
  <c r="F51" i="67" s="1"/>
  <c r="F6" i="67"/>
  <c r="E9" i="74"/>
  <c r="G16" i="51"/>
  <c r="L16" i="51"/>
  <c r="G24" i="44"/>
  <c r="L13" i="51"/>
  <c r="G13" i="51"/>
  <c r="L11" i="51"/>
  <c r="G11" i="51"/>
  <c r="H8" i="51"/>
  <c r="C9" i="44"/>
  <c r="C8" i="44" s="1"/>
  <c r="Z9" i="44"/>
  <c r="Z8" i="44" s="1"/>
  <c r="Z7" i="44" s="1"/>
  <c r="G33" i="87" l="1"/>
  <c r="D49" i="67"/>
  <c r="D50" i="67" s="1"/>
  <c r="D6" i="67"/>
  <c r="H7" i="74"/>
  <c r="H9" i="74" s="1"/>
  <c r="H15" i="74" s="1"/>
  <c r="H17" i="74" s="1"/>
  <c r="D9" i="66"/>
  <c r="C13" i="86"/>
  <c r="E13" i="86" s="1"/>
  <c r="G8" i="44"/>
  <c r="E7" i="44"/>
  <c r="F38" i="44"/>
  <c r="H38" i="44" s="1"/>
  <c r="C6" i="74"/>
  <c r="G7" i="67"/>
  <c r="G40" i="67" s="1"/>
  <c r="G42" i="67" s="1"/>
  <c r="AC179" i="84"/>
  <c r="AD174" i="84"/>
  <c r="D9" i="86"/>
  <c r="D6" i="86" s="1"/>
  <c r="C8" i="66"/>
  <c r="AC368" i="97"/>
  <c r="AD363" i="97"/>
  <c r="AD10" i="97" s="1"/>
  <c r="G14" i="44"/>
  <c r="C14" i="86"/>
  <c r="E14" i="86" s="1"/>
  <c r="F7" i="74"/>
  <c r="F9" i="74" s="1"/>
  <c r="I7" i="67"/>
  <c r="I49" i="67" s="1"/>
  <c r="I50" i="67" s="1"/>
  <c r="I51" i="67" s="1"/>
  <c r="J7" i="74"/>
  <c r="J9" i="74" s="1"/>
  <c r="J25" i="74" s="1"/>
  <c r="E15" i="74"/>
  <c r="E25" i="74"/>
  <c r="E33" i="74" s="1"/>
  <c r="G15" i="74"/>
  <c r="G25" i="74"/>
  <c r="G33" i="74" s="1"/>
  <c r="K15" i="74"/>
  <c r="K25" i="74"/>
  <c r="K33" i="74" s="1"/>
  <c r="M7" i="67"/>
  <c r="S7" i="67"/>
  <c r="Z6" i="67"/>
  <c r="Z8" i="67" s="1"/>
  <c r="AA6" i="67"/>
  <c r="H6" i="67"/>
  <c r="H40" i="67"/>
  <c r="H42" i="67" s="1"/>
  <c r="I6" i="67"/>
  <c r="L12" i="67" s="1"/>
  <c r="E6" i="67"/>
  <c r="M9" i="67" s="1"/>
  <c r="E40" i="67"/>
  <c r="E42" i="67" s="1"/>
  <c r="H49" i="67"/>
  <c r="H50" i="67" s="1"/>
  <c r="H51" i="67" s="1"/>
  <c r="I101" i="74"/>
  <c r="I102" i="74" s="1"/>
  <c r="I15" i="74"/>
  <c r="L20" i="67"/>
  <c r="J101" i="74"/>
  <c r="J102" i="74" s="1"/>
  <c r="H21" i="44"/>
  <c r="L19" i="67"/>
  <c r="AD32" i="66"/>
  <c r="C8" i="74"/>
  <c r="G15" i="68"/>
  <c r="E15" i="68"/>
  <c r="C14" i="67"/>
  <c r="J9" i="31"/>
  <c r="X8" i="66"/>
  <c r="D7" i="74" s="1"/>
  <c r="J38" i="67"/>
  <c r="J36" i="67" s="1"/>
  <c r="K38" i="67"/>
  <c r="K36" i="67" s="1"/>
  <c r="D13" i="61"/>
  <c r="D15" i="61"/>
  <c r="D17" i="61"/>
  <c r="D12" i="61"/>
  <c r="D14" i="61"/>
  <c r="D16" i="61"/>
  <c r="D14" i="44"/>
  <c r="H14" i="44" s="1"/>
  <c r="H15" i="44"/>
  <c r="H25" i="44"/>
  <c r="D24" i="44"/>
  <c r="H24" i="44" s="1"/>
  <c r="F9" i="44"/>
  <c r="H10" i="44"/>
  <c r="D51" i="67"/>
  <c r="E101" i="74"/>
  <c r="E102" i="74" s="1"/>
  <c r="AC12" i="44"/>
  <c r="G8" i="51"/>
  <c r="C9" i="86"/>
  <c r="G9" i="44"/>
  <c r="H101" i="74" l="1"/>
  <c r="H102" i="74" s="1"/>
  <c r="G49" i="67"/>
  <c r="G50" i="67" s="1"/>
  <c r="G51" i="67" s="1"/>
  <c r="G6" i="67"/>
  <c r="T7" i="67" s="1"/>
  <c r="T9" i="67" s="1"/>
  <c r="H25" i="74"/>
  <c r="J15" i="74"/>
  <c r="E9" i="86"/>
  <c r="E19" i="89"/>
  <c r="E15" i="89" s="1"/>
  <c r="E17" i="89" s="1"/>
  <c r="G10" i="68"/>
  <c r="K11" i="68" s="1"/>
  <c r="AC363" i="97"/>
  <c r="AC10" i="97" s="1"/>
  <c r="AK11" i="97" s="1"/>
  <c r="AC174" i="84"/>
  <c r="AD10" i="84"/>
  <c r="H18" i="74"/>
  <c r="C7" i="67"/>
  <c r="C6" i="67" s="1"/>
  <c r="L7" i="67" s="1"/>
  <c r="I40" i="67"/>
  <c r="I42" i="67" s="1"/>
  <c r="X7" i="67" s="1"/>
  <c r="X8" i="67" s="1"/>
  <c r="X11" i="67" s="1"/>
  <c r="F15" i="74"/>
  <c r="F101" i="74"/>
  <c r="F102" i="74" s="1"/>
  <c r="F25" i="74"/>
  <c r="F33" i="74" s="1"/>
  <c r="C33" i="74" s="1"/>
  <c r="E10" i="68"/>
  <c r="E29" i="89"/>
  <c r="E24" i="89" s="1"/>
  <c r="I17" i="74"/>
  <c r="L36" i="68" s="1"/>
  <c r="L39" i="68" s="1"/>
  <c r="L14" i="67"/>
  <c r="C6" i="86"/>
  <c r="E6" i="86" s="1"/>
  <c r="C40" i="67"/>
  <c r="C42" i="67" s="1"/>
  <c r="I38" i="67"/>
  <c r="I36" i="67" s="1"/>
  <c r="C7" i="74"/>
  <c r="D9" i="74"/>
  <c r="D15" i="74" s="1"/>
  <c r="D17" i="74" s="1"/>
  <c r="D18" i="74" s="1"/>
  <c r="C51" i="67"/>
  <c r="G38" i="67"/>
  <c r="C13" i="67"/>
  <c r="D8" i="66"/>
  <c r="F32" i="44"/>
  <c r="H32" i="44" s="1"/>
  <c r="E9" i="31"/>
  <c r="B15" i="68"/>
  <c r="H17" i="68" s="1"/>
  <c r="Z9" i="66"/>
  <c r="AC11" i="44"/>
  <c r="H28" i="44"/>
  <c r="D9" i="44"/>
  <c r="D8" i="44" s="1"/>
  <c r="H12" i="44"/>
  <c r="C7" i="44"/>
  <c r="G7" i="44" s="1"/>
  <c r="N9" i="58"/>
  <c r="C50" i="67" l="1"/>
  <c r="F8" i="44"/>
  <c r="E14" i="89"/>
  <c r="E10" i="89" s="1"/>
  <c r="E6" i="89" s="1"/>
  <c r="H38" i="67"/>
  <c r="H36" i="67" s="1"/>
  <c r="C43" i="39"/>
  <c r="I18" i="74"/>
  <c r="H7" i="68"/>
  <c r="H6" i="68" s="1"/>
  <c r="I6" i="68" s="1"/>
  <c r="K6" i="68" s="1"/>
  <c r="G8" i="85"/>
  <c r="G7" i="85" s="1"/>
  <c r="B10" i="68"/>
  <c r="G36" i="67"/>
  <c r="C38" i="67"/>
  <c r="C15" i="74"/>
  <c r="C17" i="74"/>
  <c r="L28" i="68" s="1"/>
  <c r="L31" i="68" s="1"/>
  <c r="L32" i="68" s="1"/>
  <c r="L33" i="68" s="1"/>
  <c r="C18" i="74"/>
  <c r="R2" i="73" s="1"/>
  <c r="T3" i="73" s="1"/>
  <c r="T200" i="73" s="1"/>
  <c r="T202" i="73" s="1"/>
  <c r="AF8" i="66"/>
  <c r="AF10" i="66" s="1"/>
  <c r="L15" i="67"/>
  <c r="E9" i="68"/>
  <c r="C9" i="31"/>
  <c r="D9" i="31"/>
  <c r="E27" i="50"/>
  <c r="C9" i="74"/>
  <c r="H9" i="44"/>
  <c r="AD12" i="44"/>
  <c r="H8" i="44" l="1"/>
  <c r="F7" i="44"/>
  <c r="AC9" i="44" s="1"/>
  <c r="D14" i="88"/>
  <c r="E14" i="88" s="1"/>
  <c r="D10" i="45"/>
  <c r="I14" i="68"/>
  <c r="I15" i="68"/>
  <c r="I16" i="68" s="1"/>
  <c r="E26" i="87"/>
  <c r="E25" i="87" s="1"/>
  <c r="E33" i="87" s="1"/>
  <c r="S219" i="73"/>
  <c r="S220" i="73" s="1"/>
  <c r="S222" i="73" s="1"/>
  <c r="S224" i="73" s="1"/>
  <c r="C36" i="67"/>
  <c r="AC8" i="66"/>
  <c r="AA10" i="66"/>
  <c r="E7" i="68"/>
  <c r="D7" i="44"/>
  <c r="H7" i="44" s="1"/>
  <c r="D34" i="45"/>
  <c r="D31" i="45"/>
  <c r="D13" i="88" l="1"/>
  <c r="E13" i="88" s="1"/>
  <c r="I9" i="55"/>
  <c r="H84" i="55"/>
  <c r="E84" i="55" s="1"/>
  <c r="E81" i="55" s="1"/>
  <c r="D12" i="88" l="1"/>
  <c r="E12" i="88" s="1"/>
  <c r="J9" i="55"/>
  <c r="H9" i="55"/>
  <c r="B51" i="68"/>
  <c r="D17" i="88" s="1"/>
  <c r="E17" i="88" s="1"/>
  <c r="D37" i="45"/>
  <c r="AB15" i="58"/>
  <c r="AB16" i="58"/>
  <c r="AB17" i="58"/>
  <c r="AB12" i="58"/>
  <c r="AB13" i="58"/>
  <c r="AB14" i="58"/>
  <c r="K9" i="58"/>
  <c r="X16" i="58"/>
  <c r="X11" i="58"/>
  <c r="X10" i="58"/>
  <c r="AK10" i="58" s="1"/>
  <c r="G68" i="57"/>
  <c r="E103" i="55" s="1"/>
  <c r="C103" i="55" s="1"/>
  <c r="G69" i="57"/>
  <c r="E104" i="55" s="1"/>
  <c r="C104" i="55" s="1"/>
  <c r="G70" i="57"/>
  <c r="E105" i="55" s="1"/>
  <c r="C105" i="55" s="1"/>
  <c r="C34" i="45"/>
  <c r="C31" i="45"/>
  <c r="L12" i="88" l="1"/>
  <c r="D7" i="88"/>
  <c r="C42" i="39"/>
  <c r="E31" i="45"/>
  <c r="C31" i="53"/>
  <c r="E34" i="45"/>
  <c r="C34" i="53"/>
  <c r="M11" i="58"/>
  <c r="C11" i="58" s="1"/>
  <c r="C12" i="58"/>
  <c r="AB9" i="58"/>
  <c r="M14" i="58"/>
  <c r="C14" i="58" s="1"/>
  <c r="C17" i="58"/>
  <c r="M13" i="58"/>
  <c r="C13" i="58" s="1"/>
  <c r="M15" i="58"/>
  <c r="C15" i="58" s="1"/>
  <c r="O9" i="58"/>
  <c r="M9" i="58" s="1"/>
  <c r="M16" i="58"/>
  <c r="C16" i="58" s="1"/>
  <c r="E10" i="49"/>
  <c r="C23" i="55"/>
  <c r="D20" i="50"/>
  <c r="D14" i="85"/>
  <c r="D15" i="85"/>
  <c r="E15" i="85" s="1"/>
  <c r="D12" i="47"/>
  <c r="E45" i="49"/>
  <c r="E44" i="49" s="1"/>
  <c r="F14" i="53"/>
  <c r="F16" i="53"/>
  <c r="I16" i="53" s="1"/>
  <c r="F13" i="53"/>
  <c r="E9" i="49"/>
  <c r="K54" i="65"/>
  <c r="P122" i="65"/>
  <c r="R122" i="65"/>
  <c r="X122" i="65"/>
  <c r="E14" i="85" l="1"/>
  <c r="D13" i="49"/>
  <c r="I13" i="53"/>
  <c r="D19" i="87"/>
  <c r="C30" i="53"/>
  <c r="E20" i="50"/>
  <c r="E37" i="45"/>
  <c r="I128" i="65"/>
  <c r="D42" i="49"/>
  <c r="E38" i="49"/>
  <c r="E37" i="49"/>
  <c r="E36" i="49"/>
  <c r="E33" i="49"/>
  <c r="AA23" i="65"/>
  <c r="M33" i="65"/>
  <c r="F11" i="57"/>
  <c r="G71" i="57"/>
  <c r="E106" i="55" s="1"/>
  <c r="C106" i="55" s="1"/>
  <c r="G72" i="57"/>
  <c r="E107" i="55" s="1"/>
  <c r="C107" i="55" s="1"/>
  <c r="G73" i="57"/>
  <c r="E108" i="55" s="1"/>
  <c r="C108" i="55" s="1"/>
  <c r="G74" i="57"/>
  <c r="E109" i="55" s="1"/>
  <c r="C109" i="55" s="1"/>
  <c r="G76" i="57"/>
  <c r="E111" i="55" s="1"/>
  <c r="C111" i="55" s="1"/>
  <c r="G77" i="57"/>
  <c r="E112" i="55" s="1"/>
  <c r="C112" i="55" s="1"/>
  <c r="F62" i="57"/>
  <c r="F21" i="57"/>
  <c r="C15" i="57"/>
  <c r="G78" i="57"/>
  <c r="E113" i="55" s="1"/>
  <c r="C113" i="55" s="1"/>
  <c r="G83" i="57"/>
  <c r="E118" i="55" s="1"/>
  <c r="C118" i="55" s="1"/>
  <c r="AD15" i="58" l="1"/>
  <c r="T15" i="58"/>
  <c r="E34" i="49"/>
  <c r="G34" i="53" s="1"/>
  <c r="E31" i="49"/>
  <c r="D37" i="49"/>
  <c r="D38" i="49"/>
  <c r="J34" i="53" l="1"/>
  <c r="G31" i="53"/>
  <c r="G30" i="53" s="1"/>
  <c r="E30" i="49"/>
  <c r="D26" i="49"/>
  <c r="J31" i="53" l="1"/>
  <c r="F43" i="49"/>
  <c r="E43" i="49"/>
  <c r="E29" i="49" s="1"/>
  <c r="G29" i="53" l="1"/>
  <c r="J30" i="53"/>
  <c r="F26" i="53"/>
  <c r="O33" i="65"/>
  <c r="E9" i="58"/>
  <c r="AE9" i="58" s="1"/>
  <c r="R9" i="58"/>
  <c r="G26" i="53" l="1"/>
  <c r="J52" i="65"/>
  <c r="J53" i="65"/>
  <c r="G11" i="65"/>
  <c r="G55" i="65"/>
  <c r="J26" i="53" l="1"/>
  <c r="G8" i="53"/>
  <c r="I123" i="65"/>
  <c r="K52" i="65"/>
  <c r="E53" i="65"/>
  <c r="K55" i="65"/>
  <c r="K125" i="65"/>
  <c r="E125" i="65" s="1"/>
  <c r="K127" i="65"/>
  <c r="E127" i="65" s="1"/>
  <c r="K130" i="65"/>
  <c r="E130" i="65" s="1"/>
  <c r="K131" i="65"/>
  <c r="H36" i="53" s="1"/>
  <c r="K132" i="65"/>
  <c r="E132" i="65" s="1"/>
  <c r="K133" i="65"/>
  <c r="E133" i="65" s="1"/>
  <c r="K134" i="65"/>
  <c r="E134" i="65" s="1"/>
  <c r="K135" i="65"/>
  <c r="E135" i="65" s="1"/>
  <c r="K136" i="65"/>
  <c r="E136" i="65" s="1"/>
  <c r="K137" i="65"/>
  <c r="E137" i="65" s="1"/>
  <c r="K138" i="65"/>
  <c r="E138" i="65" s="1"/>
  <c r="K139" i="65"/>
  <c r="E139" i="65" s="1"/>
  <c r="K140" i="65"/>
  <c r="E140" i="65" s="1"/>
  <c r="K141" i="65"/>
  <c r="K142" i="65"/>
  <c r="J39" i="65"/>
  <c r="J42" i="65"/>
  <c r="F36" i="53" l="1"/>
  <c r="I36" i="53" s="1"/>
  <c r="K36" i="53"/>
  <c r="J8" i="53"/>
  <c r="G7" i="53"/>
  <c r="E143" i="65"/>
  <c r="D41" i="49" s="1"/>
  <c r="F41" i="49"/>
  <c r="E142" i="65"/>
  <c r="F40" i="49"/>
  <c r="E141" i="65"/>
  <c r="F39" i="49"/>
  <c r="E131" i="65"/>
  <c r="D36" i="49" s="1"/>
  <c r="F36" i="49"/>
  <c r="J16" i="65"/>
  <c r="J17" i="65"/>
  <c r="K25" i="65"/>
  <c r="K26" i="65"/>
  <c r="K27" i="65"/>
  <c r="K29" i="65"/>
  <c r="K30" i="65"/>
  <c r="K31" i="65"/>
  <c r="K32" i="65"/>
  <c r="K34" i="65"/>
  <c r="K35" i="65"/>
  <c r="E35" i="65" s="1"/>
  <c r="K36" i="65"/>
  <c r="K24" i="65"/>
  <c r="F12" i="49" s="1"/>
  <c r="J25" i="65"/>
  <c r="J26" i="65"/>
  <c r="J27" i="65"/>
  <c r="J28" i="65"/>
  <c r="J29" i="65"/>
  <c r="J30" i="65"/>
  <c r="J31" i="65"/>
  <c r="J32" i="65"/>
  <c r="J34" i="65"/>
  <c r="C34" i="65" s="1"/>
  <c r="F34" i="65" s="1"/>
  <c r="J35" i="65"/>
  <c r="J36" i="65"/>
  <c r="C36" i="65" s="1"/>
  <c r="F36" i="65" s="1"/>
  <c r="J24" i="65"/>
  <c r="E12" i="53" s="1"/>
  <c r="K12" i="53" s="1"/>
  <c r="H27" i="65"/>
  <c r="I27" i="65" s="1"/>
  <c r="H30" i="65"/>
  <c r="I30" i="65" s="1"/>
  <c r="H31" i="65"/>
  <c r="I31" i="65" s="1"/>
  <c r="C35" i="65"/>
  <c r="F35" i="65" s="1"/>
  <c r="D18" i="50" l="1"/>
  <c r="L9" i="53" s="1"/>
  <c r="L10" i="53" s="1"/>
  <c r="H30" i="54"/>
  <c r="L8" i="53"/>
  <c r="C24" i="65"/>
  <c r="E27" i="65"/>
  <c r="E31" i="65"/>
  <c r="C32" i="65"/>
  <c r="F32" i="65" s="1"/>
  <c r="C30" i="65"/>
  <c r="F30" i="65" s="1"/>
  <c r="C28" i="65"/>
  <c r="F28" i="65" s="1"/>
  <c r="C26" i="65"/>
  <c r="F26" i="65" s="1"/>
  <c r="C31" i="65"/>
  <c r="F31" i="65" s="1"/>
  <c r="C27" i="65"/>
  <c r="C25" i="65"/>
  <c r="F25" i="65" s="1"/>
  <c r="F12" i="53"/>
  <c r="D39" i="49"/>
  <c r="F37" i="53"/>
  <c r="D40" i="49"/>
  <c r="F24" i="65"/>
  <c r="H29" i="65"/>
  <c r="I29" i="65" s="1"/>
  <c r="E15" i="54"/>
  <c r="D15" i="54" s="1"/>
  <c r="E19" i="54"/>
  <c r="D19" i="54" s="1"/>
  <c r="E23" i="54"/>
  <c r="D17" i="87" l="1"/>
  <c r="D12" i="49"/>
  <c r="I12" i="53"/>
  <c r="D11" i="54"/>
  <c r="D10" i="54" s="1"/>
  <c r="G31" i="65"/>
  <c r="C29" i="65"/>
  <c r="F29" i="65" s="1"/>
  <c r="H23" i="65"/>
  <c r="I25" i="65"/>
  <c r="L8" i="54" l="1"/>
  <c r="H10" i="65"/>
  <c r="H7" i="65" s="1"/>
  <c r="E24" i="54"/>
  <c r="E12" i="54"/>
  <c r="E24" i="65"/>
  <c r="E14" i="54"/>
  <c r="E26" i="65"/>
  <c r="G26" i="65" s="1"/>
  <c r="E20" i="54"/>
  <c r="E32" i="65"/>
  <c r="G32" i="65" s="1"/>
  <c r="E36" i="65"/>
  <c r="G36" i="65" s="1"/>
  <c r="E13" i="54"/>
  <c r="E25" i="65"/>
  <c r="E16" i="54"/>
  <c r="E18" i="54"/>
  <c r="E30" i="65"/>
  <c r="G30" i="65" s="1"/>
  <c r="E22" i="54"/>
  <c r="E34" i="65"/>
  <c r="G34" i="65" s="1"/>
  <c r="E17" i="54"/>
  <c r="E29" i="65"/>
  <c r="G29" i="65" s="1"/>
  <c r="G24" i="65" l="1"/>
  <c r="I23" i="65"/>
  <c r="E21" i="54"/>
  <c r="G87" i="57"/>
  <c r="E122" i="55" s="1"/>
  <c r="C122" i="55" s="1"/>
  <c r="G66" i="57"/>
  <c r="G67" i="57"/>
  <c r="E102" i="55" s="1"/>
  <c r="C102" i="55" s="1"/>
  <c r="G84" i="57"/>
  <c r="E119" i="55" s="1"/>
  <c r="C119" i="55" s="1"/>
  <c r="G86" i="57"/>
  <c r="E121" i="55" s="1"/>
  <c r="C121" i="55" s="1"/>
  <c r="C84" i="55"/>
  <c r="C12" i="55"/>
  <c r="C14" i="55"/>
  <c r="C15" i="55"/>
  <c r="C16" i="55"/>
  <c r="C17" i="55"/>
  <c r="C19" i="55"/>
  <c r="C20" i="55"/>
  <c r="C21" i="55"/>
  <c r="C22" i="55"/>
  <c r="C24" i="55"/>
  <c r="C25" i="55"/>
  <c r="C26" i="55"/>
  <c r="C27" i="55"/>
  <c r="C28" i="55"/>
  <c r="C29" i="55"/>
  <c r="C30" i="55"/>
  <c r="C31" i="55"/>
  <c r="C32" i="55"/>
  <c r="C33" i="55"/>
  <c r="C34" i="55"/>
  <c r="C35" i="55"/>
  <c r="C36" i="55"/>
  <c r="C37" i="55"/>
  <c r="F61" i="57"/>
  <c r="C63" i="57"/>
  <c r="C62" i="57"/>
  <c r="E101" i="55" l="1"/>
  <c r="G64" i="57"/>
  <c r="G7" i="57" s="1"/>
  <c r="E11" i="54"/>
  <c r="C101" i="55" l="1"/>
  <c r="C99" i="55" s="1"/>
  <c r="E99" i="55"/>
  <c r="I10" i="65"/>
  <c r="E10" i="54"/>
  <c r="E9" i="54" s="1"/>
  <c r="C58" i="57"/>
  <c r="C57" i="57"/>
  <c r="C56" i="57"/>
  <c r="C55" i="57"/>
  <c r="C54" i="57"/>
  <c r="C53" i="57"/>
  <c r="C52" i="57"/>
  <c r="C51" i="57"/>
  <c r="C50" i="57"/>
  <c r="C49" i="57"/>
  <c r="C48" i="57"/>
  <c r="C47" i="57"/>
  <c r="F46" i="57"/>
  <c r="E46" i="57"/>
  <c r="D46" i="57"/>
  <c r="C45" i="57"/>
  <c r="C44" i="57"/>
  <c r="C43" i="57"/>
  <c r="C42" i="57"/>
  <c r="C41" i="57"/>
  <c r="F40" i="57"/>
  <c r="E40" i="57"/>
  <c r="D40" i="57"/>
  <c r="C39" i="57"/>
  <c r="C38" i="57"/>
  <c r="C37" i="57" s="1"/>
  <c r="F37" i="57"/>
  <c r="E37" i="57"/>
  <c r="D37" i="57"/>
  <c r="C36" i="57"/>
  <c r="C35" i="57"/>
  <c r="C34" i="57"/>
  <c r="C33" i="57"/>
  <c r="C32" i="57"/>
  <c r="C31" i="57"/>
  <c r="C30" i="57"/>
  <c r="D29" i="57"/>
  <c r="C29" i="57" s="1"/>
  <c r="C28" i="57"/>
  <c r="C27" i="57"/>
  <c r="C26" i="57"/>
  <c r="C25" i="57"/>
  <c r="C24" i="57"/>
  <c r="C23" i="57"/>
  <c r="C22" i="57"/>
  <c r="C21" i="57"/>
  <c r="C20" i="57"/>
  <c r="C19" i="57"/>
  <c r="C18" i="57"/>
  <c r="C18" i="55"/>
  <c r="C17" i="57"/>
  <c r="C16" i="57"/>
  <c r="C14" i="57"/>
  <c r="C13" i="57"/>
  <c r="C12" i="57"/>
  <c r="C11" i="57"/>
  <c r="C10" i="57"/>
  <c r="C9" i="57"/>
  <c r="F8" i="57"/>
  <c r="F7" i="57" s="1"/>
  <c r="E8" i="57"/>
  <c r="D8" i="57"/>
  <c r="D7" i="57" s="1"/>
  <c r="C11" i="55" l="1"/>
  <c r="C13" i="55"/>
  <c r="C40" i="57"/>
  <c r="C46" i="57"/>
  <c r="C8" i="57"/>
  <c r="C9" i="55" l="1"/>
  <c r="E9" i="55"/>
  <c r="X17" i="58"/>
  <c r="C53" i="65" l="1"/>
  <c r="F38" i="65"/>
  <c r="F42" i="65"/>
  <c r="F48" i="65"/>
  <c r="G53" i="65" l="1"/>
  <c r="F53" i="65"/>
  <c r="C16" i="65"/>
  <c r="G16" i="65" s="1"/>
  <c r="C17" i="65"/>
  <c r="G17" i="65" s="1"/>
  <c r="C19" i="65"/>
  <c r="C22" i="65"/>
  <c r="C131" i="65"/>
  <c r="C129" i="65"/>
  <c r="F129" i="65" s="1"/>
  <c r="C126" i="65"/>
  <c r="F126" i="65" s="1"/>
  <c r="C124" i="65"/>
  <c r="F124" i="65" s="1"/>
  <c r="F37" i="65" l="1"/>
  <c r="G19" i="65"/>
  <c r="F19" i="65"/>
  <c r="F16" i="65"/>
  <c r="G131" i="65"/>
  <c r="F131" i="65"/>
  <c r="F17" i="65"/>
  <c r="C123" i="65"/>
  <c r="C128" i="65"/>
  <c r="F128" i="65" s="1"/>
  <c r="C122" i="65" l="1"/>
  <c r="C56" i="65" s="1"/>
  <c r="F123" i="65"/>
  <c r="K129" i="65"/>
  <c r="H35" i="53" s="1"/>
  <c r="K124" i="65"/>
  <c r="H32" i="53" s="1"/>
  <c r="F35" i="53" l="1"/>
  <c r="I35" i="53" s="1"/>
  <c r="D43" i="89"/>
  <c r="D41" i="89" s="1"/>
  <c r="K35" i="53"/>
  <c r="F32" i="53"/>
  <c r="K32" i="53"/>
  <c r="F122" i="65"/>
  <c r="E124" i="65"/>
  <c r="F32" i="49"/>
  <c r="E129" i="65"/>
  <c r="F35" i="49"/>
  <c r="X14" i="58"/>
  <c r="X15" i="58"/>
  <c r="K28" i="65"/>
  <c r="X12" i="58"/>
  <c r="X13" i="58"/>
  <c r="E128" i="65" l="1"/>
  <c r="D35" i="49"/>
  <c r="G124" i="65"/>
  <c r="D32" i="49"/>
  <c r="D47" i="89"/>
  <c r="D45" i="89" s="1"/>
  <c r="I32" i="53"/>
  <c r="G129" i="65"/>
  <c r="F34" i="49"/>
  <c r="H34" i="53" s="1"/>
  <c r="F34" i="53" s="1"/>
  <c r="E28" i="65"/>
  <c r="U23" i="65"/>
  <c r="C137" i="65"/>
  <c r="C136" i="65"/>
  <c r="C135" i="65"/>
  <c r="B130" i="65"/>
  <c r="B138" i="65" s="1"/>
  <c r="AA128" i="65"/>
  <c r="AA15" i="58" s="1"/>
  <c r="Z128" i="65"/>
  <c r="Y128" i="65"/>
  <c r="AA16" i="58" s="1"/>
  <c r="AN16" i="58" s="1"/>
  <c r="W128" i="65"/>
  <c r="AA17" i="58" s="1"/>
  <c r="AN17" i="58" s="1"/>
  <c r="AA12" i="58"/>
  <c r="AN12" i="58" s="1"/>
  <c r="AA10" i="58"/>
  <c r="Q128" i="65"/>
  <c r="AA13" i="58" s="1"/>
  <c r="O128" i="65"/>
  <c r="AA11" i="58" s="1"/>
  <c r="AN11" i="58" s="1"/>
  <c r="AA14" i="58"/>
  <c r="AN14" i="58" s="1"/>
  <c r="L123" i="65"/>
  <c r="AA123" i="65"/>
  <c r="Z123" i="65"/>
  <c r="Z122" i="65" s="1"/>
  <c r="Y123" i="65"/>
  <c r="W123" i="65"/>
  <c r="T122" i="65"/>
  <c r="Q123" i="65"/>
  <c r="O123" i="65"/>
  <c r="N123" i="65"/>
  <c r="N122" i="65" s="1"/>
  <c r="L54" i="65"/>
  <c r="J50" i="65"/>
  <c r="J49" i="65"/>
  <c r="J48" i="65"/>
  <c r="J47" i="65"/>
  <c r="J46" i="65"/>
  <c r="J45" i="65"/>
  <c r="J44" i="65"/>
  <c r="J43" i="65"/>
  <c r="J41" i="65"/>
  <c r="J40" i="65"/>
  <c r="J38" i="65"/>
  <c r="AA37" i="65"/>
  <c r="W15" i="58" s="1"/>
  <c r="Z37" i="65"/>
  <c r="Y37" i="65"/>
  <c r="W16" i="58" s="1"/>
  <c r="W37" i="65"/>
  <c r="W17" i="58" s="1"/>
  <c r="U37" i="65"/>
  <c r="W12" i="58" s="1"/>
  <c r="S37" i="65"/>
  <c r="Q37" i="65"/>
  <c r="W13" i="58" s="1"/>
  <c r="W11" i="58"/>
  <c r="N37" i="65"/>
  <c r="W33" i="65"/>
  <c r="K33" i="65" s="1"/>
  <c r="E33" i="65" s="1"/>
  <c r="V33" i="65"/>
  <c r="Z23" i="65"/>
  <c r="Y23" i="65"/>
  <c r="X23" i="65"/>
  <c r="T23" i="65"/>
  <c r="Q23" i="65"/>
  <c r="P23" i="65"/>
  <c r="O23" i="65"/>
  <c r="N23" i="65"/>
  <c r="M23" i="65"/>
  <c r="L23" i="65"/>
  <c r="L14" i="65"/>
  <c r="L12" i="65" s="1"/>
  <c r="L10" i="65" s="1"/>
  <c r="W14" i="65"/>
  <c r="AA14" i="65"/>
  <c r="AA12" i="65" s="1"/>
  <c r="Z14" i="65"/>
  <c r="Z12" i="65" s="1"/>
  <c r="Z8" i="65" s="1"/>
  <c r="Z7" i="65" s="1"/>
  <c r="Y14" i="65"/>
  <c r="Y12" i="65" s="1"/>
  <c r="X14" i="65"/>
  <c r="X12" i="65" s="1"/>
  <c r="X10" i="65" s="1"/>
  <c r="X8" i="65" s="1"/>
  <c r="X7" i="65" s="1"/>
  <c r="V14" i="65"/>
  <c r="V12" i="65" s="1"/>
  <c r="V8" i="65" s="1"/>
  <c r="U14" i="65"/>
  <c r="T14" i="65"/>
  <c r="T12" i="65" s="1"/>
  <c r="T10" i="65" s="1"/>
  <c r="T8" i="65" s="1"/>
  <c r="S12" i="65"/>
  <c r="R12" i="65"/>
  <c r="R10" i="65" s="1"/>
  <c r="R8" i="65" s="1"/>
  <c r="R7" i="65" s="1"/>
  <c r="Q12" i="65"/>
  <c r="P14" i="65"/>
  <c r="P12" i="65" s="1"/>
  <c r="O14" i="65"/>
  <c r="N14" i="65"/>
  <c r="N12" i="65" s="1"/>
  <c r="O12" i="65" s="1"/>
  <c r="U12" i="65"/>
  <c r="D29" i="54"/>
  <c r="D31" i="54"/>
  <c r="D34" i="54"/>
  <c r="D35" i="54"/>
  <c r="D36" i="54"/>
  <c r="D39" i="54"/>
  <c r="D40" i="54"/>
  <c r="I34" i="53" l="1"/>
  <c r="K34" i="53"/>
  <c r="Q8" i="65"/>
  <c r="V122" i="65"/>
  <c r="T7" i="65"/>
  <c r="W10" i="58"/>
  <c r="S9" i="65"/>
  <c r="S7" i="65" s="1"/>
  <c r="U3" i="65"/>
  <c r="G52" i="65"/>
  <c r="F52" i="65"/>
  <c r="L37" i="65"/>
  <c r="AD11" i="58"/>
  <c r="AD12" i="58"/>
  <c r="T12" i="58"/>
  <c r="K18" i="65"/>
  <c r="T14" i="58"/>
  <c r="AD14" i="58"/>
  <c r="T13" i="58"/>
  <c r="AD13" i="58"/>
  <c r="Z13" i="58"/>
  <c r="AM13" i="58" s="1"/>
  <c r="Q122" i="65"/>
  <c r="Q7" i="65" s="1"/>
  <c r="Z16" i="58"/>
  <c r="Y122" i="65"/>
  <c r="Z15" i="58"/>
  <c r="AM15" i="58" s="1"/>
  <c r="AA122" i="65"/>
  <c r="Y13" i="58"/>
  <c r="AL13" i="58" s="1"/>
  <c r="AN13" i="58"/>
  <c r="Y15" i="58"/>
  <c r="AL15" i="58" s="1"/>
  <c r="AN15" i="58"/>
  <c r="E23" i="65"/>
  <c r="T16" i="58"/>
  <c r="AD16" i="58"/>
  <c r="Z11" i="58"/>
  <c r="O122" i="65"/>
  <c r="Z10" i="58"/>
  <c r="Y10" i="58" s="1"/>
  <c r="Z12" i="58"/>
  <c r="Z17" i="58"/>
  <c r="W122" i="65"/>
  <c r="AN10" i="58"/>
  <c r="AA9" i="58"/>
  <c r="AN9" i="58" s="1"/>
  <c r="F23" i="49"/>
  <c r="H23" i="53"/>
  <c r="K23" i="53" s="1"/>
  <c r="U8" i="65"/>
  <c r="D32" i="54"/>
  <c r="D33" i="54"/>
  <c r="D38" i="54"/>
  <c r="D28" i="54"/>
  <c r="G38" i="65"/>
  <c r="G43" i="65"/>
  <c r="D37" i="54"/>
  <c r="G47" i="65"/>
  <c r="V23" i="65"/>
  <c r="J33" i="65"/>
  <c r="M37" i="65"/>
  <c r="W14" i="58" s="1"/>
  <c r="G54" i="65"/>
  <c r="J54" i="65"/>
  <c r="K23" i="65"/>
  <c r="F10" i="49" s="1"/>
  <c r="K14" i="65"/>
  <c r="Y8" i="65"/>
  <c r="C15" i="65"/>
  <c r="G15" i="65" s="1"/>
  <c r="J15" i="65"/>
  <c r="C18" i="65"/>
  <c r="C10" i="65" s="1"/>
  <c r="C9" i="65" s="1"/>
  <c r="C7" i="65" s="1"/>
  <c r="J18" i="65"/>
  <c r="J37" i="65"/>
  <c r="M123" i="65"/>
  <c r="K123" i="65" s="1"/>
  <c r="K126" i="65"/>
  <c r="H33" i="53" s="1"/>
  <c r="K128" i="65"/>
  <c r="K122" i="65" s="1"/>
  <c r="G28" i="65"/>
  <c r="L8" i="65"/>
  <c r="S8" i="65"/>
  <c r="W23" i="65"/>
  <c r="V7" i="65"/>
  <c r="L122" i="65"/>
  <c r="N10" i="65"/>
  <c r="N8" i="65" s="1"/>
  <c r="C12" i="65"/>
  <c r="P10" i="65"/>
  <c r="P8" i="65" s="1"/>
  <c r="P7" i="65" s="1"/>
  <c r="AA8" i="65"/>
  <c r="AA7" i="65" s="1"/>
  <c r="M14" i="65"/>
  <c r="M12" i="65" s="1"/>
  <c r="O8" i="65"/>
  <c r="W12" i="65"/>
  <c r="W8" i="65" s="1"/>
  <c r="K33" i="53" l="1"/>
  <c r="F33" i="53"/>
  <c r="I33" i="53" s="1"/>
  <c r="P10" i="58"/>
  <c r="E18" i="65"/>
  <c r="H15" i="53"/>
  <c r="K10" i="65"/>
  <c r="W7" i="65"/>
  <c r="K37" i="65"/>
  <c r="F21" i="49" s="1"/>
  <c r="L7" i="65"/>
  <c r="G18" i="65"/>
  <c r="F18" i="65"/>
  <c r="P13" i="58"/>
  <c r="P15" i="58"/>
  <c r="Z14" i="58"/>
  <c r="Z9" i="58" s="1"/>
  <c r="AM9" i="58" s="1"/>
  <c r="M122" i="65"/>
  <c r="C14" i="65"/>
  <c r="U7" i="65"/>
  <c r="AM17" i="58"/>
  <c r="Y17" i="58"/>
  <c r="AL17" i="58" s="1"/>
  <c r="AM12" i="58"/>
  <c r="Y12" i="58"/>
  <c r="AM10" i="58"/>
  <c r="AM11" i="58"/>
  <c r="Y11" i="58"/>
  <c r="AM16" i="58"/>
  <c r="Y16" i="58"/>
  <c r="AD17" i="58"/>
  <c r="T17" i="58"/>
  <c r="E126" i="65"/>
  <c r="F33" i="49"/>
  <c r="G23" i="53"/>
  <c r="E23" i="49"/>
  <c r="G128" i="65"/>
  <c r="F9" i="49"/>
  <c r="Y7" i="65"/>
  <c r="G42" i="65"/>
  <c r="J14" i="65"/>
  <c r="J10" i="65" s="1"/>
  <c r="J7" i="65" s="1"/>
  <c r="J23" i="65"/>
  <c r="C33" i="65"/>
  <c r="F33" i="65" s="1"/>
  <c r="O7" i="65"/>
  <c r="N7" i="65"/>
  <c r="E12" i="65"/>
  <c r="G12" i="65" s="1"/>
  <c r="G126" i="65" l="1"/>
  <c r="D33" i="49"/>
  <c r="H10" i="53"/>
  <c r="H9" i="53"/>
  <c r="E10" i="65"/>
  <c r="D15" i="49"/>
  <c r="D29" i="89"/>
  <c r="K15" i="53"/>
  <c r="F15" i="53"/>
  <c r="F23" i="53"/>
  <c r="J23" i="53"/>
  <c r="K7" i="65"/>
  <c r="H21" i="53"/>
  <c r="F10" i="65"/>
  <c r="F14" i="65"/>
  <c r="E14" i="65"/>
  <c r="P17" i="58"/>
  <c r="AL16" i="58"/>
  <c r="P16" i="58"/>
  <c r="AL11" i="58"/>
  <c r="P11" i="58"/>
  <c r="AL12" i="58"/>
  <c r="P12" i="58"/>
  <c r="D31" i="49"/>
  <c r="F31" i="49"/>
  <c r="AM14" i="58"/>
  <c r="Y14" i="58"/>
  <c r="Y9" i="58" s="1"/>
  <c r="AL9" i="58" s="1"/>
  <c r="AL10" i="58"/>
  <c r="E123" i="65"/>
  <c r="E122" i="65" s="1"/>
  <c r="F8" i="49"/>
  <c r="C23" i="65"/>
  <c r="F23" i="65" s="1"/>
  <c r="G33" i="65"/>
  <c r="M8" i="65"/>
  <c r="M7" i="65" s="1"/>
  <c r="D27" i="47" l="1"/>
  <c r="D26" i="47" s="1"/>
  <c r="D25" i="85"/>
  <c r="E56" i="65"/>
  <c r="G56" i="65" s="1"/>
  <c r="D31" i="89"/>
  <c r="D24" i="89" s="1"/>
  <c r="D14" i="89" s="1"/>
  <c r="K9" i="53"/>
  <c r="F9" i="53"/>
  <c r="D10" i="49"/>
  <c r="D9" i="49" s="1"/>
  <c r="D8" i="49" s="1"/>
  <c r="D20" i="47"/>
  <c r="D18" i="85"/>
  <c r="E9" i="65"/>
  <c r="K10" i="53"/>
  <c r="F10" i="53"/>
  <c r="K21" i="53"/>
  <c r="H8" i="53"/>
  <c r="F21" i="53"/>
  <c r="C8" i="65"/>
  <c r="F8" i="65" s="1"/>
  <c r="G14" i="65"/>
  <c r="F7" i="65"/>
  <c r="AL14" i="58"/>
  <c r="P14" i="58"/>
  <c r="G122" i="65"/>
  <c r="G123" i="65"/>
  <c r="H31" i="53"/>
  <c r="F31" i="53" s="1"/>
  <c r="F30" i="53" s="1"/>
  <c r="F30" i="49"/>
  <c r="F29" i="49" s="1"/>
  <c r="F7" i="49" s="1"/>
  <c r="G10" i="65"/>
  <c r="G23" i="65"/>
  <c r="E8" i="65"/>
  <c r="E7" i="65" l="1"/>
  <c r="G9" i="65"/>
  <c r="D24" i="85"/>
  <c r="E25" i="85"/>
  <c r="F25" i="85"/>
  <c r="F18" i="85"/>
  <c r="D17" i="85"/>
  <c r="E18" i="85"/>
  <c r="G8" i="65"/>
  <c r="K8" i="53"/>
  <c r="F8" i="53"/>
  <c r="K31" i="53"/>
  <c r="H30" i="53"/>
  <c r="D16" i="85" l="1"/>
  <c r="F17" i="85"/>
  <c r="E17" i="85"/>
  <c r="E24" i="85"/>
  <c r="F24" i="85"/>
  <c r="I30" i="53"/>
  <c r="I31" i="53"/>
  <c r="D30" i="54"/>
  <c r="D27" i="54" s="1"/>
  <c r="D9" i="54" s="1"/>
  <c r="H29" i="54" s="1"/>
  <c r="G40" i="65"/>
  <c r="E64" i="57"/>
  <c r="C64" i="57" s="1"/>
  <c r="E61" i="57"/>
  <c r="F28" i="54"/>
  <c r="E16" i="85" l="1"/>
  <c r="F16" i="85"/>
  <c r="G24" i="53"/>
  <c r="E24" i="49"/>
  <c r="C61" i="57"/>
  <c r="C7" i="57" s="1"/>
  <c r="E7" i="57"/>
  <c r="G46" i="65"/>
  <c r="G41" i="65"/>
  <c r="G49" i="65"/>
  <c r="G44" i="65"/>
  <c r="G39" i="65"/>
  <c r="G45" i="65"/>
  <c r="K11" i="25"/>
  <c r="C11" i="25" s="1"/>
  <c r="K12" i="25"/>
  <c r="C12" i="25" s="1"/>
  <c r="K13" i="25"/>
  <c r="C13" i="25" s="1"/>
  <c r="K14" i="25"/>
  <c r="C14" i="25" s="1"/>
  <c r="K15" i="25"/>
  <c r="C15" i="25" s="1"/>
  <c r="K16" i="25"/>
  <c r="C16" i="25" s="1"/>
  <c r="K17" i="25"/>
  <c r="C17" i="25" s="1"/>
  <c r="K18" i="25"/>
  <c r="C18" i="25" s="1"/>
  <c r="K19" i="25"/>
  <c r="C19" i="25" s="1"/>
  <c r="K20" i="25"/>
  <c r="C20" i="25" s="1"/>
  <c r="K21" i="25"/>
  <c r="C21" i="25" s="1"/>
  <c r="K22" i="25"/>
  <c r="C22" i="25" s="1"/>
  <c r="K23" i="25"/>
  <c r="C23" i="25" s="1"/>
  <c r="K24" i="25"/>
  <c r="C24" i="25" s="1"/>
  <c r="K25" i="25"/>
  <c r="C25" i="25" s="1"/>
  <c r="K26" i="25"/>
  <c r="C26" i="25" s="1"/>
  <c r="K27" i="25"/>
  <c r="C27" i="25" s="1"/>
  <c r="K28" i="25"/>
  <c r="C28" i="25" s="1"/>
  <c r="K29" i="25"/>
  <c r="C29" i="25" s="1"/>
  <c r="K30" i="25"/>
  <c r="C30" i="25" s="1"/>
  <c r="K31" i="25"/>
  <c r="C31" i="25" s="1"/>
  <c r="K32" i="25"/>
  <c r="C32" i="25" s="1"/>
  <c r="K33" i="25"/>
  <c r="C33" i="25" s="1"/>
  <c r="K34" i="25"/>
  <c r="C34" i="25" s="1"/>
  <c r="K10" i="25"/>
  <c r="C10" i="25" s="1"/>
  <c r="F71" i="25"/>
  <c r="G71" i="25"/>
  <c r="H71" i="25"/>
  <c r="J71" i="25"/>
  <c r="K71" i="25"/>
  <c r="L71" i="25"/>
  <c r="M71" i="25"/>
  <c r="N71" i="25"/>
  <c r="D68" i="25"/>
  <c r="E68" i="25"/>
  <c r="F68" i="25"/>
  <c r="G68" i="25"/>
  <c r="H68" i="25"/>
  <c r="J68" i="25"/>
  <c r="K68" i="25"/>
  <c r="L68" i="25"/>
  <c r="M68" i="25"/>
  <c r="N68" i="25"/>
  <c r="C68" i="25"/>
  <c r="F55" i="25"/>
  <c r="G55" i="25"/>
  <c r="H55" i="25"/>
  <c r="J55" i="25"/>
  <c r="K55" i="25"/>
  <c r="L55" i="25"/>
  <c r="M55" i="25"/>
  <c r="N55" i="25"/>
  <c r="F49" i="25"/>
  <c r="G49" i="25"/>
  <c r="H49" i="25"/>
  <c r="J49" i="25"/>
  <c r="K49" i="25"/>
  <c r="L49" i="25"/>
  <c r="M49" i="25"/>
  <c r="N49" i="25"/>
  <c r="D46" i="25"/>
  <c r="D8" i="25" s="1"/>
  <c r="E46" i="25"/>
  <c r="F46" i="25"/>
  <c r="G46" i="25"/>
  <c r="H46" i="25"/>
  <c r="J46" i="25"/>
  <c r="K46" i="25"/>
  <c r="L46" i="25"/>
  <c r="M46" i="25"/>
  <c r="N46" i="25"/>
  <c r="C46" i="25"/>
  <c r="F9" i="25"/>
  <c r="G9" i="25"/>
  <c r="H9" i="25"/>
  <c r="J9" i="25"/>
  <c r="L9" i="25"/>
  <c r="M9" i="25"/>
  <c r="N9" i="25"/>
  <c r="C10" i="39"/>
  <c r="Z6" i="52"/>
  <c r="U17" i="38"/>
  <c r="C17" i="38" s="1"/>
  <c r="D16" i="38"/>
  <c r="C16" i="38" s="1"/>
  <c r="D15" i="38"/>
  <c r="C15" i="38" s="1"/>
  <c r="D14" i="38"/>
  <c r="C14" i="38" s="1"/>
  <c r="D13" i="38"/>
  <c r="C13" i="38" s="1"/>
  <c r="C12" i="38"/>
  <c r="D11" i="38"/>
  <c r="C11" i="38" s="1"/>
  <c r="D9" i="38"/>
  <c r="C9" i="38" s="1"/>
  <c r="C8" i="38"/>
  <c r="W7" i="38"/>
  <c r="V7" i="38"/>
  <c r="T7" i="38"/>
  <c r="S7" i="38"/>
  <c r="R7" i="38"/>
  <c r="Q7" i="38"/>
  <c r="P7" i="38"/>
  <c r="O7" i="38"/>
  <c r="N7" i="38"/>
  <c r="M7" i="38"/>
  <c r="L7" i="38"/>
  <c r="K7" i="38"/>
  <c r="J7" i="38"/>
  <c r="I7" i="38"/>
  <c r="H7" i="38"/>
  <c r="G7" i="38"/>
  <c r="F7" i="38"/>
  <c r="E7" i="38"/>
  <c r="L10" i="61"/>
  <c r="L17" i="61"/>
  <c r="L16" i="61"/>
  <c r="L15" i="61"/>
  <c r="L14" i="61"/>
  <c r="L13" i="61"/>
  <c r="L12" i="61"/>
  <c r="L11" i="61"/>
  <c r="J9" i="61"/>
  <c r="I9" i="61"/>
  <c r="H9" i="61"/>
  <c r="E9" i="61"/>
  <c r="F9" i="61"/>
  <c r="D9" i="61"/>
  <c r="G17" i="61"/>
  <c r="G16" i="61"/>
  <c r="G15" i="61"/>
  <c r="G14" i="61"/>
  <c r="G13" i="61"/>
  <c r="G12" i="61"/>
  <c r="G11" i="61"/>
  <c r="G10" i="61"/>
  <c r="C11" i="61"/>
  <c r="C12" i="61"/>
  <c r="C13" i="61"/>
  <c r="C14" i="61"/>
  <c r="C15" i="61"/>
  <c r="C16" i="61"/>
  <c r="C17" i="61"/>
  <c r="C10" i="61"/>
  <c r="K10" i="61" s="1"/>
  <c r="M8" i="25" l="1"/>
  <c r="M7" i="25" s="1"/>
  <c r="K9" i="25"/>
  <c r="K8" i="25" s="1"/>
  <c r="K7" i="25" s="1"/>
  <c r="E8" i="25"/>
  <c r="E7" i="25" s="1"/>
  <c r="C9" i="25"/>
  <c r="C8" i="25" s="1"/>
  <c r="C7" i="25" s="1"/>
  <c r="F24" i="53"/>
  <c r="J24" i="53"/>
  <c r="K17" i="61"/>
  <c r="K12" i="61"/>
  <c r="K11" i="61"/>
  <c r="K13" i="61"/>
  <c r="D7" i="25"/>
  <c r="O8" i="25" s="1"/>
  <c r="N8" i="25"/>
  <c r="N7" i="25" s="1"/>
  <c r="L8" i="25"/>
  <c r="L7" i="25" s="1"/>
  <c r="J8" i="25"/>
  <c r="J7" i="25" s="1"/>
  <c r="G8" i="25"/>
  <c r="G7" i="25" s="1"/>
  <c r="H8" i="25"/>
  <c r="H7" i="25" s="1"/>
  <c r="F8" i="25"/>
  <c r="F7" i="25" s="1"/>
  <c r="K16" i="61"/>
  <c r="K15" i="61"/>
  <c r="K14" i="61"/>
  <c r="L9" i="61"/>
  <c r="G9" i="61"/>
  <c r="C9" i="61"/>
  <c r="U7" i="38"/>
  <c r="D7" i="38"/>
  <c r="C7" i="38"/>
  <c r="K9" i="61" l="1"/>
  <c r="I7" i="65"/>
  <c r="E21" i="49"/>
  <c r="G48" i="65"/>
  <c r="AK11" i="58"/>
  <c r="AK12" i="58"/>
  <c r="AK13" i="58"/>
  <c r="AK14" i="58"/>
  <c r="AK15" i="58"/>
  <c r="AK16" i="58"/>
  <c r="AK17" i="58"/>
  <c r="AJ11" i="58"/>
  <c r="AJ12" i="58"/>
  <c r="AJ13" i="58"/>
  <c r="AJ14" i="58"/>
  <c r="AJ15" i="58"/>
  <c r="AJ16" i="58"/>
  <c r="AJ17" i="58"/>
  <c r="AI11" i="58"/>
  <c r="AI12" i="58"/>
  <c r="AI13" i="58"/>
  <c r="AI14" i="58"/>
  <c r="AI15" i="58"/>
  <c r="AI16" i="58"/>
  <c r="AI17" i="58"/>
  <c r="AH11" i="58"/>
  <c r="AH12" i="58"/>
  <c r="AH13" i="58"/>
  <c r="AH14" i="58"/>
  <c r="AH15" i="58"/>
  <c r="AH16" i="58"/>
  <c r="AH17" i="58"/>
  <c r="AF11" i="58"/>
  <c r="AF12" i="58"/>
  <c r="AF13" i="58"/>
  <c r="AF14" i="58"/>
  <c r="AF15" i="58"/>
  <c r="AF16" i="58"/>
  <c r="AF17" i="58"/>
  <c r="AH10" i="58"/>
  <c r="AI10" i="58"/>
  <c r="AJ10" i="58"/>
  <c r="AF10" i="58"/>
  <c r="AE11" i="58"/>
  <c r="AE12" i="58"/>
  <c r="AE13" i="58"/>
  <c r="AE14" i="58"/>
  <c r="AE15" i="58"/>
  <c r="AE16" i="58"/>
  <c r="AE17" i="58"/>
  <c r="AE10" i="58"/>
  <c r="AD10" i="58"/>
  <c r="AC10" i="58"/>
  <c r="AC11" i="58"/>
  <c r="AC12" i="58"/>
  <c r="AC13" i="58"/>
  <c r="AC14" i="58"/>
  <c r="AC15" i="58"/>
  <c r="AC16" i="58"/>
  <c r="AC17" i="58"/>
  <c r="S9" i="58"/>
  <c r="T9" i="58"/>
  <c r="U9" i="58"/>
  <c r="V9" i="58"/>
  <c r="W9" i="58"/>
  <c r="X9" i="58"/>
  <c r="AK9" i="58" s="1"/>
  <c r="P9" i="58"/>
  <c r="C9" i="58"/>
  <c r="D96" i="55"/>
  <c r="E96" i="55"/>
  <c r="F96" i="55"/>
  <c r="G96" i="55"/>
  <c r="H96" i="55"/>
  <c r="I96" i="55"/>
  <c r="J96" i="55"/>
  <c r="K96" i="55"/>
  <c r="F81" i="55"/>
  <c r="G81" i="55"/>
  <c r="H81" i="55"/>
  <c r="I81" i="55"/>
  <c r="J81" i="55"/>
  <c r="K81" i="55"/>
  <c r="D75" i="55"/>
  <c r="D8" i="55" s="1"/>
  <c r="D7" i="55" s="1"/>
  <c r="E75" i="55"/>
  <c r="F75" i="55"/>
  <c r="G75" i="55"/>
  <c r="H75" i="55"/>
  <c r="I75" i="55"/>
  <c r="J75" i="55"/>
  <c r="K75" i="55"/>
  <c r="E72" i="55"/>
  <c r="E8" i="55" s="1"/>
  <c r="E7" i="55" s="1"/>
  <c r="F72" i="55"/>
  <c r="G72" i="55"/>
  <c r="H72" i="55"/>
  <c r="I72" i="55"/>
  <c r="J72" i="55"/>
  <c r="K72" i="55"/>
  <c r="F9" i="55"/>
  <c r="G9" i="55"/>
  <c r="K9" i="55"/>
  <c r="K8" i="55" s="1"/>
  <c r="C73" i="55"/>
  <c r="C74" i="55"/>
  <c r="C76" i="55"/>
  <c r="C77" i="55"/>
  <c r="C78" i="55"/>
  <c r="C79" i="55"/>
  <c r="C80" i="55"/>
  <c r="C82" i="55"/>
  <c r="C83" i="55"/>
  <c r="C85" i="55"/>
  <c r="C86" i="55"/>
  <c r="C87" i="55"/>
  <c r="C88" i="55"/>
  <c r="C89" i="55"/>
  <c r="C90" i="55"/>
  <c r="C91" i="55"/>
  <c r="C92" i="55"/>
  <c r="C93" i="55"/>
  <c r="C97" i="55"/>
  <c r="C123" i="55"/>
  <c r="C124" i="55"/>
  <c r="G10" i="54"/>
  <c r="G11" i="54"/>
  <c r="G12" i="54"/>
  <c r="G13" i="54"/>
  <c r="G14" i="54"/>
  <c r="G16" i="54"/>
  <c r="G17" i="54"/>
  <c r="G18" i="54"/>
  <c r="G20" i="54"/>
  <c r="G21" i="54"/>
  <c r="G22" i="54"/>
  <c r="G24" i="54"/>
  <c r="G25" i="54"/>
  <c r="G29" i="54"/>
  <c r="G30" i="54"/>
  <c r="G31" i="54"/>
  <c r="G34" i="54"/>
  <c r="G42" i="54"/>
  <c r="G43" i="54"/>
  <c r="F10" i="54"/>
  <c r="F11" i="54"/>
  <c r="F12" i="54"/>
  <c r="F13" i="54"/>
  <c r="F14" i="54"/>
  <c r="F15" i="54"/>
  <c r="F16" i="54"/>
  <c r="F17" i="54"/>
  <c r="F18" i="54"/>
  <c r="F19" i="54"/>
  <c r="F20" i="54"/>
  <c r="F21" i="54"/>
  <c r="F22" i="54"/>
  <c r="F23" i="54"/>
  <c r="F24" i="54"/>
  <c r="F25" i="54"/>
  <c r="F26" i="54"/>
  <c r="F29" i="54"/>
  <c r="F30" i="54"/>
  <c r="F31" i="54"/>
  <c r="F34" i="54"/>
  <c r="F40" i="54"/>
  <c r="F42" i="54"/>
  <c r="F43" i="54"/>
  <c r="F20" i="50"/>
  <c r="F27" i="50"/>
  <c r="F29" i="53"/>
  <c r="F7" i="53" s="1"/>
  <c r="L7" i="53" s="1"/>
  <c r="H29" i="53"/>
  <c r="H7" i="53" s="1"/>
  <c r="D34" i="50" s="1"/>
  <c r="D30" i="45"/>
  <c r="D29" i="45" s="1"/>
  <c r="D8" i="85"/>
  <c r="H10" i="49"/>
  <c r="H12" i="49"/>
  <c r="H13" i="49"/>
  <c r="H15" i="49"/>
  <c r="H16" i="49"/>
  <c r="H23" i="49"/>
  <c r="H24" i="49"/>
  <c r="H26" i="49"/>
  <c r="H27" i="49"/>
  <c r="H32" i="49"/>
  <c r="H33" i="49"/>
  <c r="H35" i="49"/>
  <c r="H36" i="49"/>
  <c r="G11" i="49"/>
  <c r="G12" i="49"/>
  <c r="G13" i="49"/>
  <c r="G15" i="49"/>
  <c r="G16" i="49"/>
  <c r="G19" i="49"/>
  <c r="G20" i="49"/>
  <c r="G22" i="49"/>
  <c r="G23" i="49"/>
  <c r="G24" i="49"/>
  <c r="G25" i="49"/>
  <c r="G26" i="49"/>
  <c r="G27" i="49"/>
  <c r="G28" i="49"/>
  <c r="G32" i="49"/>
  <c r="G33" i="49"/>
  <c r="G35" i="49"/>
  <c r="G36" i="49"/>
  <c r="G10" i="49"/>
  <c r="D34" i="49"/>
  <c r="D30" i="49" s="1"/>
  <c r="D29" i="49" s="1"/>
  <c r="D7" i="49" s="1"/>
  <c r="F10" i="47"/>
  <c r="F12" i="47"/>
  <c r="F20" i="47"/>
  <c r="F23" i="47"/>
  <c r="F24" i="47"/>
  <c r="F28" i="47"/>
  <c r="F32" i="47"/>
  <c r="F9" i="47"/>
  <c r="E9" i="47"/>
  <c r="E10" i="47"/>
  <c r="E12" i="47"/>
  <c r="E15" i="47"/>
  <c r="E16" i="47"/>
  <c r="E17" i="47"/>
  <c r="E20" i="47"/>
  <c r="E22" i="47"/>
  <c r="E23" i="47"/>
  <c r="E24" i="47"/>
  <c r="E25" i="47"/>
  <c r="E28" i="47"/>
  <c r="E30" i="47"/>
  <c r="E32" i="47"/>
  <c r="E33" i="47"/>
  <c r="E36" i="47"/>
  <c r="D31" i="47"/>
  <c r="F31" i="47" s="1"/>
  <c r="G8" i="55" l="1"/>
  <c r="G7" i="55" s="1"/>
  <c r="J8" i="55"/>
  <c r="J7" i="55" s="1"/>
  <c r="H8" i="55"/>
  <c r="H7" i="55" s="1"/>
  <c r="L8" i="55" s="1"/>
  <c r="I8" i="55"/>
  <c r="I7" i="55" s="1"/>
  <c r="C81" i="55"/>
  <c r="D33" i="87"/>
  <c r="G24" i="50"/>
  <c r="G25" i="50" s="1"/>
  <c r="I7" i="49"/>
  <c r="F8" i="55"/>
  <c r="F7" i="55" s="1"/>
  <c r="F27" i="47"/>
  <c r="E27" i="47"/>
  <c r="C96" i="55"/>
  <c r="C72" i="55"/>
  <c r="C75" i="55"/>
  <c r="AC9" i="58"/>
  <c r="E8" i="49"/>
  <c r="E7" i="49" s="1"/>
  <c r="G37" i="65"/>
  <c r="E31" i="47"/>
  <c r="J9" i="58"/>
  <c r="AJ9" i="58" s="1"/>
  <c r="AI9" i="58"/>
  <c r="AG10" i="58"/>
  <c r="AG11" i="58"/>
  <c r="AG12" i="58"/>
  <c r="AG13" i="58"/>
  <c r="AG14" i="58"/>
  <c r="AG15" i="58"/>
  <c r="AG16" i="58"/>
  <c r="AG17" i="58"/>
  <c r="AD9" i="58"/>
  <c r="C8" i="55" l="1"/>
  <c r="H21" i="49"/>
  <c r="G21" i="49"/>
  <c r="G7" i="65"/>
  <c r="G39" i="54"/>
  <c r="F39" i="54"/>
  <c r="G38" i="54"/>
  <c r="F38" i="54"/>
  <c r="G32" i="54"/>
  <c r="F32" i="54"/>
  <c r="G35" i="54"/>
  <c r="F35" i="54"/>
  <c r="G33" i="54"/>
  <c r="F33" i="54"/>
  <c r="G28" i="54"/>
  <c r="G37" i="54"/>
  <c r="F37" i="54"/>
  <c r="G36" i="54"/>
  <c r="F36" i="54"/>
  <c r="AG9" i="58"/>
  <c r="E30" i="53" l="1"/>
  <c r="D19" i="47"/>
  <c r="E21" i="47"/>
  <c r="F21" i="47"/>
  <c r="F9" i="54"/>
  <c r="G27" i="54"/>
  <c r="F27" i="54"/>
  <c r="B31" i="45"/>
  <c r="B31" i="53" s="1"/>
  <c r="C26" i="53"/>
  <c r="I26" i="53" s="1"/>
  <c r="C14" i="53"/>
  <c r="C15" i="53"/>
  <c r="I15" i="53" s="1"/>
  <c r="C18" i="52"/>
  <c r="C10" i="52"/>
  <c r="C11" i="52"/>
  <c r="C12" i="52"/>
  <c r="C13" i="52"/>
  <c r="C14" i="52"/>
  <c r="C15" i="52"/>
  <c r="C16" i="52"/>
  <c r="C17" i="52"/>
  <c r="U18" i="52"/>
  <c r="T8" i="52"/>
  <c r="Q8" i="52"/>
  <c r="P8" i="52"/>
  <c r="M8" i="52"/>
  <c r="N8" i="52"/>
  <c r="G8" i="52"/>
  <c r="H8" i="52"/>
  <c r="I8" i="52"/>
  <c r="J8" i="52"/>
  <c r="K8" i="52"/>
  <c r="L8" i="52"/>
  <c r="E8" i="52"/>
  <c r="F8" i="52"/>
  <c r="U8" i="52"/>
  <c r="V8" i="52"/>
  <c r="W8" i="52"/>
  <c r="C8" i="52" l="1"/>
  <c r="K30" i="53"/>
  <c r="D18" i="47"/>
  <c r="G19" i="47" s="1"/>
  <c r="D8" i="52"/>
  <c r="C23" i="53"/>
  <c r="I23" i="53" s="1"/>
  <c r="C24" i="53"/>
  <c r="I24" i="53" s="1"/>
  <c r="C21" i="53"/>
  <c r="I21" i="53" s="1"/>
  <c r="E29" i="53"/>
  <c r="G9" i="54"/>
  <c r="C9" i="51"/>
  <c r="K9" i="51" s="1"/>
  <c r="C10" i="51"/>
  <c r="K10" i="51" s="1"/>
  <c r="C11" i="51"/>
  <c r="K11" i="51" s="1"/>
  <c r="C12" i="51"/>
  <c r="K12" i="51" s="1"/>
  <c r="C13" i="51"/>
  <c r="K13" i="51" s="1"/>
  <c r="C14" i="51"/>
  <c r="K14" i="51" s="1"/>
  <c r="C15" i="51"/>
  <c r="K15" i="51" s="1"/>
  <c r="C16" i="51"/>
  <c r="K16" i="51" s="1"/>
  <c r="C17" i="51"/>
  <c r="K17" i="51" s="1"/>
  <c r="C18" i="51"/>
  <c r="K18" i="51" s="1"/>
  <c r="F8" i="51"/>
  <c r="D8" i="51"/>
  <c r="L8" i="51" s="1"/>
  <c r="C22" i="50" l="1"/>
  <c r="C31" i="50" s="1"/>
  <c r="K29" i="53"/>
  <c r="E7" i="53"/>
  <c r="K7" i="53" s="1"/>
  <c r="C8" i="51"/>
  <c r="K8" i="51" s="1"/>
  <c r="C29" i="50"/>
  <c r="C16" i="50"/>
  <c r="C13" i="50"/>
  <c r="D13" i="50" s="1"/>
  <c r="C11" i="50"/>
  <c r="B34" i="53"/>
  <c r="C27" i="45"/>
  <c r="C27" i="53" s="1"/>
  <c r="I27" i="53" s="1"/>
  <c r="C26" i="45"/>
  <c r="C24" i="45"/>
  <c r="C23" i="45"/>
  <c r="C21" i="45"/>
  <c r="C16" i="45"/>
  <c r="C15" i="45"/>
  <c r="C13" i="45"/>
  <c r="C12" i="45"/>
  <c r="C10" i="45"/>
  <c r="C10" i="53" s="1"/>
  <c r="C19" i="50" l="1"/>
  <c r="C12" i="87"/>
  <c r="C28" i="50"/>
  <c r="C28" i="87"/>
  <c r="C10" i="50"/>
  <c r="C10" i="87"/>
  <c r="C9" i="87" s="1"/>
  <c r="C26" i="50"/>
  <c r="C34" i="50" s="1"/>
  <c r="C21" i="87"/>
  <c r="I10" i="53"/>
  <c r="C9" i="53"/>
  <c r="C30" i="87"/>
  <c r="C27" i="87" s="1"/>
  <c r="C25" i="87" s="1"/>
  <c r="C33" i="87" s="1"/>
  <c r="D11" i="50"/>
  <c r="D29" i="50"/>
  <c r="E16" i="50"/>
  <c r="F12" i="45"/>
  <c r="E12" i="45"/>
  <c r="F15" i="45"/>
  <c r="E15" i="45"/>
  <c r="F24" i="45"/>
  <c r="E24" i="45"/>
  <c r="F27" i="45"/>
  <c r="E27" i="45"/>
  <c r="F13" i="45"/>
  <c r="E13" i="45"/>
  <c r="F16" i="45"/>
  <c r="E16" i="45"/>
  <c r="F26" i="45"/>
  <c r="E26" i="45"/>
  <c r="F37" i="45"/>
  <c r="C9" i="45"/>
  <c r="C8" i="45" s="1"/>
  <c r="G9" i="45" s="1"/>
  <c r="C18" i="87" l="1"/>
  <c r="C8" i="54" s="1"/>
  <c r="C7" i="54" s="1"/>
  <c r="D28" i="87"/>
  <c r="D10" i="87"/>
  <c r="D10" i="50"/>
  <c r="D8" i="50" s="1"/>
  <c r="C11" i="88"/>
  <c r="D12" i="87"/>
  <c r="D14" i="47"/>
  <c r="D12" i="85"/>
  <c r="I9" i="53"/>
  <c r="C8" i="53"/>
  <c r="I8" i="53" s="1"/>
  <c r="C8" i="88"/>
  <c r="C7" i="88" s="1"/>
  <c r="E13" i="50"/>
  <c r="F13" i="50"/>
  <c r="E11" i="50"/>
  <c r="F11" i="50"/>
  <c r="E29" i="50"/>
  <c r="F29" i="50"/>
  <c r="C31" i="49"/>
  <c r="C34" i="49"/>
  <c r="E12" i="85" l="1"/>
  <c r="E9" i="85" s="1"/>
  <c r="F12" i="85"/>
  <c r="F9" i="85" s="1"/>
  <c r="D9" i="85"/>
  <c r="D7" i="85" s="1"/>
  <c r="E10" i="50"/>
  <c r="D9" i="87"/>
  <c r="D7" i="87" s="1"/>
  <c r="D8" i="54"/>
  <c r="D22" i="50" s="1"/>
  <c r="D11" i="47"/>
  <c r="F14" i="47"/>
  <c r="E14" i="47"/>
  <c r="F34" i="50"/>
  <c r="E34" i="50"/>
  <c r="F10" i="50"/>
  <c r="H34" i="49"/>
  <c r="G34" i="49"/>
  <c r="F34" i="45"/>
  <c r="C30" i="49"/>
  <c r="H45" i="49"/>
  <c r="G31" i="49"/>
  <c r="H31" i="49"/>
  <c r="H8" i="54" l="1"/>
  <c r="D7" i="54"/>
  <c r="G8" i="54"/>
  <c r="F8" i="54"/>
  <c r="F7" i="54" s="1"/>
  <c r="E9" i="87"/>
  <c r="E7" i="87" s="1"/>
  <c r="F10" i="87"/>
  <c r="K125" i="55"/>
  <c r="D7" i="47"/>
  <c r="G18" i="47" s="1"/>
  <c r="H44" i="49"/>
  <c r="G9" i="49"/>
  <c r="H9" i="49"/>
  <c r="C30" i="45"/>
  <c r="E30" i="45" s="1"/>
  <c r="F31" i="45"/>
  <c r="H30" i="49"/>
  <c r="G30" i="49"/>
  <c r="C19" i="47"/>
  <c r="C26" i="47"/>
  <c r="E11" i="47"/>
  <c r="C8" i="47"/>
  <c r="F9" i="87" l="1"/>
  <c r="F7" i="87" s="1"/>
  <c r="G9" i="87"/>
  <c r="G7" i="87" s="1"/>
  <c r="D21" i="87"/>
  <c r="D18" i="87" s="1"/>
  <c r="D16" i="87" s="1"/>
  <c r="D19" i="50"/>
  <c r="E22" i="50"/>
  <c r="E19" i="50" s="1"/>
  <c r="F22" i="50"/>
  <c r="D31" i="50"/>
  <c r="K7" i="55"/>
  <c r="C125" i="55"/>
  <c r="C7" i="55" s="1"/>
  <c r="J9" i="54"/>
  <c r="G7" i="54"/>
  <c r="K14" i="47"/>
  <c r="C8" i="85"/>
  <c r="C9" i="50"/>
  <c r="E26" i="47"/>
  <c r="F26" i="47"/>
  <c r="F11" i="47"/>
  <c r="C7" i="47"/>
  <c r="F7" i="47" s="1"/>
  <c r="E8" i="47"/>
  <c r="F8" i="47"/>
  <c r="G7" i="47"/>
  <c r="G9" i="47" s="1"/>
  <c r="G11" i="47" s="1"/>
  <c r="G8" i="49"/>
  <c r="H8" i="49"/>
  <c r="F30" i="45"/>
  <c r="C29" i="45"/>
  <c r="E29" i="45" s="1"/>
  <c r="F19" i="47"/>
  <c r="E19" i="47"/>
  <c r="C18" i="47"/>
  <c r="F34" i="47"/>
  <c r="E34" i="47"/>
  <c r="L7" i="55" l="1"/>
  <c r="G23" i="87"/>
  <c r="J16" i="87"/>
  <c r="J18" i="87" s="1"/>
  <c r="F23" i="87"/>
  <c r="I16" i="87"/>
  <c r="I18" i="87" s="1"/>
  <c r="D17" i="50"/>
  <c r="G17" i="50"/>
  <c r="D30" i="87"/>
  <c r="D27" i="87" s="1"/>
  <c r="D25" i="87" s="1"/>
  <c r="D28" i="50"/>
  <c r="F31" i="50"/>
  <c r="E31" i="50"/>
  <c r="E28" i="50" s="1"/>
  <c r="E26" i="50" s="1"/>
  <c r="F19" i="50"/>
  <c r="C8" i="87"/>
  <c r="C7" i="87" s="1"/>
  <c r="C8" i="50"/>
  <c r="E7" i="47"/>
  <c r="E8" i="85"/>
  <c r="F8" i="85"/>
  <c r="C7" i="85"/>
  <c r="F9" i="50"/>
  <c r="E9" i="50"/>
  <c r="E8" i="50" s="1"/>
  <c r="F29" i="45"/>
  <c r="C7" i="45"/>
  <c r="E18" i="47"/>
  <c r="F18" i="47"/>
  <c r="G23" i="50" l="1"/>
  <c r="G18" i="50"/>
  <c r="I7" i="54"/>
  <c r="J7" i="54" s="1"/>
  <c r="D26" i="50"/>
  <c r="D40" i="50" s="1"/>
  <c r="F28" i="50"/>
  <c r="C28" i="85"/>
  <c r="E7" i="85"/>
  <c r="F7" i="85"/>
  <c r="F8" i="50"/>
  <c r="F26" i="50" l="1"/>
  <c r="E28" i="85"/>
  <c r="F28" i="85"/>
  <c r="C20" i="68" l="1"/>
  <c r="I28" i="68" s="1"/>
  <c r="B22" i="68"/>
  <c r="L18" i="68" s="1"/>
  <c r="D28" i="39"/>
  <c r="C9" i="68" l="1"/>
  <c r="C7" i="68" s="1"/>
  <c r="B20" i="68"/>
  <c r="H21" i="68" s="1"/>
  <c r="H29" i="68" s="1"/>
  <c r="D23" i="45"/>
  <c r="G19" i="85" l="1"/>
  <c r="D21" i="45"/>
  <c r="E23" i="45"/>
  <c r="F23" i="45"/>
  <c r="E21" i="45" l="1"/>
  <c r="F21" i="45"/>
  <c r="G9" i="68"/>
  <c r="B9" i="68" l="1"/>
  <c r="H10" i="68" s="1"/>
  <c r="I11" i="68" l="1"/>
  <c r="I10" i="68" l="1"/>
  <c r="G18" i="85"/>
  <c r="G17" i="85" s="1"/>
  <c r="E10" i="45"/>
  <c r="E9" i="45" s="1"/>
  <c r="F10" i="45"/>
  <c r="D9" i="45"/>
  <c r="E7" i="79" l="1"/>
  <c r="D8" i="45"/>
  <c r="D7" i="45" s="1"/>
  <c r="H7" i="45" s="1"/>
  <c r="E8" i="45"/>
  <c r="E7" i="45" s="1"/>
  <c r="F9" i="45"/>
  <c r="E6" i="79" l="1"/>
  <c r="E8" i="79" s="1"/>
  <c r="F7" i="45"/>
  <c r="F8" i="45"/>
  <c r="H43" i="49" l="1"/>
  <c r="C29" i="49"/>
  <c r="G43" i="49"/>
  <c r="H29" i="49" l="1"/>
  <c r="G29" i="49"/>
  <c r="C7" i="49"/>
  <c r="J7" i="49" s="1"/>
  <c r="H7" i="49" l="1"/>
  <c r="G7" i="49"/>
  <c r="C39" i="53"/>
  <c r="C29" i="53" l="1"/>
  <c r="I29" i="53" s="1"/>
  <c r="I39" i="53"/>
  <c r="C22" i="88"/>
  <c r="I10" i="54"/>
  <c r="D39" i="53"/>
  <c r="J39" i="53" s="1"/>
  <c r="C7" i="53" l="1"/>
  <c r="I7" i="53" s="1"/>
  <c r="D29" i="53"/>
  <c r="J29" i="53" s="1"/>
  <c r="I11" i="54"/>
  <c r="I12" i="54" s="1"/>
  <c r="D7" i="53" l="1"/>
  <c r="J7" i="53" s="1"/>
  <c r="C18" i="50" l="1"/>
  <c r="C17" i="50" s="1"/>
  <c r="C17" i="87" l="1"/>
  <c r="C16" i="87" s="1"/>
  <c r="H16" i="87" s="1"/>
  <c r="F18" i="50"/>
  <c r="C23" i="87" l="1"/>
  <c r="F17" i="50"/>
  <c r="D37" i="89" l="1"/>
  <c r="D33" i="89" l="1"/>
  <c r="D10" i="89" s="1"/>
  <c r="D6" i="89" s="1"/>
  <c r="E32" i="69"/>
  <c r="D6" i="69"/>
  <c r="H59" i="68" s="1"/>
  <c r="H60" i="68" s="1"/>
  <c r="G55" i="68" l="1"/>
  <c r="D22" i="88" s="1"/>
  <c r="E8" i="69"/>
  <c r="E6" i="69" s="1"/>
  <c r="B55" i="68"/>
  <c r="C47" i="39"/>
  <c r="C45" i="39"/>
  <c r="C41" i="39" s="1"/>
  <c r="C9" i="39" s="1"/>
  <c r="G43" i="68" l="1"/>
  <c r="G7" i="68" s="1"/>
  <c r="E9" i="39" s="1"/>
  <c r="F9" i="39" s="1"/>
  <c r="C7" i="39"/>
  <c r="F7" i="39" s="1"/>
  <c r="K21" i="88"/>
  <c r="K22" i="88" s="1"/>
  <c r="E22" i="88"/>
  <c r="B43" i="68"/>
  <c r="E11" i="39"/>
  <c r="B7" i="68" l="1"/>
  <c r="M7" i="68" s="1"/>
  <c r="M10" i="68" s="1"/>
  <c r="H43" i="68"/>
  <c r="J7" i="68"/>
  <c r="J10" i="68" s="1"/>
  <c r="G26" i="85"/>
  <c r="G24" i="85" s="1"/>
  <c r="G16" i="85" s="1"/>
  <c r="D10" i="39"/>
  <c r="E17" i="87" l="1"/>
  <c r="K7" i="68"/>
  <c r="N19" i="88" l="1"/>
  <c r="N20" i="88" s="1"/>
  <c r="E16" i="87"/>
  <c r="H17" i="87" l="1"/>
  <c r="E23" i="87"/>
  <c r="K23" i="87" s="1"/>
</calcChain>
</file>

<file path=xl/comments1.xml><?xml version="1.0" encoding="utf-8"?>
<comments xmlns="http://schemas.openxmlformats.org/spreadsheetml/2006/main">
  <authors>
    <author>hoa</author>
    <author>hien</author>
  </authors>
  <commentList>
    <comment ref="B48" authorId="0">
      <text>
        <r>
          <rPr>
            <b/>
            <sz val="9"/>
            <color indexed="81"/>
            <rFont val="Tahoma"/>
            <family val="2"/>
          </rPr>
          <t>hoa:</t>
        </r>
        <r>
          <rPr>
            <sz val="9"/>
            <color indexed="81"/>
            <rFont val="Tahoma"/>
            <family val="2"/>
          </rPr>
          <t xml:space="preserve">
Trừ thu phạt atgt
</t>
        </r>
      </text>
    </comment>
    <comment ref="BH48" authorId="1">
      <text>
        <r>
          <rPr>
            <b/>
            <sz val="9"/>
            <color indexed="81"/>
            <rFont val="Tahoma"/>
            <family val="2"/>
          </rPr>
          <t>hien:</t>
        </r>
        <r>
          <rPr>
            <sz val="9"/>
            <color indexed="81"/>
            <rFont val="Tahoma"/>
            <family val="2"/>
          </rPr>
          <t xml:space="preserve">
Trong đó: TP ATGT 7.000 đ</t>
        </r>
      </text>
    </comment>
  </commentList>
</comments>
</file>

<file path=xl/comments10.xml><?xml version="1.0" encoding="utf-8"?>
<comments xmlns="http://schemas.openxmlformats.org/spreadsheetml/2006/main">
  <authors>
    <author>Author</author>
  </authors>
  <commentList>
    <comment ref="G47" authorId="0">
      <text>
        <r>
          <rPr>
            <b/>
            <sz val="14"/>
            <color indexed="81"/>
            <rFont val="Tahoma"/>
            <family val="2"/>
          </rPr>
          <t>Ứng trước KH 2016: 5.000 triệu đồng</t>
        </r>
      </text>
    </comment>
  </commentList>
</comments>
</file>

<file path=xl/comments11.xml><?xml version="1.0" encoding="utf-8"?>
<comments xmlns="http://schemas.openxmlformats.org/spreadsheetml/2006/main">
  <authors>
    <author>lyductoan</author>
    <author>Luchcsn</author>
  </authors>
  <commentList>
    <comment ref="G12" authorId="0">
      <text>
        <r>
          <rPr>
            <b/>
            <sz val="8"/>
            <color indexed="81"/>
            <rFont val="Tahoma"/>
            <family val="2"/>
          </rPr>
          <t>lyductoan:</t>
        </r>
        <r>
          <rPr>
            <sz val="8"/>
            <color indexed="81"/>
            <rFont val="Tahoma"/>
            <family val="2"/>
          </rPr>
          <t xml:space="preserve">
85% chi cho con nguoi</t>
        </r>
      </text>
    </comment>
    <comment ref="H18" authorId="1">
      <text>
        <r>
          <rPr>
            <b/>
            <sz val="9"/>
            <color indexed="81"/>
            <rFont val="Tahoma"/>
            <family val="2"/>
          </rPr>
          <t>Luchcsn:</t>
        </r>
        <r>
          <rPr>
            <sz val="9"/>
            <color indexed="81"/>
            <rFont val="Tahoma"/>
            <family val="2"/>
          </rPr>
          <t xml:space="preserve">
Nằm trong phương án tự chủ</t>
        </r>
      </text>
    </comment>
  </commentList>
</comments>
</file>

<file path=xl/comments12.xml><?xml version="1.0" encoding="utf-8"?>
<comments xmlns="http://schemas.openxmlformats.org/spreadsheetml/2006/main">
  <authors>
    <author>Author</author>
  </authors>
  <commentList>
    <comment ref="AJ230" authorId="0">
      <text>
        <r>
          <rPr>
            <b/>
            <sz val="9"/>
            <color indexed="81"/>
            <rFont val="Tahoma"/>
            <family val="2"/>
            <charset val="163"/>
          </rPr>
          <t>Author:</t>
        </r>
        <r>
          <rPr>
            <sz val="9"/>
            <color indexed="81"/>
            <rFont val="Tahoma"/>
            <family val="2"/>
            <charset val="163"/>
          </rPr>
          <t xml:space="preserve">
Hết nhu cầu sử dụng vốn: VB 48 ngày 7/8/2018</t>
        </r>
      </text>
    </comment>
    <comment ref="AJ231" authorId="0">
      <text>
        <r>
          <rPr>
            <b/>
            <sz val="9"/>
            <color indexed="81"/>
            <rFont val="Tahoma"/>
            <family val="2"/>
            <charset val="163"/>
          </rPr>
          <t>Author:</t>
        </r>
        <r>
          <rPr>
            <sz val="9"/>
            <color indexed="81"/>
            <rFont val="Tahoma"/>
            <family val="2"/>
            <charset val="163"/>
          </rPr>
          <t xml:space="preserve">
Hết nhu cầu sử dụng vốn: VB 48 ngày 7/8/2018</t>
        </r>
      </text>
    </comment>
    <comment ref="D237" authorId="0">
      <text>
        <r>
          <rPr>
            <b/>
            <sz val="9"/>
            <color indexed="81"/>
            <rFont val="Tahoma"/>
            <family val="2"/>
            <charset val="163"/>
          </rPr>
          <t>Author:</t>
        </r>
        <r>
          <rPr>
            <sz val="9"/>
            <color indexed="81"/>
            <rFont val="Tahoma"/>
            <family val="2"/>
            <charset val="163"/>
          </rPr>
          <t xml:space="preserve">
QD số 760 ngày 15/6/2015 của UBND tỉnh; nguồn vốn NSNN
</t>
        </r>
      </text>
    </comment>
  </commentList>
</comments>
</file>

<file path=xl/comments13.xml><?xml version="1.0" encoding="utf-8"?>
<comments xmlns="http://schemas.openxmlformats.org/spreadsheetml/2006/main">
  <authors>
    <author>Author</author>
  </authors>
  <commentList>
    <comment ref="D82" authorId="0">
      <text>
        <r>
          <rPr>
            <b/>
            <sz val="9"/>
            <color indexed="81"/>
            <rFont val="Tahoma"/>
            <family val="2"/>
            <charset val="163"/>
          </rPr>
          <t>Author:</t>
        </r>
        <r>
          <rPr>
            <sz val="9"/>
            <color indexed="81"/>
            <rFont val="Tahoma"/>
            <family val="2"/>
            <charset val="163"/>
          </rPr>
          <t xml:space="preserve">
QD số 760 ngày 15/6/2015 của UBND tỉnh; nguồn vốn NSNN
</t>
        </r>
      </text>
    </comment>
  </commentList>
</comments>
</file>

<file path=xl/comments2.xml><?xml version="1.0" encoding="utf-8"?>
<comments xmlns="http://schemas.openxmlformats.org/spreadsheetml/2006/main">
  <authors>
    <author>hoa</author>
    <author>hien</author>
  </authors>
  <commentList>
    <comment ref="B46" authorId="0">
      <text>
        <r>
          <rPr>
            <b/>
            <sz val="9"/>
            <color indexed="81"/>
            <rFont val="Tahoma"/>
            <family val="2"/>
          </rPr>
          <t>hoa:</t>
        </r>
        <r>
          <rPr>
            <sz val="9"/>
            <color indexed="81"/>
            <rFont val="Tahoma"/>
            <family val="2"/>
          </rPr>
          <t xml:space="preserve">
Trừ thu phạt atgt
</t>
        </r>
      </text>
    </comment>
    <comment ref="Z46" authorId="1">
      <text>
        <r>
          <rPr>
            <b/>
            <sz val="9"/>
            <color indexed="81"/>
            <rFont val="Tahoma"/>
            <family val="2"/>
          </rPr>
          <t>hien:</t>
        </r>
        <r>
          <rPr>
            <sz val="9"/>
            <color indexed="81"/>
            <rFont val="Tahoma"/>
            <family val="2"/>
          </rPr>
          <t xml:space="preserve">
Trong đó: TP ATGT 8.000 đ</t>
        </r>
      </text>
    </comment>
  </commentList>
</comments>
</file>

<file path=xl/comments3.xml><?xml version="1.0" encoding="utf-8"?>
<comments xmlns="http://schemas.openxmlformats.org/spreadsheetml/2006/main">
  <authors>
    <author>hoa</author>
  </authors>
  <commentList>
    <comment ref="D34" authorId="0">
      <text>
        <r>
          <rPr>
            <b/>
            <sz val="9"/>
            <color indexed="81"/>
            <rFont val="Tahoma"/>
            <family val="2"/>
          </rPr>
          <t>hoa:</t>
        </r>
        <r>
          <rPr>
            <sz val="9"/>
            <color indexed="81"/>
            <rFont val="Tahoma"/>
            <family val="2"/>
          </rPr>
          <t xml:space="preserve">
Thuế cung cấp tỷ lệ TW 62,8, đp 37,2%</t>
        </r>
      </text>
    </comment>
    <comment ref="D40" authorId="0">
      <text>
        <r>
          <rPr>
            <b/>
            <sz val="9"/>
            <color indexed="81"/>
            <rFont val="Tahoma"/>
            <family val="2"/>
          </rPr>
          <t>hoa:</t>
        </r>
        <r>
          <rPr>
            <sz val="9"/>
            <color indexed="81"/>
            <rFont val="Tahoma"/>
            <family val="2"/>
          </rPr>
          <t xml:space="preserve">
Năm 2019 thuế cung cấp phí TW 4 tỷ</t>
        </r>
      </text>
    </comment>
    <comment ref="B45" authorId="0">
      <text>
        <r>
          <rPr>
            <b/>
            <sz val="9"/>
            <color indexed="81"/>
            <rFont val="Tahoma"/>
            <family val="2"/>
          </rPr>
          <t>hoa:</t>
        </r>
        <r>
          <rPr>
            <sz val="9"/>
            <color indexed="81"/>
            <rFont val="Tahoma"/>
            <family val="2"/>
          </rPr>
          <t xml:space="preserve">
Trừ thu phạt atgt
</t>
        </r>
      </text>
    </comment>
    <comment ref="D47" authorId="0">
      <text>
        <r>
          <rPr>
            <b/>
            <sz val="9"/>
            <color indexed="81"/>
            <rFont val="Tahoma"/>
            <family val="2"/>
          </rPr>
          <t>hoa:</t>
        </r>
        <r>
          <rPr>
            <sz val="9"/>
            <color indexed="81"/>
            <rFont val="Tahoma"/>
            <family val="2"/>
          </rPr>
          <t xml:space="preserve">
Năm 2019 thu từ giấy phép TW là 3 tỷ, phần này chia tỷ lệ TW 70 đp 30. Số còn lại là giấy phép đp thì đp hưởng</t>
        </r>
      </text>
    </comment>
  </commentList>
</comments>
</file>

<file path=xl/comments4.xml><?xml version="1.0" encoding="utf-8"?>
<comments xmlns="http://schemas.openxmlformats.org/spreadsheetml/2006/main">
  <authors>
    <author>hoa</author>
  </authors>
  <commentList>
    <comment ref="D35" authorId="0">
      <text>
        <r>
          <rPr>
            <b/>
            <sz val="9"/>
            <color indexed="81"/>
            <rFont val="Tahoma"/>
            <family val="2"/>
          </rPr>
          <t>hoa:</t>
        </r>
        <r>
          <rPr>
            <sz val="9"/>
            <color indexed="81"/>
            <rFont val="Tahoma"/>
            <family val="2"/>
          </rPr>
          <t xml:space="preserve">
Thuế cung cấp tỷ lệ TW 62,8, đp 37,2%</t>
        </r>
      </text>
    </comment>
    <comment ref="D41" authorId="0">
      <text>
        <r>
          <rPr>
            <b/>
            <sz val="9"/>
            <color indexed="81"/>
            <rFont val="Tahoma"/>
            <family val="2"/>
          </rPr>
          <t>hoa:</t>
        </r>
        <r>
          <rPr>
            <sz val="9"/>
            <color indexed="81"/>
            <rFont val="Tahoma"/>
            <family val="2"/>
          </rPr>
          <t xml:space="preserve">
Năm 2019 thuế cung cấp phí TW 4 tỷ</t>
        </r>
      </text>
    </comment>
    <comment ref="B46" authorId="0">
      <text>
        <r>
          <rPr>
            <b/>
            <sz val="9"/>
            <color indexed="81"/>
            <rFont val="Tahoma"/>
            <family val="2"/>
          </rPr>
          <t>hoa:</t>
        </r>
        <r>
          <rPr>
            <sz val="9"/>
            <color indexed="81"/>
            <rFont val="Tahoma"/>
            <family val="2"/>
          </rPr>
          <t xml:space="preserve">
Trừ thu phạt atgt
</t>
        </r>
      </text>
    </comment>
    <comment ref="D48" authorId="0">
      <text>
        <r>
          <rPr>
            <b/>
            <sz val="9"/>
            <color indexed="81"/>
            <rFont val="Tahoma"/>
            <family val="2"/>
          </rPr>
          <t>hoa:</t>
        </r>
        <r>
          <rPr>
            <sz val="9"/>
            <color indexed="81"/>
            <rFont val="Tahoma"/>
            <family val="2"/>
          </rPr>
          <t xml:space="preserve">
Năm 2019 thu từ giấy phép TW là 3 tỷ, phần này chia tỷ lệ TW 70 đp 30. Số còn lại là giấy phép đp thì đp hưởng</t>
        </r>
      </text>
    </comment>
  </commentList>
</comments>
</file>

<file path=xl/comments5.xml><?xml version="1.0" encoding="utf-8"?>
<comments xmlns="http://schemas.openxmlformats.org/spreadsheetml/2006/main">
  <authors>
    <author>hien</author>
  </authors>
  <commentList>
    <comment ref="C28" authorId="0">
      <text>
        <r>
          <rPr>
            <b/>
            <sz val="9"/>
            <color indexed="81"/>
            <rFont val="Tahoma"/>
            <family val="2"/>
          </rPr>
          <t>hien:</t>
        </r>
        <r>
          <rPr>
            <sz val="9"/>
            <color indexed="81"/>
            <rFont val="Tahoma"/>
            <family val="2"/>
          </rPr>
          <t xml:space="preserve">
CTMTQG NTM: 4740, GN: 1676</t>
        </r>
      </text>
    </comment>
    <comment ref="C33" authorId="0">
      <text>
        <r>
          <rPr>
            <b/>
            <sz val="9"/>
            <color indexed="81"/>
            <rFont val="Tahoma"/>
            <family val="2"/>
          </rPr>
          <t>hien:</t>
        </r>
        <r>
          <rPr>
            <sz val="9"/>
            <color indexed="81"/>
            <rFont val="Tahoma"/>
            <family val="2"/>
          </rPr>
          <t xml:space="preserve">
CTMTQGGN: 332</t>
        </r>
      </text>
    </comment>
    <comment ref="C37" authorId="0">
      <text>
        <r>
          <rPr>
            <b/>
            <sz val="9"/>
            <color indexed="81"/>
            <rFont val="Tahoma"/>
            <family val="2"/>
          </rPr>
          <t>hien:</t>
        </r>
        <r>
          <rPr>
            <sz val="9"/>
            <color indexed="81"/>
            <rFont val="Tahoma"/>
            <family val="2"/>
          </rPr>
          <t xml:space="preserve">
CTMTQGNTM: 2930, GN: 98, 233, VNN: 3490</t>
        </r>
      </text>
    </comment>
    <comment ref="C38" authorId="0">
      <text>
        <r>
          <rPr>
            <b/>
            <sz val="9"/>
            <color indexed="81"/>
            <rFont val="Tahoma"/>
            <family val="2"/>
          </rPr>
          <t>hien:</t>
        </r>
        <r>
          <rPr>
            <sz val="9"/>
            <color indexed="81"/>
            <rFont val="Tahoma"/>
            <family val="2"/>
          </rPr>
          <t xml:space="preserve">
TGPL: 428</t>
        </r>
      </text>
    </comment>
  </commentList>
</comments>
</file>

<file path=xl/comments6.xml><?xml version="1.0" encoding="utf-8"?>
<comments xmlns="http://schemas.openxmlformats.org/spreadsheetml/2006/main">
  <authors>
    <author>hien</author>
  </authors>
  <commentList>
    <comment ref="P10" authorId="0">
      <text>
        <r>
          <rPr>
            <b/>
            <sz val="9"/>
            <color indexed="81"/>
            <rFont val="Tahoma"/>
            <family val="2"/>
          </rPr>
          <t>hien:</t>
        </r>
        <r>
          <rPr>
            <sz val="9"/>
            <color indexed="81"/>
            <rFont val="Tahoma"/>
            <family val="2"/>
          </rPr>
          <t xml:space="preserve">
CTMT 3100</t>
        </r>
      </text>
    </comment>
    <comment ref="P13" authorId="0">
      <text>
        <r>
          <rPr>
            <b/>
            <sz val="9"/>
            <color indexed="81"/>
            <rFont val="Tahoma"/>
            <family val="2"/>
          </rPr>
          <t>hien:</t>
        </r>
        <r>
          <rPr>
            <sz val="9"/>
            <color indexed="81"/>
            <rFont val="Tahoma"/>
            <family val="2"/>
          </rPr>
          <t xml:space="preserve">
TGPL 614</t>
        </r>
      </text>
    </comment>
    <comment ref="I17" authorId="0">
      <text>
        <r>
          <rPr>
            <b/>
            <sz val="9"/>
            <color indexed="81"/>
            <rFont val="Tahoma"/>
            <family val="2"/>
          </rPr>
          <t>hien:</t>
        </r>
        <r>
          <rPr>
            <sz val="9"/>
            <color indexed="81"/>
            <rFont val="Tahoma"/>
            <family val="2"/>
          </rPr>
          <t xml:space="preserve">
CTMT 1683 trđ</t>
        </r>
      </text>
    </comment>
    <comment ref="P18" authorId="0">
      <text>
        <r>
          <rPr>
            <b/>
            <sz val="9"/>
            <color indexed="81"/>
            <rFont val="Tahoma"/>
            <family val="2"/>
          </rPr>
          <t>hien:</t>
        </r>
        <r>
          <rPr>
            <sz val="9"/>
            <color indexed="81"/>
            <rFont val="Tahoma"/>
            <family val="2"/>
          </rPr>
          <t xml:space="preserve">
CTMT 940 trđ</t>
        </r>
      </text>
    </comment>
    <comment ref="H22" authorId="0">
      <text>
        <r>
          <rPr>
            <b/>
            <sz val="9"/>
            <color indexed="81"/>
            <rFont val="Tahoma"/>
            <family val="2"/>
          </rPr>
          <t>hien:</t>
        </r>
        <r>
          <rPr>
            <sz val="9"/>
            <color indexed="81"/>
            <rFont val="Tahoma"/>
            <family val="2"/>
          </rPr>
          <t xml:space="preserve">
CTMT: 6655</t>
        </r>
      </text>
    </comment>
    <comment ref="I24" authorId="0">
      <text>
        <r>
          <rPr>
            <b/>
            <sz val="9"/>
            <color indexed="81"/>
            <rFont val="Tahoma"/>
            <family val="2"/>
          </rPr>
          <t>hien:</t>
        </r>
        <r>
          <rPr>
            <sz val="9"/>
            <color indexed="81"/>
            <rFont val="Tahoma"/>
            <family val="2"/>
          </rPr>
          <t xml:space="preserve">
CTMT 700 trđ</t>
        </r>
      </text>
    </comment>
    <comment ref="P29" authorId="0">
      <text>
        <r>
          <rPr>
            <b/>
            <sz val="9"/>
            <color indexed="81"/>
            <rFont val="Tahoma"/>
            <family val="2"/>
          </rPr>
          <t>hien:</t>
        </r>
        <r>
          <rPr>
            <sz val="9"/>
            <color indexed="81"/>
            <rFont val="Tahoma"/>
            <family val="2"/>
          </rPr>
          <t xml:space="preserve">
Cận huyết thống: 280 trđ</t>
        </r>
      </text>
    </comment>
    <comment ref="D32" authorId="0">
      <text>
        <r>
          <rPr>
            <b/>
            <sz val="9"/>
            <color indexed="81"/>
            <rFont val="Tahoma"/>
            <family val="2"/>
          </rPr>
          <t>hien:</t>
        </r>
        <r>
          <rPr>
            <sz val="9"/>
            <color indexed="81"/>
            <rFont val="Tahoma"/>
            <family val="2"/>
          </rPr>
          <t xml:space="preserve">
CTMT 5000 trđ</t>
        </r>
      </text>
    </comment>
    <comment ref="P48" authorId="0">
      <text>
        <r>
          <rPr>
            <b/>
            <sz val="9"/>
            <color indexed="81"/>
            <rFont val="Tahoma"/>
            <family val="2"/>
          </rPr>
          <t>hien:</t>
        </r>
        <r>
          <rPr>
            <sz val="9"/>
            <color indexed="81"/>
            <rFont val="Tahoma"/>
            <family val="2"/>
          </rPr>
          <t xml:space="preserve">
90 trđ TƯ</t>
        </r>
      </text>
    </comment>
  </commentList>
</comments>
</file>

<file path=xl/comments7.xml><?xml version="1.0" encoding="utf-8"?>
<comments xmlns="http://schemas.openxmlformats.org/spreadsheetml/2006/main">
  <authors>
    <author>hien</author>
  </authors>
  <commentList>
    <comment ref="U10" authorId="0">
      <text>
        <r>
          <rPr>
            <b/>
            <sz val="9"/>
            <color indexed="81"/>
            <rFont val="Tahoma"/>
            <family val="2"/>
          </rPr>
          <t>hien:</t>
        </r>
        <r>
          <rPr>
            <sz val="9"/>
            <color indexed="81"/>
            <rFont val="Tahoma"/>
            <family val="2"/>
          </rPr>
          <t xml:space="preserve">
TP: -156, CM: -71</t>
        </r>
      </text>
    </comment>
  </commentList>
</comments>
</file>

<file path=xl/comments8.xml><?xml version="1.0" encoding="utf-8"?>
<comments xmlns="http://schemas.openxmlformats.org/spreadsheetml/2006/main">
  <authors>
    <author>hien</author>
  </authors>
  <commentList>
    <comment ref="AI3" authorId="0">
      <text>
        <r>
          <rPr>
            <b/>
            <sz val="9"/>
            <color indexed="81"/>
            <rFont val="Tahoma"/>
            <family val="2"/>
          </rPr>
          <t>hien: Đối với TƯ là vốn trong CĐ NS</t>
        </r>
      </text>
    </comment>
    <comment ref="AB12" authorId="0">
      <text>
        <r>
          <rPr>
            <b/>
            <sz val="9"/>
            <color indexed="81"/>
            <rFont val="Tahoma"/>
            <family val="2"/>
          </rPr>
          <t>hien:</t>
        </r>
        <r>
          <rPr>
            <sz val="9"/>
            <color indexed="81"/>
            <rFont val="Tahoma"/>
            <family val="2"/>
          </rPr>
          <t xml:space="preserve">
Chưa phân bổ</t>
        </r>
      </text>
    </comment>
  </commentList>
</comments>
</file>

<file path=xl/comments9.xml><?xml version="1.0" encoding="utf-8"?>
<comments xmlns="http://schemas.openxmlformats.org/spreadsheetml/2006/main">
  <authors>
    <author>hien</author>
  </authors>
  <commentList>
    <comment ref="E9" authorId="0">
      <text>
        <r>
          <rPr>
            <b/>
            <sz val="9"/>
            <color indexed="81"/>
            <rFont val="Tahoma"/>
            <family val="2"/>
          </rPr>
          <t>hien:</t>
        </r>
        <r>
          <rPr>
            <sz val="9"/>
            <color indexed="81"/>
            <rFont val="Tahoma"/>
            <family val="2"/>
          </rPr>
          <t xml:space="preserve">
CS 102 giam: 90td, 
1340 bù giảm thu</t>
        </r>
      </text>
    </comment>
    <comment ref="H20" authorId="0">
      <text>
        <r>
          <rPr>
            <b/>
            <sz val="9"/>
            <color indexed="81"/>
            <rFont val="Tahoma"/>
            <family val="2"/>
          </rPr>
          <t>hien:</t>
        </r>
        <r>
          <rPr>
            <sz val="9"/>
            <color indexed="81"/>
            <rFont val="Tahoma"/>
            <family val="2"/>
          </rPr>
          <t xml:space="preserve">
giảm 80 trđ KP BV PT ĐTlúa</t>
        </r>
      </text>
    </comment>
  </commentList>
</comments>
</file>

<file path=xl/sharedStrings.xml><?xml version="1.0" encoding="utf-8"?>
<sst xmlns="http://schemas.openxmlformats.org/spreadsheetml/2006/main" count="7850" uniqueCount="2453">
  <si>
    <t>STT</t>
  </si>
  <si>
    <t>Nội dung</t>
  </si>
  <si>
    <t>A</t>
  </si>
  <si>
    <t>B</t>
  </si>
  <si>
    <t>C</t>
  </si>
  <si>
    <t>Trong đó:</t>
  </si>
  <si>
    <t>Đơn vị: Triệu đồng</t>
  </si>
  <si>
    <t>Thu nội địa</t>
  </si>
  <si>
    <t>Thu từ dầu thô</t>
  </si>
  <si>
    <t>I</t>
  </si>
  <si>
    <t>Thu NSĐP được hưởng theo phân cấp</t>
  </si>
  <si>
    <t>II</t>
  </si>
  <si>
    <t>Thu bổ sung cân đối ngân sách</t>
  </si>
  <si>
    <t>Thu bổ sung có mục tiêu</t>
  </si>
  <si>
    <t>III</t>
  </si>
  <si>
    <t>IV</t>
  </si>
  <si>
    <t>Thu kết dư</t>
  </si>
  <si>
    <t>V</t>
  </si>
  <si>
    <t>Thu chuyển nguồn từ năm trước chuyển sang</t>
  </si>
  <si>
    <t>Chi thường xuyên</t>
  </si>
  <si>
    <t>Chi bổ sung quỹ dự trữ tài chính</t>
  </si>
  <si>
    <t>Dự phòng ngân sách</t>
  </si>
  <si>
    <t>Chi chuyển nguồn sang năm sau</t>
  </si>
  <si>
    <t>-</t>
  </si>
  <si>
    <t>Chi đầu tư phát triển</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</si>
  <si>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</si>
  <si>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từ nguồn thu tiền sử dụng đất</t>
  </si>
  <si>
    <t>Chi đầu tư từ nguồn thu xổ số kiến thiết</t>
  </si>
  <si>
    <t>Chi giáo dục - đào tạo và dạy nghề</t>
  </si>
  <si>
    <t>Chi khoa học và công nghệ</t>
  </si>
  <si>
    <t>Dự toán năm 2017</t>
  </si>
  <si>
    <t>Ước thực hiện năm 2017</t>
  </si>
  <si>
    <t>(Dùng cho ngân sách các cấp chính quyền địa phương)</t>
  </si>
  <si>
    <t>So sánh</t>
  </si>
  <si>
    <t>Tuyệt đối</t>
  </si>
  <si>
    <t>Tương đối (%)</t>
  </si>
  <si>
    <t>3=2-1</t>
  </si>
  <si>
    <t>4=2/1</t>
  </si>
  <si>
    <t>Thu NSĐP hưởng 100%</t>
  </si>
  <si>
    <t>TỔNG CHI NSĐP</t>
  </si>
  <si>
    <t>Chi tạo nguồn, điều chỉnh tiền lương</t>
  </si>
  <si>
    <t>Chi các chương trình mục tiêu quốc gia</t>
  </si>
  <si>
    <t>Chi các chương trình mục tiêu, nhiệm vụ</t>
  </si>
  <si>
    <t>So sánh (%)</t>
  </si>
  <si>
    <t>CHI CÂN ĐỐI NSĐP</t>
  </si>
  <si>
    <t>Trong đó: Chia theo lĩnh vực</t>
  </si>
  <si>
    <t>Trong đó: Chia theo nguồn vốn</t>
  </si>
  <si>
    <t>Chi đầu tư phát triển khác</t>
  </si>
  <si>
    <t>VI</t>
  </si>
  <si>
    <t>CHI CÁC CHƯƠNG TRÌNH MỤC TIÊU</t>
  </si>
  <si>
    <t>CHI CHUYỂN NGUỒN SANG NĂM SAU</t>
  </si>
  <si>
    <t>Chi trả nợ lãi các khoản do chính quyền địa phương vay (2)</t>
  </si>
  <si>
    <t>Chi khoa học và công nghệ (2)</t>
  </si>
  <si>
    <t>(Dùng cho ngân sách tỉnh, huyện)</t>
  </si>
  <si>
    <t>Thu ngân sách được hưởng theo phân cấp</t>
  </si>
  <si>
    <t>Thu bổ sung từ ngân sách cấp trên</t>
  </si>
  <si>
    <t>Chi ngân sách</t>
  </si>
  <si>
    <t>Chi bổ sung cho ngân sách cấp dưới</t>
  </si>
  <si>
    <t>Chi bổ sung cân đối ngân sách</t>
  </si>
  <si>
    <t>Chi bổ sung có mục tiêu</t>
  </si>
  <si>
    <t>Tên đơn vị (1)</t>
  </si>
  <si>
    <t>Tổng số</t>
  </si>
  <si>
    <t>Bao gồm</t>
  </si>
  <si>
    <t>Tên đơn vị</t>
  </si>
  <si>
    <t>Tổng thu NSNN trên địa bàn</t>
  </si>
  <si>
    <t>1. Thu từ khu vực DNNN do trung ương quản lý</t>
  </si>
  <si>
    <t>2. Thu từ khu vực DNNN do địa phương quản lý</t>
  </si>
  <si>
    <t>1. Thuế giá trị gia tăng thu từ hàng hóa nhập khẩu</t>
  </si>
  <si>
    <t>(2) Thu nội địa chi tiết từng khu vực thu, khoản thu.</t>
  </si>
  <si>
    <t>(3) Thu NSNN trên địa bàn huyện, xã không có thu từ dầu thô, thu từ hoạt động xuất, nhập khẩu. Các chỉ tiêu cột 6, 7, 8, 9, 10, 11, 12, 13 chỉ ghi dòng tổng số.</t>
  </si>
  <si>
    <t>Ngân sách huyện (xã)</t>
  </si>
  <si>
    <t>Ngân sách địa phương</t>
  </si>
  <si>
    <t>1=2+3</t>
  </si>
  <si>
    <t>4=5+6</t>
  </si>
  <si>
    <t>Chi đầu tư cho các dự án</t>
  </si>
  <si>
    <t>Chi quốc phòng</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</si>
  <si>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</si>
  <si>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</si>
  <si>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</si>
  <si>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</si>
  <si>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</si>
  <si>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</si>
  <si>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</si>
  <si>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</si>
  <si>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</si>
  <si>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Chi đầu tư khác</t>
  </si>
  <si>
    <t>Chi thường xuyên khác</t>
  </si>
  <si>
    <t>Chi chương trình MTQG</t>
  </si>
  <si>
    <t>Chi chuyển nguồn sang ngân sách năm sau</t>
  </si>
  <si>
    <t>TỔNG SỐ</t>
  </si>
  <si>
    <t>CÁC CƠ QUAN, TỔ CHỨC</t>
  </si>
  <si>
    <t>Cơ quan A</t>
  </si>
  <si>
    <t>Tổ chức B</t>
  </si>
  <si>
    <t>CHI TRẢ NỢ LÃI CÁC KHOẢN DO CHÍNH QUYỀN ĐỊA PHƯƠNG VAY (1)</t>
  </si>
  <si>
    <t>CHI BỔ SUNG QUỸ DỰ TRỮ TÀI CHÍNH (1)</t>
  </si>
  <si>
    <t>CHI CHUYỂN NGUỒN SANG NGÂN SÁCH NĂM SAU</t>
  </si>
  <si>
    <t>Trong đó</t>
  </si>
  <si>
    <t>Chi giao thông</t>
  </si>
  <si>
    <t>Chi nông nghiệp, lâm nghiệp, thủy lợi, thủy sản</t>
  </si>
  <si>
    <t>Chi đầu tư từ nguồn vốn trong nước</t>
  </si>
  <si>
    <t>Chi đầu tư từ nguồn thu XSKT (nếu có)</t>
  </si>
  <si>
    <t>Chi giáo dục, đào tạo và dạy nghề</t>
  </si>
  <si>
    <t>….</t>
  </si>
  <si>
    <t>Chi bổ sung quỹ dự trữ tài chính (3)</t>
  </si>
  <si>
    <t>Chi dự phòng ngân sách</t>
  </si>
  <si>
    <t>CHI DỰ PHÒNG NGÂN SÁCH</t>
  </si>
  <si>
    <t>CHI TẠO NGUỒN, ĐIỀU CHỈNH TIỀN LƯƠNG</t>
  </si>
  <si>
    <t>CHI BỔ SUNG CÓ MỤC TIÊU CHO NGÂN SÁCH CẤP DƯỚI (2)</t>
  </si>
  <si>
    <t>VII</t>
  </si>
  <si>
    <t>Đầu tư phát triển</t>
  </si>
  <si>
    <t>Kinh phí sự nghiệp</t>
  </si>
  <si>
    <t>Vốn trong nước</t>
  </si>
  <si>
    <t>Vốn ngoài nước</t>
  </si>
  <si>
    <t>1= +3</t>
  </si>
  <si>
    <t>2=5+12</t>
  </si>
  <si>
    <t>3=8+15</t>
  </si>
  <si>
    <t>4=5+8</t>
  </si>
  <si>
    <t>5=6+7</t>
  </si>
  <si>
    <t>8=9+10</t>
  </si>
  <si>
    <t>11=12+15</t>
  </si>
  <si>
    <t>12=13+14</t>
  </si>
  <si>
    <t>15=16+17</t>
  </si>
  <si>
    <t>Ngân sách cấp tỉnh (huyện, xã)</t>
  </si>
  <si>
    <t>………….</t>
  </si>
  <si>
    <r>
      <t xml:space="preserve">Ghi chú: </t>
    </r>
    <r>
      <rPr>
        <i/>
        <sz val="12"/>
        <color rgb="FF000000"/>
        <rFont val="Times New Roman"/>
        <family val="1"/>
      </rPr>
      <t>(1) Chi Chương trình mục tiêu quốc gia ngân sách tỉnh chi tiết đến từng cơ quan, tổ chức và từng huyện. Chi Chương trình mục tiêu quốc gia ngân sách huyện chi tiết đến từng xã. Chi Chương trình mục tiêu quốc gia ngân sách xã chi tiết đến từng cơ quan, tổ chức.</t>
    </r>
  </si>
  <si>
    <t>Chia ra</t>
  </si>
  <si>
    <t>Tổng chi cân đối NSĐP</t>
  </si>
  <si>
    <t>Thu phân chia</t>
  </si>
  <si>
    <t>…….</t>
  </si>
  <si>
    <t>Tổng chi ngân sách địa phương</t>
  </si>
  <si>
    <t>Tổng chi cân đối ngân sách địa phương</t>
  </si>
  <si>
    <t>Chi chương trình mục tiêu</t>
  </si>
  <si>
    <t>Chi tạo nguồn điều chỉnh tiền lương</t>
  </si>
  <si>
    <t>Bổ sung vốn đầu tư để thực hiện các chương trình mục tiêu, nhiệm vụ</t>
  </si>
  <si>
    <t>Bổ sung vốn sự nghiệp thực hiện các chế độ, chính sách</t>
  </si>
  <si>
    <t>Bổ sung thực hiện các chương trình mục tiêu quốc gia</t>
  </si>
  <si>
    <t>Chương trình...</t>
  </si>
  <si>
    <t>7=8+9</t>
  </si>
  <si>
    <r>
      <t>Ghi chú:</t>
    </r>
    <r>
      <rPr>
        <i/>
        <sz val="12"/>
        <color rgb="FF000000"/>
        <rFont val="Times New Roman"/>
        <family val="1"/>
      </rPr>
      <t xml:space="preserve"> (1) Chi bổ sung có mục tiêu từ ngân sách tỉnh chi tiết đến từng huyện; chi bổ sung có mục tiêu từ ngân sách huyện chi tiết đến từng xã.</t>
    </r>
  </si>
  <si>
    <t>DỰ TOÁN BỔ SUNG CÓ MỤC TIÊU VỐN SỰ NGHIỆP TỪ NGÂN SÁCH CẤP TỈNH (HUYỆN) CHO NGÂN SÁCH TỪNG HUYỆN (XÃ)</t>
  </si>
  <si>
    <t>Chính sách ….</t>
  </si>
  <si>
    <r>
      <t xml:space="preserve">Ghi chú: </t>
    </r>
    <r>
      <rPr>
        <i/>
        <sz val="12"/>
        <color rgb="FF000000"/>
        <rFont val="Times New Roman"/>
        <family val="1"/>
      </rPr>
      <t>(1) Chi bổ sung có mục tiêu từ ngân sách tỉnh chi tiết đến từng huyện; Chi bổ sung có mục tiêu từ ngân sách huyện chi tiết đến từng xã.</t>
    </r>
  </si>
  <si>
    <t>Danh mục dự án</t>
  </si>
  <si>
    <t>Địa điểm xây dựng</t>
  </si>
  <si>
    <t>Quyết định đầu tư</t>
  </si>
  <si>
    <t>Tổng số (tất cả các nguồn vốn)</t>
  </si>
  <si>
    <t>a</t>
  </si>
  <si>
    <t>b</t>
  </si>
  <si>
    <t>Thành phố Bắc Kạn</t>
  </si>
  <si>
    <t>Huyện Bạch Thông</t>
  </si>
  <si>
    <t>Huyện Bạch Mới</t>
  </si>
  <si>
    <t>Huyện Chợ Đồn</t>
  </si>
  <si>
    <t>Huyện Na Rì</t>
  </si>
  <si>
    <t>Huyện Ngân Sơn</t>
  </si>
  <si>
    <t>Huyện Ba Bể</t>
  </si>
  <si>
    <t>Huyện Pác Nặm</t>
  </si>
  <si>
    <t>I- Thu nội địa (2)</t>
  </si>
  <si>
    <t>II- Thu từ hoạt động xuất nhập khẩu (3)</t>
  </si>
  <si>
    <t>Văn phòng  HĐND tỉnh</t>
  </si>
  <si>
    <t xml:space="preserve">Văn phòng UBND tỉnh </t>
  </si>
  <si>
    <t>Sở Nội vụ</t>
  </si>
  <si>
    <t>Sở Kế hoạch và Đầu tư</t>
  </si>
  <si>
    <t>Sở Tài chính</t>
  </si>
  <si>
    <t>Sở Tư pháp</t>
  </si>
  <si>
    <t>Sở Giao thông Vận tải</t>
  </si>
  <si>
    <t>Sở Xây dựng</t>
  </si>
  <si>
    <t>Sở Công Thương</t>
  </si>
  <si>
    <t>Sở Văn hoá Thể thao và DL</t>
  </si>
  <si>
    <t xml:space="preserve">Sở Lao động TB &amp; XH </t>
  </si>
  <si>
    <t>Sở Khoa học và Công nghệ</t>
  </si>
  <si>
    <t>Sở Nông nghiệp &amp; PTNT</t>
  </si>
  <si>
    <t>Sở Tài nguyên &amp; Môi trường</t>
  </si>
  <si>
    <t>Sở Y tế</t>
  </si>
  <si>
    <t>Sở Giáo dục Đào tạo</t>
  </si>
  <si>
    <t>Sở Thông tin và Truyền thông</t>
  </si>
  <si>
    <t xml:space="preserve">Thanh tra nhà nước </t>
  </si>
  <si>
    <t>Chi cục Quản lý thị trường</t>
  </si>
  <si>
    <t xml:space="preserve">Đài Phát thanh truyền hình </t>
  </si>
  <si>
    <t>Vườn quốc gia Ba Bể</t>
  </si>
  <si>
    <t>Trường Cao đẳng Cộng đồng</t>
  </si>
  <si>
    <t xml:space="preserve">Ban Dân tộc </t>
  </si>
  <si>
    <t xml:space="preserve">Ban QLDA các khu công nghiệp  </t>
  </si>
  <si>
    <t xml:space="preserve"> Ban An toàn giao thông</t>
  </si>
  <si>
    <t>Quỹ Bảo vệ môi trường</t>
  </si>
  <si>
    <t>Khối Đảng</t>
  </si>
  <si>
    <t>Văn phòng Tỉnh uỷ</t>
  </si>
  <si>
    <t>Trường chính trị</t>
  </si>
  <si>
    <t xml:space="preserve">Các tổ chức CT-XH </t>
  </si>
  <si>
    <t>Tỉnh đoàn</t>
  </si>
  <si>
    <t>Hội Liên hiệp Phụ nữ tỉnh</t>
  </si>
  <si>
    <t>Uỷ ban Mặt trận tổ quốc tỉnh</t>
  </si>
  <si>
    <t>Hội Nông dân tỉnh</t>
  </si>
  <si>
    <t>Hội cựu chiến binh tỉnh</t>
  </si>
  <si>
    <t>D</t>
  </si>
  <si>
    <t>Hỗ trợ các tổ chức XH, tổ chức XH-nghề nghiệp</t>
  </si>
  <si>
    <t>Hội chữ thập đỏ</t>
  </si>
  <si>
    <t>Hội Đông y</t>
  </si>
  <si>
    <t>Liên minh các HTX</t>
  </si>
  <si>
    <t>Hội Văn học Nghệ thuật</t>
  </si>
  <si>
    <t>Hội nhà báo</t>
  </si>
  <si>
    <t>Hội Luật gia</t>
  </si>
  <si>
    <t>Hội Khuyến học tỉnh</t>
  </si>
  <si>
    <t>Hội Cựu TNXP tỉnh</t>
  </si>
  <si>
    <t>Hội Bảo trợ người TT &amp; TEMC</t>
  </si>
  <si>
    <t>Hội nạn nhân chất độc da cam</t>
  </si>
  <si>
    <t>Hội Người cao tuổi tỉnh</t>
  </si>
  <si>
    <t>Liên hiệp các hội khoa học</t>
  </si>
  <si>
    <t>E</t>
  </si>
  <si>
    <t>Chi An ninh - Quốc phòng</t>
  </si>
  <si>
    <t xml:space="preserve">Bộ chỉ huy quân sự tỉnh </t>
  </si>
  <si>
    <t xml:space="preserve">Công an tỉnh </t>
  </si>
  <si>
    <t>F</t>
  </si>
  <si>
    <t>Các đơn vị khác</t>
  </si>
  <si>
    <t>Chi nhánh Ngân hàng chính sách xã hội  tỉnh Bắc Kạn</t>
  </si>
  <si>
    <t>Bảo hiểm xã hội tỉnh Bắc Kạn</t>
  </si>
  <si>
    <t>Công ty trách nhiệm hữu hạn một thành viên quản lý, khai thác công trình thủy lợi Bắc Kạn</t>
  </si>
  <si>
    <t>Công ty Điện lực Bắc Kạn</t>
  </si>
  <si>
    <t>Liên Đoàn lao động tỉnh Bắc Kạn</t>
  </si>
  <si>
    <t>Bưu Điện tỉnh Bắc Kạn</t>
  </si>
  <si>
    <t>Dự toán năm 2018</t>
  </si>
  <si>
    <t>ĐỂ THỰC HIỆN CÁC CHẾ ĐỘ, NHIỆM VỤ VÀ CHÍNH SÁCH THEO QUY ĐỊNH NĂM 2018</t>
  </si>
  <si>
    <t>TỔNG NGUỒN THU NSĐP</t>
  </si>
  <si>
    <t>Thu NSĐP hưởng từ các khoản thu phân chia</t>
  </si>
  <si>
    <t>Thu từ quỹ dự trữ tài chính</t>
  </si>
  <si>
    <t>Từ nguồn vay để trả nợ gốc</t>
  </si>
  <si>
    <t>Vay để bù đắp bội chi</t>
  </si>
  <si>
    <t>Vay để trả nợ gốc</t>
  </si>
  <si>
    <t>Tổng thu NSNN</t>
  </si>
  <si>
    <t>Thu NSĐP</t>
  </si>
  <si>
    <t>TỔNG THU NSNN</t>
  </si>
  <si>
    <t>Thuế thu nhập cá nhân</t>
  </si>
  <si>
    <t>Lệ phí trước bạ</t>
  </si>
  <si>
    <t>Phí và lệ phí trung ương</t>
  </si>
  <si>
    <t>Phí và lệ phí tỉnh</t>
  </si>
  <si>
    <t>Phí và lệ phí huyện</t>
  </si>
  <si>
    <t>Phí và lệ phí xã, phường</t>
  </si>
  <si>
    <t>Thuế sử dụng đất nông nghiệp</t>
  </si>
  <si>
    <t>Thuế sử dụng đất phi nông nghiệp</t>
  </si>
  <si>
    <t>Tiền cho thuê đất, thuê mặt nước</t>
  </si>
  <si>
    <t>Thu tiền sử dụng đất</t>
  </si>
  <si>
    <t>Tiền cho thuê và tiền bán nhà ở thuộc sở hữu nhà nước</t>
  </si>
  <si>
    <t>Thu tiền cấp quyền khai thác khoáng sản</t>
  </si>
  <si>
    <t>Thu khác ngân sách</t>
  </si>
  <si>
    <t>Thu viện trợ</t>
  </si>
  <si>
    <t xml:space="preserve">Chi đầu tư cho các dự án </t>
  </si>
  <si>
    <t xml:space="preserve">Chi khoa học và công nghệ </t>
  </si>
  <si>
    <t xml:space="preserve">Chi các chương trình mục tiêu, nhiệm vụ </t>
  </si>
  <si>
    <t xml:space="preserve">Chi các chương trình mục tiêu </t>
  </si>
  <si>
    <t xml:space="preserve">Thuế bảo vệ môi trường </t>
  </si>
  <si>
    <t>Thu phí, lệ phí</t>
  </si>
  <si>
    <t xml:space="preserve">Thu từ hoạt động xổ số kiến thiết </t>
  </si>
  <si>
    <t>Thu từ hoạt động xuất, nhập khẩu</t>
  </si>
  <si>
    <t>THU NSĐP</t>
  </si>
  <si>
    <t>HẠN MỨC DƯ NỢ VAY TỐI ĐA CỦA NSĐP THEO QUY ĐỊNH</t>
  </si>
  <si>
    <t>KẾ HOẠCH VAY, TRẢ NỢ GỐC</t>
  </si>
  <si>
    <t>Tổng dư nợ đầu năm</t>
  </si>
  <si>
    <t>Tỷ lệ mức dư nợ đầu kỳ so với mức dư nợ vay tối đa của ngân sách địa phương (%)</t>
  </si>
  <si>
    <t>Trái phiếu chính quyền địa phương</t>
  </si>
  <si>
    <t>Vay lại từ nguồn Chính phủ vay ngoài nước</t>
  </si>
  <si>
    <t>Vay trong nước khác</t>
  </si>
  <si>
    <t>Trả nợ gốc vay trong năm</t>
  </si>
  <si>
    <t>Theo nguồn vốn vay</t>
  </si>
  <si>
    <t>Vốn khác</t>
  </si>
  <si>
    <t>Theo nguồn trả nợ</t>
  </si>
  <si>
    <t>Bội thu NSĐP</t>
  </si>
  <si>
    <t>Tăng thu, tiết kiệm chi</t>
  </si>
  <si>
    <t>Kết dư ngân sách cấp tỉnh</t>
  </si>
  <si>
    <t>Tổng mức vay trong năm</t>
  </si>
  <si>
    <t>Theo mục đích vay</t>
  </si>
  <si>
    <t>Theo nguồn vay</t>
  </si>
  <si>
    <t xml:space="preserve">IV </t>
  </si>
  <si>
    <t xml:space="preserve">Tổng dư nợ cuối năm </t>
  </si>
  <si>
    <t>Tỷ lệ mức dư nợ cuối kỳ so với mức dư nợ vay tối đa của ngân sách địa phương (%)</t>
  </si>
  <si>
    <t>G</t>
  </si>
  <si>
    <t>TRẢ NỢ LÃI, PHÍ</t>
  </si>
  <si>
    <t>Tương đối (%)</t>
  </si>
  <si>
    <t>Thu bổ sung từ ngân sách cấp trên</t>
  </si>
  <si>
    <t>Thu từ quỹ dự trữ tài chính</t>
  </si>
  <si>
    <t>Chi trả nợ lãi các khoản do chính quyền địa phương vay</t>
  </si>
  <si>
    <t>Chi các chương trình mục tiêu</t>
  </si>
  <si>
    <t>CHI TRẢ NỢ GỐC CỦA NSĐP</t>
  </si>
  <si>
    <t>TỔNG MỨC VAY CỦA NSĐP</t>
  </si>
  <si>
    <r>
      <t>Vay</t>
    </r>
    <r>
      <rPr>
        <sz val="11"/>
        <rFont val="Times New Roman"/>
        <family val="1"/>
      </rPr>
      <t> </t>
    </r>
    <r>
      <rPr>
        <b/>
        <sz val="11"/>
        <rFont val="Times New Roman"/>
        <family val="1"/>
      </rPr>
      <t>để bù đắp bội chi</t>
    </r>
  </si>
  <si>
    <t>Vay để trả nợ gốc</t>
  </si>
  <si>
    <t>Chi đầu tư từ nguồn thu xổ số kiến thiết</t>
  </si>
  <si>
    <t>Chi tạo nguồn, điều chỉnh tiền lương</t>
  </si>
  <si>
    <t>CHI CHUYỂN NGUỒN SANG NĂM SAU</t>
  </si>
  <si>
    <t>Khác</t>
  </si>
  <si>
    <t xml:space="preserve"> -</t>
  </si>
  <si>
    <t>Thuế giá trị gia tăng</t>
  </si>
  <si>
    <t>Thuế thu nhập doanh nghiệp</t>
  </si>
  <si>
    <t>Thu cố định tại xã</t>
  </si>
  <si>
    <t>Chương trình mục tiêu quốc gia giảm nghèo bền vững</t>
  </si>
  <si>
    <t>Chương trình mục tiêu quốc gia xây dựng nông thôn mới</t>
  </si>
  <si>
    <t>Chương trình phát triển kinh tế xã hội các vùng</t>
  </si>
  <si>
    <t>Chương trình mục tiêu quốc phòng, an ninh trên địa bàn trọng điểm</t>
  </si>
  <si>
    <t>Chương trình mục tiêu phát triển hạ tầng du lịch</t>
  </si>
  <si>
    <t>Chương trình phát triển lâm nghiệp bền vững</t>
  </si>
  <si>
    <t>Chương trình Hỗ trợ giáo dục vùng núi, vùng dân tộc thiểu số, vùng khó khăn (thuộc danh mục các trường đã được Chính phủ phê duyệt tại Quyết định 1640/QĐ-TTg)</t>
  </si>
  <si>
    <t>Chương trình mục tiêu công nghệ thông tin</t>
  </si>
  <si>
    <t>Chương trình Hỗ trợ đối ứng ODA</t>
  </si>
  <si>
    <t>Vốn đầu tư</t>
  </si>
  <si>
    <t>Vốn nước ngoài</t>
  </si>
  <si>
    <t>Vốn sự nghiệp</t>
  </si>
  <si>
    <t xml:space="preserve"> a</t>
  </si>
  <si>
    <t>Tương đối (%)</t>
  </si>
  <si>
    <t>Nguồn thu ngân sách</t>
  </si>
  <si>
    <t>Thu kết dư</t>
  </si>
  <si>
    <t>Chi ngân sách</t>
  </si>
  <si>
    <t>Chi bổ sung cho ngân sách cấp dưới (2)</t>
  </si>
  <si>
    <t>Tổng số</t>
  </si>
  <si>
    <t>Thu từ hoạt động XNK</t>
  </si>
  <si>
    <t>Thu từ dầu thô</t>
  </si>
  <si>
    <t>9=5/1</t>
  </si>
  <si>
    <t>10=6/2</t>
  </si>
  <si>
    <t>11=7/3</t>
  </si>
  <si>
    <t>12=8/4</t>
  </si>
  <si>
    <t>TỔNG SỐ (2)</t>
  </si>
  <si>
    <t>Huyện A</t>
  </si>
  <si>
    <t>Quận B</t>
  </si>
  <si>
    <t>………</t>
  </si>
  <si>
    <t>Phường B</t>
  </si>
  <si>
    <t>Ước thực hiện năm...</t>
  </si>
  <si>
    <t>7=4/1</t>
  </si>
  <si>
    <t>8=5/2</t>
  </si>
  <si>
    <t>9=6/3</t>
  </si>
  <si>
    <t xml:space="preserve">Chi đầu tư phát triển </t>
  </si>
  <si>
    <t>………..</t>
  </si>
  <si>
    <t xml:space="preserve">Ghi chú: </t>
  </si>
  <si>
    <t>……</t>
  </si>
  <si>
    <t>Đơn vị: triệu đồng</t>
  </si>
  <si>
    <t>Thành phố C</t>
  </si>
  <si>
    <t>Thị xã D</t>
  </si>
  <si>
    <t>Xã A</t>
  </si>
  <si>
    <t>Thị trấn C</t>
  </si>
  <si>
    <t>Biểu mẫu số 28</t>
  </si>
  <si>
    <t>Tên quỹ</t>
  </si>
  <si>
    <r>
      <t xml:space="preserve">Số dư nguồn đến ngày 31/12/ … </t>
    </r>
    <r>
      <rPr>
        <sz val="12"/>
        <color rgb="FF000000"/>
        <rFont val="Times New Roman"/>
        <family val="1"/>
      </rPr>
      <t>(năm trước)</t>
    </r>
  </si>
  <si>
    <t>Kế hoạch năm...</t>
  </si>
  <si>
    <r>
      <t xml:space="preserve">Số dư nguồn đến 31/12/ … </t>
    </r>
    <r>
      <rPr>
        <sz val="12"/>
        <color rgb="FF000000"/>
        <rFont val="Times New Roman"/>
        <family val="1"/>
      </rPr>
      <t>(năm hiện hành)</t>
    </r>
  </si>
  <si>
    <t>Tổng nguồn vốn phát sinh trong năm</t>
  </si>
  <si>
    <t>Tổng sử dụng nguồn vốn trong năm</t>
  </si>
  <si>
    <t>Chênh lệch nguồn trong năm</t>
  </si>
  <si>
    <r>
      <t xml:space="preserve">Trong đó: Hỗ trợ từ NSĐP </t>
    </r>
    <r>
      <rPr>
        <sz val="12"/>
        <color rgb="FF000000"/>
        <rFont val="Times New Roman"/>
        <family val="1"/>
      </rPr>
      <t>(nếu có)</t>
    </r>
  </si>
  <si>
    <t>5=1+2-4</t>
  </si>
  <si>
    <t>9=6-8</t>
  </si>
  <si>
    <t>10= 1+6-8</t>
  </si>
  <si>
    <t>Quỹ A</t>
  </si>
  <si>
    <t>Quỹ B</t>
  </si>
  <si>
    <t>Quỹ C</t>
  </si>
  <si>
    <t>Biểu mẫu số 29</t>
  </si>
  <si>
    <t>(KHÔNG BAO GỒM NGUỒN NSNN)</t>
  </si>
  <si>
    <t>3=2/1</t>
  </si>
  <si>
    <t>Sự nghiệp giáo dục - đào tạo và dạy nghề</t>
  </si>
  <si>
    <t>Sự nghiệp giáo dục</t>
  </si>
  <si>
    <t>Sự nghiệp đào tạo và dạy nghề</t>
  </si>
  <si>
    <t>Sự nghiệp khoa học và công nghệ</t>
  </si>
  <si>
    <t>Sự nghiệp y tế</t>
  </si>
  <si>
    <t>Sự nghiệp văn hóa thông tin</t>
  </si>
  <si>
    <t>Sự nghiệp phát thanh truyền hình</t>
  </si>
  <si>
    <t>Sự nghiệp thể dục thể thao</t>
  </si>
  <si>
    <t>…………………..</t>
  </si>
  <si>
    <t>Biểu mẫu số 31</t>
  </si>
  <si>
    <t>Biểu mẫu số 40</t>
  </si>
  <si>
    <t>TỶ LỆ PHẦN TRĂM (%) PHÂN CHIA CÁC KHOẢN THU GIỮA NGÂN SÁCH CÁC CẤP CHÍNH QUYỀN ĐỊA PHƯƠNG NĂM...</t>
  </si>
  <si>
    <t>(Dùng cho ngân sách tỉnh - năm đầu thời kỳ ổn định ngân sách)</t>
  </si>
  <si>
    <t>Đơn vị: %</t>
  </si>
  <si>
    <t>Chi tiết theo sắc thuế</t>
  </si>
  <si>
    <t>Biểu mẫu số 45</t>
  </si>
  <si>
    <t>KẾ HOẠCH TÀI CHÍNH CỦA CÁC QUỸ TÀI CHÍNH NHÀ NƯỚC NGOÀI NGÂN SÁCH DO ĐỊA PHƯƠNG QUẢN LÝ NĂM ...</t>
  </si>
  <si>
    <r>
      <t xml:space="preserve">Dư nguồn đến ngày 31/12/… </t>
    </r>
    <r>
      <rPr>
        <sz val="12"/>
        <color rgb="FF000000"/>
        <rFont val="Times New Roman"/>
        <family val="1"/>
      </rPr>
      <t>(năm trước)</t>
    </r>
  </si>
  <si>
    <r>
      <t xml:space="preserve">Số dư nguồn đến ngày 31/12/… </t>
    </r>
    <r>
      <rPr>
        <sz val="12"/>
        <color rgb="FF000000"/>
        <rFont val="Times New Roman"/>
        <family val="1"/>
      </rPr>
      <t>(năm hiện hành)</t>
    </r>
  </si>
  <si>
    <t>Kế hoạch năm…..</t>
  </si>
  <si>
    <r>
      <t xml:space="preserve">Dự kiến dư nguồn đến ngày 31/12/… </t>
    </r>
    <r>
      <rPr>
        <sz val="12"/>
        <color rgb="FF000000"/>
        <rFont val="Times New Roman"/>
        <family val="1"/>
      </rPr>
      <t>(năm sau)</t>
    </r>
  </si>
  <si>
    <t>Trong đó: Hỗ trợ từ NSĐP (nếu có)</t>
  </si>
  <si>
    <t>5=2-4</t>
  </si>
  <si>
    <t>6=1+2-4</t>
  </si>
  <si>
    <t>10=7-9</t>
  </si>
  <si>
    <t>11=6+7-9</t>
  </si>
  <si>
    <t>Biểu mẫu số 47</t>
  </si>
  <si>
    <t>KẾ HOẠCH THU DỊCH VỤ CỦA ĐƠN VỊ SỰ NGHIỆP CÔNG NĂM...</t>
  </si>
  <si>
    <t xml:space="preserve">NGÂN SÁCH CẤP TỈNH </t>
  </si>
  <si>
    <t>NGÂN SÁCH HUYỆN</t>
  </si>
  <si>
    <t xml:space="preserve">Chi thuộc nhiệm vụ của ngân sách cấp tỉnh </t>
  </si>
  <si>
    <t xml:space="preserve">Chi thuộc nhiệm vụ của ngân sách cấp huyện </t>
  </si>
  <si>
    <t>Huyện Chợ Mới</t>
  </si>
  <si>
    <t>Văn phòng Cục thuế</t>
  </si>
  <si>
    <t>Chi Cục Hải quan</t>
  </si>
  <si>
    <t>3. Thu từ DN có vốn đầu tư nước ngoài</t>
  </si>
  <si>
    <t>4. Thu từ KV ngoài quốc doanh</t>
  </si>
  <si>
    <t>5. Lệ phí trước bạ</t>
  </si>
  <si>
    <t>6. Thuế sử dụng đất NN</t>
  </si>
  <si>
    <t>7. Thu cấp quyền khai thác khoáng sản</t>
  </si>
  <si>
    <t>8. Thu tiền sử dụng đất</t>
  </si>
  <si>
    <r>
      <t>Ghi chú: </t>
    </r>
    <r>
      <rPr>
        <i/>
        <sz val="10"/>
        <rFont val="Times New Roman"/>
        <family val="1"/>
      </rPr>
      <t>(1) Thu ngân sách nhà nước trên địa bàn tỉnh chi tiết đến từng huyện; thu ngân sách nhà nước trên địa bàn huyện chi tiết đến từng xã.</t>
    </r>
  </si>
  <si>
    <t>9. Thu xổ số kiến thiết</t>
  </si>
  <si>
    <t>10. Tiền cho thuê đất, thuê mặt nước</t>
  </si>
  <si>
    <t>11. Phí, lệ phí</t>
  </si>
  <si>
    <t>12. Thuế bảo vệ môi trường</t>
  </si>
  <si>
    <t>13. Thuế thu nhập cá nhân</t>
  </si>
  <si>
    <t>14. Thuế sử dụng đất phí nông nghiệp</t>
  </si>
  <si>
    <t>15. Thu khác ngân sách</t>
  </si>
  <si>
    <t>16. Thu cố định tại xã</t>
  </si>
  <si>
    <t>2. Thuế nhập khẩu</t>
  </si>
  <si>
    <t xml:space="preserve">Ngân sách cấp tỉnh </t>
  </si>
  <si>
    <t xml:space="preserve">Ngân sách huyện </t>
  </si>
  <si>
    <t>TÌNH HÌNH THỰC HIỆN KẾ HOẠCH TÀI CHÍNH CÁC QUỸ TÀI CHÍNH NHÀ NƯỚC NGOÀI NGÂN SÁCH DO ĐỊA PHƯƠNG QUẢN LÝ NĂM 2017</t>
  </si>
  <si>
    <t>Kế hoạch năm 2017</t>
  </si>
  <si>
    <t>ĐÁNH GIÁ THỰC HIỆN THU DỊCH VỤ CỦA ĐƠN VỊ SỰ NGHIỆP CÔNG NĂM 2017</t>
  </si>
  <si>
    <t>DỰ TOÁN CHI CHƯƠNG TRÌNH MỤC TIÊU QUỐC GIA NGÂN SÁCH CẤP TỈNH VÀ NGÂN SÁCH HUYỆN NĂM 2018</t>
  </si>
  <si>
    <t>CHI NGÂN SÁCH CẤP TỈNH THEO LĨNH VỰC</t>
  </si>
  <si>
    <t>Từ nguồn bội thu ngân sách cấp tỉnh</t>
  </si>
  <si>
    <t>DỰ TOÁN BỔ SUNG CÓ MỤC TIÊU VỐN ĐẦU TƯ TỪ NGÂN SÁCH CẤP TỈNH CHO NGÂN SÁCH TỪNG HUYỆN  ĐỂ THỰC HIỆN CÁC CHƯƠNG TRÌNH MỤC TIÊU NĂM 2018</t>
  </si>
  <si>
    <t xml:space="preserve">Tổng số giao đầu năm </t>
  </si>
  <si>
    <t>Cấp bổ sung trong năm</t>
  </si>
  <si>
    <t xml:space="preserve">Tổng số </t>
  </si>
  <si>
    <t>Chuyển nguồn 2016 sang 2017</t>
  </si>
  <si>
    <t>Văn phòng điều phối xây dựng NTM và GN</t>
  </si>
  <si>
    <t>Ban QLDA đầu tư xây dựng tỉnh</t>
  </si>
  <si>
    <t>Ban QLDA ĐTXD tỉnh</t>
  </si>
  <si>
    <t>UBND huyện Ba Bể</t>
  </si>
  <si>
    <t>UBND huyện Bạch Thông</t>
  </si>
  <si>
    <t>UBND huyện Pác Nặm</t>
  </si>
  <si>
    <t>UBND huyện Ngân Sơn</t>
  </si>
  <si>
    <t>UBND huyện Na Rì</t>
  </si>
  <si>
    <t>UBND huyện Chợ Mới</t>
  </si>
  <si>
    <t>UBND huyện Chợ Đồn</t>
  </si>
  <si>
    <t>UBND thành phố Bắc Kạn</t>
  </si>
  <si>
    <t>Trung tâm CNTT và TT</t>
  </si>
  <si>
    <t>Ban QLDA bệnh viện đa khoa Bắc Kạn</t>
  </si>
  <si>
    <t>Ban thực hiện dự án Mê Kông</t>
  </si>
  <si>
    <t>Công ty cổ phần cấp thoát nước Bắc Kạn</t>
  </si>
  <si>
    <t>Trung tâm nước sinh hoạt và VSMTNT</t>
  </si>
  <si>
    <t>Ban QLDA BV&amp;PTR huyện Ngân Sơn</t>
  </si>
  <si>
    <t>Chi cục Kiểm lâm</t>
  </si>
  <si>
    <t>Thành phố BK</t>
  </si>
  <si>
    <t>TỔNG CHI NGÂN SÁCH ĐỊA PHƯƠNG QUẢN LÝ (I+II)</t>
  </si>
  <si>
    <t>CHI CÂN ĐỐI NGÂN SÁCH ĐỊA PHƯƠNG</t>
  </si>
  <si>
    <t>1.1</t>
  </si>
  <si>
    <t>1.2</t>
  </si>
  <si>
    <t>Chi đầu tư phát triển còn lại (1-1.1)</t>
  </si>
  <si>
    <t>1.2.1</t>
  </si>
  <si>
    <t>Chi đầu tư phát triển của các dự án phân theo nguồn vốn</t>
  </si>
  <si>
    <t>Chi đầu tư XDCB vốn trong nước</t>
  </si>
  <si>
    <t>Chi đầu tư phát triển khác (hoạt động KT)</t>
  </si>
  <si>
    <t>c</t>
  </si>
  <si>
    <t>Chi đầu tư từ nguồn khác</t>
  </si>
  <si>
    <t>1.2.2</t>
  </si>
  <si>
    <t>Chi đầu tư phát triển phân theo lĩnh vực</t>
  </si>
  <si>
    <t>d</t>
  </si>
  <si>
    <t>Chi an ninh</t>
  </si>
  <si>
    <t>đ</t>
  </si>
  <si>
    <t>e</t>
  </si>
  <si>
    <t>g</t>
  </si>
  <si>
    <t>Chi phát thanh, truyền hình</t>
  </si>
  <si>
    <t>h</t>
  </si>
  <si>
    <t xml:space="preserve">Chi thể dục thể thao </t>
  </si>
  <si>
    <t>i</t>
  </si>
  <si>
    <t>k</t>
  </si>
  <si>
    <t>Chi hoạt động kinh tế</t>
  </si>
  <si>
    <t>l</t>
  </si>
  <si>
    <t>Chi hoạt động quản lý nhà nước, Đảng, đoàn thể</t>
  </si>
  <si>
    <t>m</t>
  </si>
  <si>
    <t>n</t>
  </si>
  <si>
    <t>Chi khác</t>
  </si>
  <si>
    <t>Chi sự nghiệp y tế, dân số và gia đình</t>
  </si>
  <si>
    <t>Chi sự nghiệp văn hóa thông tin</t>
  </si>
  <si>
    <t>Chi sự nghiệp phát thanh, truyền hình</t>
  </si>
  <si>
    <t>Chi sự nghiệp thể dục thể thao</t>
  </si>
  <si>
    <t>Chi sự nghiệp bảo vệ môi trường</t>
  </si>
  <si>
    <t>Chi trả nợ lãi do chính quyền địa phương vay</t>
  </si>
  <si>
    <t xml:space="preserve">Dự phòng ngân sách </t>
  </si>
  <si>
    <t>Chi tạo nguồn cải cách tiền lương</t>
  </si>
  <si>
    <t>Chi thực hiện các chương trình mục tiêu quốc gia</t>
  </si>
  <si>
    <t xml:space="preserve"> - Vốn đầu tư</t>
  </si>
  <si>
    <t xml:space="preserve"> - Vốn sự nghiệp</t>
  </si>
  <si>
    <t>Chương trình MTQG XD nông thôn mới</t>
  </si>
  <si>
    <t>thêm</t>
  </si>
  <si>
    <t>Chương trình 135 (cả CN)</t>
  </si>
  <si>
    <t xml:space="preserve"> - Nguồn sự nghiệp</t>
  </si>
  <si>
    <t>Vốn CTMTQG phòng chống ma túy năm trước chuyển sang</t>
  </si>
  <si>
    <t>Vốn CTMTQG việc làm dạy nghề năm trước chuyển sang</t>
  </si>
  <si>
    <t>Chi từ nguồn hỗ trợ thực hiện các chế độ, chính sách được bổ sung trong năm theo quy định</t>
  </si>
  <si>
    <t>KP hỗ trợ tiền điện hộ nghèo, hộ chính sách xã hội năm 2017</t>
  </si>
  <si>
    <t>Kinh phí thực hiện chính sách tinh giản biên chế đợt I năm 2017</t>
  </si>
  <si>
    <t>KP giải quyết chế độ, chính sách theo NĐ 26/2015/NĐ-CP</t>
  </si>
  <si>
    <t xml:space="preserve">Kinh phí thực hiện rà soát đối tượng thuộc hộ gia đình nghèo được cấp thẻ BHYT năm 2016, 2017 </t>
  </si>
  <si>
    <t>KP đào tạo lớp BDCB</t>
  </si>
  <si>
    <t>Nguồn viện trợ của CP Ailen (Vốn đầu tư)</t>
  </si>
  <si>
    <t>CHI CHUYỂN NGUỒN SANG NĂM SAU CỦA NGÂN SÁCH ĐỊA PHƯƠNG</t>
  </si>
  <si>
    <t>Chương trình Ai len- vốn năm 2016</t>
  </si>
  <si>
    <t>Chương trình giảm nghèo bền vững- vốn năm 2016</t>
  </si>
  <si>
    <t xml:space="preserve"> +</t>
  </si>
  <si>
    <t>Cấp huyện</t>
  </si>
  <si>
    <t>Cấp xã</t>
  </si>
  <si>
    <t>Chương trình MTQG xây dựng NTM</t>
  </si>
  <si>
    <t>Nguồn kết dư ngân sách huyện</t>
  </si>
  <si>
    <t>Nguồn thu từ đất</t>
  </si>
  <si>
    <t>Vốn Sự nghiệp</t>
  </si>
  <si>
    <t>Chương trình MTQG XDNTM</t>
  </si>
  <si>
    <t>Kinh phí thường xuyên</t>
  </si>
  <si>
    <t xml:space="preserve"> Chương trình MTQG giảm nghèo bền vững</t>
  </si>
  <si>
    <t>3.1</t>
  </si>
  <si>
    <t>3.2</t>
  </si>
  <si>
    <t>3.3</t>
  </si>
  <si>
    <t>3.4</t>
  </si>
  <si>
    <t>3.5</t>
  </si>
  <si>
    <t>3.6</t>
  </si>
  <si>
    <t>Kinh phí CTMT DAPT hệ thống bảo vệ trẻ em</t>
  </si>
  <si>
    <t>3.7</t>
  </si>
  <si>
    <t xml:space="preserve"> kinh phí  thực hiện chính sách hỗ trợ tiền ăn trưa cho trẻ 3-5 tuổi năm 2016 (lần 2)</t>
  </si>
  <si>
    <t xml:space="preserve"> Chương trình MTQG giảm nghèo bền vững </t>
  </si>
  <si>
    <t>Cấp tỉnh</t>
  </si>
  <si>
    <t xml:space="preserve">TỔNG CHI NGÂN SÁCH ĐỊA PHƯƠNG </t>
  </si>
  <si>
    <t>Chương trình MTQG Văn hóa (nguồn năm trước chuyển sang)</t>
  </si>
  <si>
    <t>Chương trình MTQG Giáo dục - Đào tạo (nguồn năm trước chuyển sang)</t>
  </si>
  <si>
    <t>Thực hiện 10 tháng</t>
  </si>
  <si>
    <t>10 tháng/DT</t>
  </si>
  <si>
    <t>TK</t>
  </si>
  <si>
    <t>Công ty TNHH MTV Lâm nghiệp Bắc Kạn</t>
  </si>
  <si>
    <t>Cục Thi hành án Dân sự</t>
  </si>
  <si>
    <t>Công ty TNHH Trường thành Bắc Kạn</t>
  </si>
  <si>
    <t>HTX Cao Phong</t>
  </si>
  <si>
    <t>HTX Thắng Lợi</t>
  </si>
  <si>
    <t>HTX sản xuất và chế biến nông sản Đồng Tâm</t>
  </si>
  <si>
    <t>Quỹ bảo trì đường bộ</t>
  </si>
  <si>
    <t>Công ty Cổ phần sản xuất vật liệu xây dựng Bắc Kạn</t>
  </si>
  <si>
    <t>Công ty TNHH Trường Thành Bắc Kạn</t>
  </si>
  <si>
    <t>Công ty Cổ phần Hồng Hà</t>
  </si>
  <si>
    <t>Chi Chương trình MTQG</t>
  </si>
  <si>
    <t>CT MTQG giảm nghèo bền vững</t>
  </si>
  <si>
    <t>CT MTQG Xây dựng NTM</t>
  </si>
  <si>
    <t xml:space="preserve">Vốn Alen giao bổ sung và Chương trình MTQG khác </t>
  </si>
  <si>
    <t>Chi bổ sung cho NS cấp dưới</t>
  </si>
  <si>
    <t>Hỗ trợ thực hiện một số Đề án, Dự án khoa học công nghệ</t>
  </si>
  <si>
    <t>Chính sách trợ giúp pháp lý Quyết định số 32/2016/QĐ-TTg của Thủ tướng Chính phủ</t>
  </si>
  <si>
    <t>Chính sách hỗ trợ chi phí học tập và miễn giảm học sinh cho học sinh phổ thông và cao đẳng đại học theo Nghị định 86/2015/NĐ-CP</t>
  </si>
  <si>
    <t>Chính sách hỗ trợ học sinh vùng KTXH đặc biêt khó khăn theo NĐ 116</t>
  </si>
  <si>
    <t>Chính sách hỗ tợ tiền ăn trưa cho trẻ 3-5 tuổi</t>
  </si>
  <si>
    <t>Chính sách học bổng học sinh dân tộc nội trú</t>
  </si>
  <si>
    <t>Chính sách hỗ trợ học bổng, chi phí học tập cho học sinh khuyết tật</t>
  </si>
  <si>
    <t>Kinh phí thực hiện chính sách nội trú theo QĐ số 53/QĐ-TTg</t>
  </si>
  <si>
    <t>Hỗ trợ kinh phí đào tạo cán bộ quân sự cấp xã</t>
  </si>
  <si>
    <t>Hỗ trợ kinh phí mua thẻ BHYT cho người nghèo, người sống ở vùng kinh tế xã hội ĐBKK, người dân tộc thiểu số sống ở vùng KT-XH khó khăn</t>
  </si>
  <si>
    <t>Hỗ trợ kinh phí mua thẻ BHYT cho trẻ em dưới 6 tuổi</t>
  </si>
  <si>
    <t>Hỗ trợ kinh phí mua thẻ BHYT cho cựu chiến binh, thanh niên xung phong</t>
  </si>
  <si>
    <t>Hỗ trợ kinh phí mua thẻ BHYT cho học sinh, sinh viên</t>
  </si>
  <si>
    <t>Hỗ trợ kinh phí mua thẻ BHYT cho hộ cận nghèo, hộ nông lâm nghư nghiệp có mức sống trung bình</t>
  </si>
  <si>
    <t>Chính sách hỗ trợ đối tượng bảo trợ xã hội theo NĐ136</t>
  </si>
  <si>
    <t xml:space="preserve">Chính sách hỗ trợ tiền điện cho hộ nghèo, hộ chính sách xã hội </t>
  </si>
  <si>
    <t>Chính sách đối với người có uy tín trong đồng bào dân tộc thiểu số</t>
  </si>
  <si>
    <t>Hỗ trợ tổ chức, đơn vị sử dụng lao động là người dân tộc thiểu số</t>
  </si>
  <si>
    <t>Chính sách hỗ trợ giống để chuyển đổi từ trồng lúa sang trồng ngô theo Quyết định số 915/QĐ-TTg</t>
  </si>
  <si>
    <t>Kinh phí hỗ trợ Công ty lâm nghiệp có rừng tự nhiên phải tạm dừng khai thác năm 2018 theo Quyết định số 2242/QĐ-TTg</t>
  </si>
  <si>
    <t>Bổ sung kinh phí thực hiện nhiệm vụ đảm bảo trật tự an toàn giao thông</t>
  </si>
  <si>
    <t>Bổ sung thực hiện một số Chương trình mục tiêu</t>
  </si>
  <si>
    <t>Hỗ trợ bù giảm thu để đảm bảo mặt bằng chi thường xuyên không thấp hơn dự toán năm 2017</t>
  </si>
  <si>
    <t>Vốn trái phiếu Chính phủ</t>
  </si>
  <si>
    <t>Số liệu toàn tỉnh</t>
  </si>
  <si>
    <t>VP Cục Thuế</t>
  </si>
  <si>
    <t xml:space="preserve">Thu từ khu vực DNNN do trung ương quản lý </t>
  </si>
  <si>
    <t xml:space="preserve"> - Thuế thu nhập doanh nghiệp</t>
  </si>
  <si>
    <t xml:space="preserve"> - Thuế tài nguyên</t>
  </si>
  <si>
    <t xml:space="preserve"> - Thuế giá trị gia tăng</t>
  </si>
  <si>
    <t xml:space="preserve"> - Thu khác</t>
  </si>
  <si>
    <t xml:space="preserve">Thu từ khu vực DNNN do địa phương quản lý </t>
  </si>
  <si>
    <t xml:space="preserve"> - Thuế tiêu thụ đặc biệt</t>
  </si>
  <si>
    <t xml:space="preserve">Thu từ khu vực doanh nghiệp có vốn đầu tư nước ngoài </t>
  </si>
  <si>
    <t>Thu từ khu vực kinh tế ngoài quốc doanh</t>
  </si>
  <si>
    <t xml:space="preserve"> - Thuế BVMT thu từ hàng hóa sản xuất, kinh doanh trong nước</t>
  </si>
  <si>
    <t xml:space="preserve"> - Thuế BVMT thu từ hàng hóa nhập khẩu</t>
  </si>
  <si>
    <t xml:space="preserve"> - Trước bạ đất</t>
  </si>
  <si>
    <t xml:space="preserve"> - Trước bạ phương tiện</t>
  </si>
  <si>
    <t xml:space="preserve"> - Thuế GTGT thu từ hàng hóa nhập khẩu</t>
  </si>
  <si>
    <t xml:space="preserve"> - Thuế xuất khẩu</t>
  </si>
  <si>
    <t xml:space="preserve"> - Thuế nhập khẩu</t>
  </si>
  <si>
    <t xml:space="preserve"> - Thuế TTĐB thu từ hàng hóa nhập khẩu</t>
  </si>
  <si>
    <t>Hải quan</t>
  </si>
  <si>
    <t>Thu bổ sung thực hiện cải cách tiền lương</t>
  </si>
  <si>
    <t>Chi đầu tư từ nguồn bội chi NSĐP</t>
  </si>
  <si>
    <t>14. Thuế sử dụng đất phi nông nghiệp</t>
  </si>
  <si>
    <t>15. Thu tiền thuê nhà, bán nhà thuộc sở hữu nhà nước</t>
  </si>
  <si>
    <t>16. Thu khác ngân sách</t>
  </si>
  <si>
    <t>Tỉnh Bắc Kạn</t>
  </si>
  <si>
    <t>Nội dung chi</t>
  </si>
  <si>
    <t>TỔNG DỰ TOÁN</t>
  </si>
  <si>
    <t>QLHC</t>
  </si>
  <si>
    <t>SNGD</t>
  </si>
  <si>
    <t>Kinh phí thực hiện nhiệm vụ quy hoạch</t>
  </si>
  <si>
    <t>SNKT</t>
  </si>
  <si>
    <t>Kinh phí bảo đảm trật tự an toàn giao thông</t>
  </si>
  <si>
    <t>Kinh phí sửa xe ô tô</t>
  </si>
  <si>
    <t>TX</t>
  </si>
  <si>
    <t>BT</t>
  </si>
  <si>
    <t>CM</t>
  </si>
  <si>
    <t>CĐ</t>
  </si>
  <si>
    <t>NR</t>
  </si>
  <si>
    <t>NS</t>
  </si>
  <si>
    <t>BB</t>
  </si>
  <si>
    <t>PN</t>
  </si>
  <si>
    <t>DT 2014</t>
  </si>
  <si>
    <t>Kinh phí đào tạo, bồi dưỡng cán bộ, công chức</t>
  </si>
  <si>
    <r>
      <rPr>
        <i/>
        <u/>
        <sz val="10"/>
        <rFont val="Times New Roman"/>
        <family val="1"/>
      </rPr>
      <t>Ghi chú:</t>
    </r>
    <r>
      <rPr>
        <i/>
        <sz val="10"/>
        <rFont val="Times New Roman"/>
        <family val="1"/>
      </rPr>
      <t xml:space="preserve"> -  Dự toán chi bổ sung có mục tiêu trên đã được tổng hợp vào biểu Dự toán thu, chi ngân sách các huyện, thành phố.</t>
    </r>
  </si>
  <si>
    <t xml:space="preserve">                 Đơn vị: Triệu đồng</t>
  </si>
  <si>
    <t>Vườn Quốc gia Ba Bể</t>
  </si>
  <si>
    <t>Công ty TNHH MTV Lâm nghiệp BK</t>
  </si>
  <si>
    <t>Sở Lao động</t>
  </si>
  <si>
    <t>Ban Dân tộc</t>
  </si>
  <si>
    <t>Bộ Chỉ huy quân sự tỉnh</t>
  </si>
  <si>
    <t>BHXH tỉnh</t>
  </si>
  <si>
    <t>Sở Giáo dục - Đào tạo</t>
  </si>
  <si>
    <t>Trường Cao đẳng nghề DTNT Bắc Kạn</t>
  </si>
  <si>
    <t>Trường Trung cấp y</t>
  </si>
  <si>
    <t>Huyện</t>
  </si>
  <si>
    <t>Thành phố</t>
  </si>
  <si>
    <t>Bạch Thông</t>
  </si>
  <si>
    <t>Chợ Mới</t>
  </si>
  <si>
    <t>Chợ Đồn</t>
  </si>
  <si>
    <t>Na Rì</t>
  </si>
  <si>
    <t>Ngân Sơn</t>
  </si>
  <si>
    <t>Ba Bể</t>
  </si>
  <si>
    <t>Pác Nặm</t>
  </si>
  <si>
    <t>Đơn vị thực hiện</t>
  </si>
  <si>
    <t>Ghi chú</t>
  </si>
  <si>
    <t>Phân bổ sau</t>
  </si>
  <si>
    <t>CTMT Giáo dục nghề nghiệp-việc làm và an toàn lao động</t>
  </si>
  <si>
    <t>CTMT Phát triển hệ thống trợ giúp xã hội</t>
  </si>
  <si>
    <t>CTMT Y tế - Dân số</t>
  </si>
  <si>
    <t>CTMT Phát triển văn hóa</t>
  </si>
  <si>
    <t>CTMT đảm bảo trật tự an toàn giao thông, PCCC, phòng chống tội phạm và ma túy</t>
  </si>
  <si>
    <t>CTMT Phát triển lâm nghiệp bền vững</t>
  </si>
  <si>
    <t>CTMT tái cơ cấu kinh tế nông nghiệp và phòng chống giảm nhẹ thiên tai, ổn định đời sống dân cư</t>
  </si>
  <si>
    <t>Sở Khoa học Công nghệ</t>
  </si>
  <si>
    <t>Năm 2017</t>
  </si>
  <si>
    <t>Số tăng thêm năm 2018</t>
  </si>
  <si>
    <t>TP Tăng, giảm</t>
  </si>
  <si>
    <t>BT Tăng, giảm</t>
  </si>
  <si>
    <t>CM Tăng, giảm</t>
  </si>
  <si>
    <t>CĐ Tăng, giảm</t>
  </si>
  <si>
    <t>NR Tăng, giảm</t>
  </si>
  <si>
    <t>NS Tăng, giảm</t>
  </si>
  <si>
    <t>BB Tăng, giảm</t>
  </si>
  <si>
    <t>PN Tăng, giảm</t>
  </si>
  <si>
    <t>ĐBXH</t>
  </si>
  <si>
    <t>Chính sách hỗ trợ phụ nữ nghèo sinh con đúng chính sách</t>
  </si>
  <si>
    <t>Hỗ trợ kinh phí cho đội công tác xã hội tình nguyện</t>
  </si>
  <si>
    <t>Kinh phí thực hiện chính sách hỗ trợ người quản lý học sinh theo Nghị quyết 54</t>
  </si>
  <si>
    <t>Nguồn Trung ương</t>
  </si>
  <si>
    <t>Nguồn cấp tỉnh</t>
  </si>
  <si>
    <t>CTMT Phát triển lâm nghiệp bền vững (Kinh phí khoán bảo vệ, khoanh nuôi tái sinh rừng tự nhiên)</t>
  </si>
  <si>
    <t>Kinh phí thực hiện cuộc vận động toàn dân đoàn kết xây dựng đời sông văn hóa ở khu dân cư</t>
  </si>
  <si>
    <t>Tổng cộng</t>
  </si>
  <si>
    <t xml:space="preserve">TỔNG THU NGÂN SÁCH </t>
  </si>
  <si>
    <t>THU NGÂN SÁCH HUYỆN, THÀNH PHỐ HƯỞNG</t>
  </si>
  <si>
    <t>THU BỔ SUNG TỪ NGÂN SÁCH CẤP TỈNH</t>
  </si>
  <si>
    <t>Thu bổ sung cân đối từ ngân sách cấp tỉnh</t>
  </si>
  <si>
    <t>TỔNG CHI NGÂN SÁCH</t>
  </si>
  <si>
    <t>CHI ĐẦU TƯ PHÁT TRIỂN</t>
  </si>
  <si>
    <t>Nguồn phân cấp cho huyện điều hành</t>
  </si>
  <si>
    <t xml:space="preserve">Nguồn thu tiền sử dụng đất </t>
  </si>
  <si>
    <t>Trong đó kinh phí dành để trả nợ vốn vay tín dụng ưu đãi</t>
  </si>
  <si>
    <t>CHI THƯỜNG XUYÊN</t>
  </si>
  <si>
    <t>Chi sự nghiệp kinh tế</t>
  </si>
  <si>
    <t>Sự nghiệp môi trường</t>
  </si>
  <si>
    <t>Chi quản lý hành chính</t>
  </si>
  <si>
    <t>Chi sự nghiệp GD-ĐT và dạy nghề</t>
  </si>
  <si>
    <t xml:space="preserve"> </t>
  </si>
  <si>
    <t>Chi sự nghiệp giáo dục</t>
  </si>
  <si>
    <t>Chi sự nghiệp đào tạo</t>
  </si>
  <si>
    <t>Chi sự nghiệp phát thanh truyền hình</t>
  </si>
  <si>
    <t>DỰ PHÒNG NGÂN SÁCH</t>
  </si>
  <si>
    <t>NGUỒN THỰC HIỆN CẢI CÁCH TIỀN LƯƠNG</t>
  </si>
  <si>
    <t xml:space="preserve">            - Các huyện, thành phố dành một phần ngân sách địa phương để bố trí cho Chương trình xây dựng nông thôn mới.</t>
  </si>
  <si>
    <t xml:space="preserve">             - Nguồn thu tiền sử dụng đất  trước khi thực hiện chi đầu tư  phát triển phải bố trí đảm bảo kinh phí thực hiện công tác đo đạc, lập cơ sở dữ liệu hồ sơ địa chính và cấp giấy chứng nhận quyền sử dụng đất.</t>
  </si>
  <si>
    <t xml:space="preserve">             </t>
  </si>
  <si>
    <t>Thu bổ sung nguồn thực hiện cải cách tiền lương</t>
  </si>
  <si>
    <t>Điều chỉnh lương từ 1.210 lên 1.300</t>
  </si>
  <si>
    <t>PC ưu đãi (mức lương 1.210)</t>
  </si>
  <si>
    <t>PC lâu năm 116 (mức lương 1.210)</t>
  </si>
  <si>
    <t>PC thu hút 116 (mức lương 1.210)</t>
  </si>
  <si>
    <t>DQTVệ (chênh lênh 90nđ)</t>
  </si>
  <si>
    <t>PC CB ko chuyên trách cấp xã (chênh lênh 90nđ)</t>
  </si>
  <si>
    <t>Trợ cấp cán bộ xã nghỉ việc (chênh lênh 90nđ)</t>
  </si>
  <si>
    <t>PC Hội có tính chất đặc thù (chênh lênh 90nđ)</t>
  </si>
  <si>
    <t>PC cho nhân viên thú y cấp xã (mức lương 1.300)</t>
  </si>
  <si>
    <t>Khối tỉnh</t>
  </si>
  <si>
    <t>- Quản lý nhà nước</t>
  </si>
  <si>
    <t>+ Văn phòng Sở</t>
  </si>
  <si>
    <t>+ Chi cục Dân số KHHGĐ</t>
  </si>
  <si>
    <t>+ Chi cục ATVSTP</t>
  </si>
  <si>
    <t>- Sự nghiệp y tế</t>
  </si>
  <si>
    <t>+ Trung tâm truyền thông</t>
  </si>
  <si>
    <t>+ TT kiểm nghiêm DPMP</t>
  </si>
  <si>
    <t>+ TT chăm sóc SKSS</t>
  </si>
  <si>
    <t xml:space="preserve"> + Cơ sở nuôi dưỡng TE có hoàn cảnh ĐBKK</t>
  </si>
  <si>
    <t>+ TT Y tế dự phòng</t>
  </si>
  <si>
    <t>+ Bệnh viện Đa khoa BK</t>
  </si>
  <si>
    <t>+ TT phòng chống BXH</t>
  </si>
  <si>
    <t>+ Phòng Giám định y khoa</t>
  </si>
  <si>
    <t>+ TTphòng chống HIV/AIDS</t>
  </si>
  <si>
    <t xml:space="preserve"> + TTYT Thành phố</t>
  </si>
  <si>
    <t xml:space="preserve"> + Trạm y tế Tphố</t>
  </si>
  <si>
    <t>+ TTYT Bạch Thông</t>
  </si>
  <si>
    <t xml:space="preserve"> + Trạm y tế Bạch Thông</t>
  </si>
  <si>
    <t>+ TTYT huyện Chợ Đồn</t>
  </si>
  <si>
    <t xml:space="preserve"> + Trạm y tế Chợ Đồn</t>
  </si>
  <si>
    <t>+ TTYT huyện Chợ Mới</t>
  </si>
  <si>
    <t xml:space="preserve"> + Trạm y tế Chợ Mới</t>
  </si>
  <si>
    <t>+ TTYT huyện Na Rì</t>
  </si>
  <si>
    <t xml:space="preserve"> + Trạm y tế Na Rì</t>
  </si>
  <si>
    <t>+ TTYT Ngân Sơn</t>
  </si>
  <si>
    <t xml:space="preserve"> + Trạm y tế Ngân Sơn</t>
  </si>
  <si>
    <t xml:space="preserve">+ TTYT huyện Ba Bể </t>
  </si>
  <si>
    <t xml:space="preserve"> + Trạm y tế Ba Bể</t>
  </si>
  <si>
    <t xml:space="preserve">+ TTYT huyện Pác Nặm </t>
  </si>
  <si>
    <t xml:space="preserve"> + Trạm y tế Pác Nặm</t>
  </si>
  <si>
    <t xml:space="preserve"> + Y tế thôn bản</t>
  </si>
  <si>
    <t xml:space="preserve"> + TTDS - KHHGĐ </t>
  </si>
  <si>
    <t>- Sự nghiệp GD - ĐT ( Trường trung cấp Y)</t>
  </si>
  <si>
    <t xml:space="preserve"> - Sự nghiệp khác</t>
  </si>
  <si>
    <t>Sở Giáo dục &amp; Đào tạo</t>
  </si>
  <si>
    <t xml:space="preserve"> - QLNN ( VP sở )</t>
  </si>
  <si>
    <t>- Sự nghiệp GD - ĐT</t>
  </si>
  <si>
    <t>+ THPT Bắc Kạn</t>
  </si>
  <si>
    <t>+ THPT Chợ Đồn</t>
  </si>
  <si>
    <t>+ THPT Chợ Mới</t>
  </si>
  <si>
    <t>+ THPT Ngân Sơn</t>
  </si>
  <si>
    <t>+ THPT Ba Bể</t>
  </si>
  <si>
    <t>+ THPT Na Rì</t>
  </si>
  <si>
    <t>+ THPT Phủ Thông</t>
  </si>
  <si>
    <t>+ THPT chuyên Bắc Kạn</t>
  </si>
  <si>
    <t>+ THPT Bộc Bố</t>
  </si>
  <si>
    <t>+ THPT Nà Phặc</t>
  </si>
  <si>
    <t>+ THPT Yên Hân</t>
  </si>
  <si>
    <t>+ THPT Quảng Khê</t>
  </si>
  <si>
    <t>+ THPT Bình Trung</t>
  </si>
  <si>
    <t>+ PTDTNT Bắc Kạn</t>
  </si>
  <si>
    <t>+ PTDTNT Ba Bể</t>
  </si>
  <si>
    <t>+ PTDT NT Ngân Sơn</t>
  </si>
  <si>
    <t>+ PTDT NT Chợ Đồn</t>
  </si>
  <si>
    <t>+ PTDT NT Na Rì</t>
  </si>
  <si>
    <t>+ PTDT NT Pác Nặm</t>
  </si>
  <si>
    <t>+ TTGDTE khuyết tật</t>
  </si>
  <si>
    <t>+ TT KTTH D HN Dạy nghề</t>
  </si>
  <si>
    <t>+ TTGDTX Bắc Kạn</t>
  </si>
  <si>
    <t>+ TTGDTX Ba Bể</t>
  </si>
  <si>
    <t>+ TT GDTX Ngân Sơn</t>
  </si>
  <si>
    <t>+ TTGDTX Na Rì</t>
  </si>
  <si>
    <t>+ TTGDTX Chợ Mới</t>
  </si>
  <si>
    <t>+ TT GDTX Chợ Đồn</t>
  </si>
  <si>
    <t>+ TT GDTX Bạch Thông</t>
  </si>
  <si>
    <t>+ TT GDTX Pác Nặm</t>
  </si>
  <si>
    <t xml:space="preserve">Trường Cao đẳng Cộng đồng </t>
  </si>
  <si>
    <t xml:space="preserve">Văn phòng Đoàn ĐBQH và HĐND </t>
  </si>
  <si>
    <t>- QLNN</t>
  </si>
  <si>
    <t>- HĐ phí HĐND</t>
  </si>
  <si>
    <t>Văn phòng UBND tỉnh</t>
  </si>
  <si>
    <t>- Sự nghiệp khác</t>
  </si>
  <si>
    <t>Sở Thông tin và TT</t>
  </si>
  <si>
    <t>- SN TTTT</t>
  </si>
  <si>
    <t xml:space="preserve"> Sở Nội vụ</t>
  </si>
  <si>
    <t>Ban Thi đua khen thưởng</t>
  </si>
  <si>
    <t>Ban Tôn giáo</t>
  </si>
  <si>
    <t>Chi cục VT - LT</t>
  </si>
  <si>
    <t>+ Trung tâm trợ giúp pháp lý</t>
  </si>
  <si>
    <t>+ Phòng Công chứng</t>
  </si>
  <si>
    <t>+ Trung tâm DV BĐG &amp;TS</t>
  </si>
  <si>
    <t>Sở Công thương</t>
  </si>
  <si>
    <t>Sở Lao động - TB&amp;XH</t>
  </si>
  <si>
    <t>- Sự nghiệp ĐBXH</t>
  </si>
  <si>
    <t>+ Trường trung cấp nghề</t>
  </si>
  <si>
    <t>- Sự nghiệp Y tế</t>
  </si>
  <si>
    <t>+ TT chữa bệnh GD - LĐXH</t>
  </si>
  <si>
    <t>+ Trung tâm Điều dưỡng</t>
  </si>
  <si>
    <t xml:space="preserve"> + TT nuôi dưỡng và phục hồi chức năng cho người tâm thần</t>
  </si>
  <si>
    <t>- Sự nghiệp khác  (TT Dịch vụ việc làm)</t>
  </si>
  <si>
    <t>Sở Văn hoá, Thể thao và DL</t>
  </si>
  <si>
    <t>- Sự nghiệp VH-TT</t>
  </si>
  <si>
    <t>+ Trung tâm VH</t>
  </si>
  <si>
    <t>+ Trung tâm PHP&amp;CB</t>
  </si>
  <si>
    <t>+ Đoàn nghệ thuật dân tộc</t>
  </si>
  <si>
    <t>+ Thự viện tỉnh</t>
  </si>
  <si>
    <t>+ Bảo tàng tỉnh</t>
  </si>
  <si>
    <t xml:space="preserve"> - Sự nghiệp kinh tế (Trung tâm xúc tiến ĐT TM DL)</t>
  </si>
  <si>
    <t xml:space="preserve"> + Văn phòng Sở</t>
  </si>
  <si>
    <t xml:space="preserve"> + Chi cục TC-ĐL-CL</t>
  </si>
  <si>
    <t>- Sự nghiệp khoa học</t>
  </si>
  <si>
    <t>Thanh tra tỉnh</t>
  </si>
  <si>
    <t>+ Chi cục Lâm nghiệp</t>
  </si>
  <si>
    <t>+ Chi cục TL và PCLB</t>
  </si>
  <si>
    <t>+ Chi cục PTNT</t>
  </si>
  <si>
    <t xml:space="preserve"> + Chi cục QLCL NLC&amp;TS</t>
  </si>
  <si>
    <t>+ Chi cục Thú y</t>
  </si>
  <si>
    <t>+ Chi cục BVTV</t>
  </si>
  <si>
    <t>+ Chi cục Kiểm lâm (CB lâm nghiệp xã tính lương từ 730 lên 1150)</t>
  </si>
  <si>
    <t>+ Chi cục Kiểm lâm</t>
  </si>
  <si>
    <t>+ TT nước SH &amp;VSMT</t>
  </si>
  <si>
    <t>+ Trung tâm khuyến nông</t>
  </si>
  <si>
    <t>+ Trung tâm GCT VN</t>
  </si>
  <si>
    <t>Sở Giao thông - Vận tải</t>
  </si>
  <si>
    <t>- Văn phòng Sở</t>
  </si>
  <si>
    <t>- Thanh tra Sở</t>
  </si>
  <si>
    <t>Sở Tài nguyên &amp; MT</t>
  </si>
  <si>
    <t>+ Chi cục BV MT</t>
  </si>
  <si>
    <t>+ Văn phòng ĐKQSDĐ</t>
  </si>
  <si>
    <t>+ TT Phát triển quỹ đất</t>
  </si>
  <si>
    <t>+ TT quan trắc môi trường</t>
  </si>
  <si>
    <t xml:space="preserve"> + Trung tâm kỹ thuật Tài nguyên và Môi trường</t>
  </si>
  <si>
    <t>+ TT Công nghệ Thông tin TN &amp; MT</t>
  </si>
  <si>
    <t xml:space="preserve">Ban Quản lý dự án các KCN </t>
  </si>
  <si>
    <t xml:space="preserve">Đài phát thanh truyền hình </t>
  </si>
  <si>
    <t>Tỉnh ủy Bắc Kạn</t>
  </si>
  <si>
    <t>Văn phòng tỉnh uỷ</t>
  </si>
  <si>
    <t xml:space="preserve"> Ban Nội chính Tỉnh uỷ</t>
  </si>
  <si>
    <t>Đảng ủy khối doanh nghiệp</t>
  </si>
  <si>
    <t>Đảng uỷ các cơ quan tỉnh</t>
  </si>
  <si>
    <t>Ban Dân vận Tỉnh uỷ</t>
  </si>
  <si>
    <t>Uỷ ban Kiểm tra Tỉnh uỷ</t>
  </si>
  <si>
    <t>Ban Tuyên giáo Tỉnh Uỷ</t>
  </si>
  <si>
    <t>Ban Tổ chức Tỉnh uỷ</t>
  </si>
  <si>
    <t>Báo Bắc Kạn</t>
  </si>
  <si>
    <t>Ban bảo vệ SKCB tỉnh</t>
  </si>
  <si>
    <t>Hội Liên hiệp phụ nữ</t>
  </si>
  <si>
    <t xml:space="preserve">Uỷ ban Mặt trận Tổ quốc </t>
  </si>
  <si>
    <t>Liên đoàn lao động tỉnh</t>
  </si>
  <si>
    <t>Hội cựu chiến binh</t>
  </si>
  <si>
    <t>Tỉnh Đoàn</t>
  </si>
  <si>
    <t>Hội Chữ Thập đỏ</t>
  </si>
  <si>
    <t>Hội đông y</t>
  </si>
  <si>
    <t>Hội Nhà báo</t>
  </si>
  <si>
    <t>Hội Văn học nghệ thuật</t>
  </si>
  <si>
    <t>Hội đồng LM các HTX</t>
  </si>
  <si>
    <t>Hội bảo trợ NTT &amp; TEMC</t>
  </si>
  <si>
    <t>Hội người cao tuổi</t>
  </si>
  <si>
    <t>Hội nạn nhân chất độc màu da cam /DIOXIN</t>
  </si>
  <si>
    <t>Hội khuyến học</t>
  </si>
  <si>
    <t>Hội Cựu thanh niên xung phong</t>
  </si>
  <si>
    <t>Quỹ Phát triển đất</t>
  </si>
  <si>
    <t>Văn phòng Điều phối XD NTM và GN</t>
  </si>
  <si>
    <t>Liên hiệp các Hội KHKT</t>
  </si>
  <si>
    <t>Trường CĐ Nghề DTNT BK</t>
  </si>
  <si>
    <t>Khối huyện</t>
  </si>
  <si>
    <t>Quản lý NN, đảng, đoàn thể</t>
  </si>
  <si>
    <t xml:space="preserve"> + QLNN (H)</t>
  </si>
  <si>
    <t xml:space="preserve"> + Đảng (H)</t>
  </si>
  <si>
    <t xml:space="preserve"> + Đoàn thể (H)</t>
  </si>
  <si>
    <t xml:space="preserve"> + CB chuyên trách, CC, cán bộ ko chuyên trách cấp xã</t>
  </si>
  <si>
    <t xml:space="preserve"> + Hoạt động phí ĐB HĐND cấp huyện</t>
  </si>
  <si>
    <t xml:space="preserve"> + HĐ phí ĐB HĐND cấp xã</t>
  </si>
  <si>
    <t>Đảm bảo xã hội</t>
  </si>
  <si>
    <t>Sự nghiệp giáo dục - đào tạo</t>
  </si>
  <si>
    <t>Sự nghiệp VH - TT</t>
  </si>
  <si>
    <t>Sự nghiệp PTTH</t>
  </si>
  <si>
    <t>Sự nghiệp TDTT</t>
  </si>
  <si>
    <t>Quốc phòng</t>
  </si>
  <si>
    <t>Sự nghiệp khác</t>
  </si>
  <si>
    <t>Trong đó : Sự nghiệp giáo dục</t>
  </si>
  <si>
    <t>Ghi DT 2018</t>
  </si>
  <si>
    <t>TK 10% CTX</t>
  </si>
  <si>
    <t>Kinh phí hỗ trợ chi phí học tập đối với sinh viên là người dân tộc thiểu số tại các cơ sở giáo dục đại học</t>
  </si>
  <si>
    <t>Kinh phí quản lý và sử dụng đất trồng lúa theo Nghị định 35/2015/NĐ-CP</t>
  </si>
  <si>
    <t>Đơn vị tính: triệu đồng</t>
  </si>
  <si>
    <t>Tổng thu ngân sách nhà nước trên địa bàn</t>
  </si>
  <si>
    <t>Phần thu ngân sách huyện, thành phố làm cơ sở tính nguồn thực hiện cải cách tiền lương</t>
  </si>
  <si>
    <t>Số tăng thu ngân sách cấp huyện, thành phố làm cơ sở để tính nguồn thực hiện cải cách tiền lương</t>
  </si>
  <si>
    <t xml:space="preserve"> - Sử dụng 50% làm nguồn thực hiện CCTL</t>
  </si>
  <si>
    <t xml:space="preserve"> - Sử dụng 50% tăng chi NS huyện, thành phố</t>
  </si>
  <si>
    <t>50% tăng thu</t>
  </si>
  <si>
    <t>SNĐT</t>
  </si>
  <si>
    <t>Biểu 3.1</t>
  </si>
  <si>
    <t>Đơn vị</t>
  </si>
  <si>
    <t>Tổng</t>
  </si>
  <si>
    <t>Trả nợ vốn vay TD</t>
  </si>
  <si>
    <t>NỘI DUNG CÁC KHOẢN CHI</t>
  </si>
  <si>
    <t>Dự toán phân bổ cho các đơn vị cấp tỉnh</t>
  </si>
  <si>
    <t>Dự toán giao cho các huyện, thành phố</t>
  </si>
  <si>
    <t>Dự toán chưa phân bổ tỉnh điều hành</t>
  </si>
  <si>
    <t>A. TỔNG CHI NGÂN SÁCH</t>
  </si>
  <si>
    <t>A1- Chi cân đối ngân sách</t>
  </si>
  <si>
    <t>I. Chi đầu tư phát triển</t>
  </si>
  <si>
    <t>1. Chi đầu tư xây dựng cơ bản vốn trong nước</t>
  </si>
  <si>
    <t>- Chi giáo dục, đào tạo và dạy nghề</t>
  </si>
  <si>
    <t>- Chi khoa hoc công nghệ</t>
  </si>
  <si>
    <t>2. Chi đầu tư hạ tầng từ nguồn tiền đất</t>
  </si>
  <si>
    <t>3. Chi đầu tư XD CSHT bằng nguồn vốn huy động đầu tư theo khoản 3 điều 8 Luật NSNN</t>
  </si>
  <si>
    <t>4. Chi đầu tư từ nguồn thu số số kiến thiết</t>
  </si>
  <si>
    <t>1. Chi sự nghiệp kinh tế</t>
  </si>
  <si>
    <t xml:space="preserve"> Trong đó kinh phí thực hiện Nghị định 116/2016/NĐ-CP</t>
  </si>
  <si>
    <t xml:space="preserve"> - Chi sự nghiệp giáo dục</t>
  </si>
  <si>
    <t xml:space="preserve"> - Chi sự nghiệp đào tạo và dạy nghề</t>
  </si>
  <si>
    <t>3. Chi sự nghiệp y tế</t>
  </si>
  <si>
    <t>5 Chi sự nghiệp hoạt động môi trường</t>
  </si>
  <si>
    <t>6. Chi sự nghiệp văn hóa thông tin</t>
  </si>
  <si>
    <t>7. Chi sự nghiệp thể dục thể thao</t>
  </si>
  <si>
    <t>8. Chi sự nghiệp phát thanh truyền hình</t>
  </si>
  <si>
    <t>9. Chi đảm bảo xã hội</t>
  </si>
  <si>
    <t xml:space="preserve">10. Chi quản lý hành chính </t>
  </si>
  <si>
    <t xml:space="preserve">11. Chi an ninh </t>
  </si>
  <si>
    <t>12. Chi quốc phòng</t>
  </si>
  <si>
    <t>13. Chi khác ngân sách</t>
  </si>
  <si>
    <t>Theo mức quy định</t>
  </si>
  <si>
    <t>A2- Chi từ nguồn bổ sung có mục tiêu từ NSTW để thực hiện các CTMT quốc gia, Chương trình mục tiêu, một số chương trình, dự án, nhiệm vụ khác</t>
  </si>
  <si>
    <t>I. Chi thực hiện CTMT quốc gia</t>
  </si>
  <si>
    <r>
      <rPr>
        <i/>
        <u/>
        <sz val="9"/>
        <rFont val="Times New Roman"/>
        <family val="1"/>
      </rPr>
      <t>Ghi chú</t>
    </r>
    <r>
      <rPr>
        <sz val="9"/>
        <rFont val="Times New Roman"/>
        <family val="1"/>
      </rPr>
      <t xml:space="preserve">: </t>
    </r>
  </si>
  <si>
    <t>SGD</t>
  </si>
  <si>
    <t>Ghi trong CĐ</t>
  </si>
  <si>
    <t>Đã sử dụng để ghi vào vốn đầu tư PT</t>
  </si>
  <si>
    <t>CĐồn</t>
  </si>
  <si>
    <r>
      <rPr>
        <b/>
        <i/>
        <u/>
        <sz val="12"/>
        <color theme="1"/>
        <rFont val="Times New Roman"/>
        <family val="1"/>
      </rPr>
      <t>Ghi chú</t>
    </r>
    <r>
      <rPr>
        <sz val="12"/>
        <color theme="1"/>
        <rFont val="Times New Roman"/>
        <family val="2"/>
      </rPr>
      <t>: - Chi sự nghiệp giáo dục và dự phòng ngân sách là mức chi tối thiểu. Đối với các lĩnh vực chi: sự nghiệp kinh tế, sự nghiệp môi trường, quản lý hành chính, sự nghiệp văn hoá thông tin, sự nghiệp thể dục thể thao, sự nghiệp phát thanh truyền hình, chi đảm bảo xã hội, an ninh, quốc phòng, chi thường xuyên khác, Uỷ ban nhân dân cấp huyện, thành phố căn cứ chỉ tiêu hướng dẫn, chế độ chi ngân sách, khối lượng nhiệm vụ của từng lĩnh vực, căn cứ yêu cầu thực tế của địa phương trình HĐND cùng cấp quyết định cho phù hợp.</t>
    </r>
  </si>
  <si>
    <t>1. Vốn trong nước</t>
  </si>
  <si>
    <t>2. Vốn nước ngoài</t>
  </si>
  <si>
    <t>3. Vốn Trái phiếu Chính phủ</t>
  </si>
  <si>
    <t>B. BỘI CHI NGÂN SÁCH ĐỊA PHƯƠNG</t>
  </si>
  <si>
    <t xml:space="preserve">C. CHI TRẢ NỢ GỐC CỦA NSĐP </t>
  </si>
  <si>
    <t xml:space="preserve"> Từ nguồn vay để trả nợ gốc</t>
  </si>
  <si>
    <t>TT</t>
  </si>
  <si>
    <t>Danh mục công trình</t>
  </si>
  <si>
    <t>Thời gian KC-HT</t>
  </si>
  <si>
    <t>Quyết định phê duyệt BCKTKT hoặc chủ trương của UBND Tỉnh</t>
  </si>
  <si>
    <t>Tổng mức vốn được phê duyệt hoặc giá trị quyết toán được phê duyệt</t>
  </si>
  <si>
    <t>Chủ đầu tư</t>
  </si>
  <si>
    <t>Trả nợ quyết toán</t>
  </si>
  <si>
    <t>Công trình khởi công mới</t>
  </si>
  <si>
    <t>Cải tạo, sửa chữa trụ sở làm việc Sở Nông nghiệp và Phát triển nông thôn</t>
  </si>
  <si>
    <t>Trường Chính trị tỉnh</t>
  </si>
  <si>
    <t>Cải tạo, sửa chữa trụ sở làm việc Sở Tài chính</t>
  </si>
  <si>
    <t>Văn phòng điều phối xây dựng NTM và Giảm nghèo</t>
  </si>
  <si>
    <t>Hội làm vườn</t>
  </si>
  <si>
    <t>Hội Liên hiệp Thanh niên Việt Nam</t>
  </si>
  <si>
    <t xml:space="preserve">Tổng dự toán giao cho đơn vị </t>
  </si>
  <si>
    <t>5. Chi đầu tư từ nguồn bội chi NSĐP</t>
  </si>
  <si>
    <t>II. Chi đầu tư thực hiện các chương trình mục tiêu, nhiệm vụ</t>
  </si>
  <si>
    <t>III. Chi từ vốn sự nghiệp để thực hiện các chế độ, chính sách theo quy định</t>
  </si>
  <si>
    <t>Dự toán chưa phân bổ</t>
  </si>
  <si>
    <t>Hỗ trợ khác</t>
  </si>
  <si>
    <t>D. TỔNG MỨC VAY CỦA NGÂN SÁCH ĐỊA PHƯƠNG</t>
  </si>
  <si>
    <t>Viện Kiểm sát nhân dân tỉnh</t>
  </si>
  <si>
    <t>Viễn thông Bắc Kạn</t>
  </si>
  <si>
    <t>Hợp tác xã Thắng Lợi</t>
  </si>
  <si>
    <t>Tòa án nhân dân tỉnh Bắc Kạn</t>
  </si>
  <si>
    <t>14. Chi thực hiện CCTL</t>
  </si>
  <si>
    <t>TK H</t>
  </si>
  <si>
    <t>TK T</t>
  </si>
  <si>
    <t>TP</t>
  </si>
  <si>
    <t>Nguồn thu cấp t</t>
  </si>
  <si>
    <t>Bù giảm thu</t>
  </si>
  <si>
    <t>Hỗ trợ kinh phí xây dựng cuốn lịch sử Đảng bộ các xã, thị trấn</t>
  </si>
  <si>
    <t>2.1</t>
  </si>
  <si>
    <t>2.2</t>
  </si>
  <si>
    <t>2.3</t>
  </si>
  <si>
    <t>2.4</t>
  </si>
  <si>
    <t>2.5</t>
  </si>
  <si>
    <t xml:space="preserve">Hỗ trợ các xã xây dựng nông thôn mới </t>
  </si>
  <si>
    <t xml:space="preserve">6. Chi đầu tư từ nguồn tiết kiệm chi thường xuyên </t>
  </si>
  <si>
    <t>UBND huyện Bạch Thông</t>
  </si>
  <si>
    <t>QT</t>
  </si>
  <si>
    <t>Dự án khởi công mới giai đoạn 2016-2020</t>
  </si>
  <si>
    <t>GDĐT</t>
  </si>
  <si>
    <t>Hoàn thiện cơ sở vật chất trường THPT Chợ Đồn</t>
  </si>
  <si>
    <t>439/QĐ-UBND 31/3/2016</t>
  </si>
  <si>
    <t>Dự án Giáo dục và đào tạo nghề Bắc Kạn giai đoạn II (VIE/034)</t>
  </si>
  <si>
    <t>Trường tiểu học Thượng Giáo</t>
  </si>
  <si>
    <t>Trường THCS Hà Hiệu, huyện Ba Bể</t>
  </si>
  <si>
    <t>Trường mầm non Địa Linh đạt chuẩn Quốc gia</t>
  </si>
  <si>
    <t>Trường tiểu học Tân Tiến, xã Tân Tiến, huyện Bạch Thông, tỉnh Bắc Kạn</t>
  </si>
  <si>
    <t>Trường Tiểu học và THCS Đông Viên, huyện Chợ Đồn, tỉnh Bắc Kạn</t>
  </si>
  <si>
    <t>Trường mầm non Rã Bản, huyện Chợ Đồn</t>
  </si>
  <si>
    <t>Trường mầm non Đông Viên, huyện Chợ Đồn</t>
  </si>
  <si>
    <t>Nâng cấp trường tiểu học Nông Thịnh để công nhận lại đạt chuẩn quốc gia mức độ I</t>
  </si>
  <si>
    <t>Xây dựng trường mầm non Nông Thịnh đạt chuẩn Quốc gia</t>
  </si>
  <si>
    <t>Sửa chữa nhà lớp học trường Tiểu học Hảo Nghĩa, huyện Na Rì, tỉnh Bắc Kạn</t>
  </si>
  <si>
    <t>Trường mầm non xã Hảo Nghĩa, huyện Na Rì</t>
  </si>
  <si>
    <t>Trường THCS Bằng Vân</t>
  </si>
  <si>
    <t>Nâng cấp, cải tạo Trường tiểu học và THCS Giáo Hiệu, huyện Pác Nặm</t>
  </si>
  <si>
    <t>Trường mầm non Giáo Hiệu, huyện Pác Nặm</t>
  </si>
  <si>
    <t>Trường mầm non phường Xuất Hóa</t>
  </si>
  <si>
    <t>1659 ngày 19/10/2016</t>
  </si>
  <si>
    <t>Trường THCS Nông Thượng, thành phố Bắc Kạn</t>
  </si>
  <si>
    <t>899A ngày 31/3/2016</t>
  </si>
  <si>
    <t>Trường THCS Dương Quang, thành phố Bắc Kạn</t>
  </si>
  <si>
    <t>UBND TP Bắc Kạn</t>
  </si>
  <si>
    <t>Trường THCS Nông Thượng</t>
  </si>
  <si>
    <t>1641/QĐ-UBND ngày 14/10/2016</t>
  </si>
  <si>
    <t>Ban QLDA đầu tư xây dựng công trình giao thông tỉnh</t>
  </si>
  <si>
    <t>258/QĐ-UBND ngày 25/01/2014</t>
  </si>
  <si>
    <t>Cải tạo, sửa chữa ĐT258 đoạn từ điểm đầu Khu du lịch Ba Bể tại Km42+00 (bến xuồng Buốc Lốm) đến trung tâm Vườn Quốc gia Ba Bể tại Km48+200.</t>
  </si>
  <si>
    <t>1923/QĐ-UBND ngày 30/10/2014</t>
  </si>
  <si>
    <t>Dự án Nâng cấp, cải tạo ĐT 255, huyện Chợ Đồn</t>
  </si>
  <si>
    <t>1539/QĐ-UBND ngày 29/09/2017</t>
  </si>
  <si>
    <t>Ban QLDA hỗ trợ kinh doanh cho nông hộ (CSSP)</t>
  </si>
  <si>
    <t>Chương trình hỗ trợ kinh doanh cho nông hộ tỉnh Bắc Kạn</t>
  </si>
  <si>
    <t>Dự án Quản lý rừng bền vững và đa dạng sinh học nhằm giảm phát thải CO2</t>
  </si>
  <si>
    <t>Dự án quản lý tài sản đường địa phương (LRAMP)</t>
  </si>
  <si>
    <t>Dự án Phát triển cơ sở hạ tầng nông thôn bền vững các tỉnh miền núi phía Bắc</t>
  </si>
  <si>
    <t>Sửa chữa, nâng cấp an toàn đập</t>
  </si>
  <si>
    <t>Dự án Cấp nước và vệ sinh thị xã Bắc Kạn - Phần thoát nước</t>
  </si>
  <si>
    <t>Chương trình Mở rộng quy mô vệ sinh và nước sạch nông thôn dựa trên kết quả</t>
  </si>
  <si>
    <t>TT NSH&amp;VSMTNT</t>
  </si>
  <si>
    <t>VIII</t>
  </si>
  <si>
    <t>Khắc phục sạt lở đất khu dân cư Nà Cáy, thôn Thôm Mò, huyện Bạch Thông</t>
  </si>
  <si>
    <t>1278/QĐ-UBND ngày 27/10/2016</t>
  </si>
  <si>
    <t>Đầu tư xây dựng hạ tầng đô thị thị xã Bắc Kạn để trở thành Thành phố trực thuộc tỉnh</t>
  </si>
  <si>
    <t>Dự án Chương trình đô thị miền núi phía Bắc-thị xã Bắc Kạn (giai đoạn II)</t>
  </si>
  <si>
    <t>IX</t>
  </si>
  <si>
    <t>KHCN</t>
  </si>
  <si>
    <t>Sở KH-CN</t>
  </si>
  <si>
    <t>Đầu tư trang thiết bị đo lường, thử nghiệm thuộc Chi cục Tiêu chuẩn Đo lường Chất lượng tỉnh Bắc Kạn giai đoạn III từ năm 2017-2020</t>
  </si>
  <si>
    <t>Sở TT và TT</t>
  </si>
  <si>
    <t>Đầu tư xây dựng mới và nâng cấp các Đài truyền thanh cơ sở thuộc các xã phấn đấu đạt các tiêu chí xây dựng nông thôn mới năm 2017 và năm 2018 trên địa bàn tỉnh Bắc Kạn</t>
  </si>
  <si>
    <t>VP Tỉnh ủy</t>
  </si>
  <si>
    <t>Ứng dụng công nghệ thông tin trong hoạt động của các cơ quan đảng tỉnh Bắc Kạn giai đoạn 2015-2020</t>
  </si>
  <si>
    <t>1748/QĐ-UBND ngày 31/10/2016</t>
  </si>
  <si>
    <t>X</t>
  </si>
  <si>
    <t>XI</t>
  </si>
  <si>
    <t>Cải tạo, nâng cấp Trung tâm Hỗ trợ Phụ nữ tỉnh Bắc Kạn</t>
  </si>
  <si>
    <t>1768/QĐ-UBND ngày 31/10/2016</t>
  </si>
  <si>
    <t>Trụ sở ban quản lý, các trạm kiểm lâm thuộc Khu bảo tồn loài và sinh cảnh Nam Xuân Lạc huyện Chợ Đồn</t>
  </si>
  <si>
    <t>1785/QĐ-UBND ngày 29/10/2012</t>
  </si>
  <si>
    <t>Trụ sở hợp khối Thị ủy - HĐND - UBND thị xã Bắc Kạn</t>
  </si>
  <si>
    <t>1787/QĐ-UBND ngày 30/10/2012</t>
  </si>
  <si>
    <t>XII</t>
  </si>
  <si>
    <t>XIII</t>
  </si>
  <si>
    <t>Nhà Văn hóa xã Hà Hiệu</t>
  </si>
  <si>
    <t>923/QĐ-UBND ngày 30/6/2017</t>
  </si>
  <si>
    <t>Nhà Văn hóa xã Như Cố</t>
  </si>
  <si>
    <t>Nhà Văn hóa xã Yên Đĩnh</t>
  </si>
  <si>
    <t>Nhà Văn hóa xã Bình Văn</t>
  </si>
  <si>
    <t>Nhà Văn hóa xã Hảo Nghĩa</t>
  </si>
  <si>
    <t>XIV</t>
  </si>
  <si>
    <t>Bệnh viện đa khoa Bắc Kạn</t>
  </si>
  <si>
    <t>1833/QĐ-UBND ngày 05-10 2011</t>
  </si>
  <si>
    <t>TT Y tế dự phòng</t>
  </si>
  <si>
    <t>1766/QĐ-UBND ngày 31/10/2016</t>
  </si>
  <si>
    <t>XV</t>
  </si>
  <si>
    <t>Chi thực hiện cải cách tiền lương</t>
  </si>
  <si>
    <t>Ngân sách huyện</t>
  </si>
  <si>
    <t>Nguồn thu tiền sử dụng đất</t>
  </si>
  <si>
    <t>Tỉnh điều hành</t>
  </si>
  <si>
    <t>Dự phòng</t>
  </si>
  <si>
    <t>Nhà Văn hóa xã Quang Thuận</t>
  </si>
  <si>
    <t>759/QĐ-UBND ngày 02/6/2017</t>
  </si>
  <si>
    <t>Trung tâm Y tế dự phòng</t>
  </si>
  <si>
    <t>Trường Cao đẳng nghề DTNT</t>
  </si>
  <si>
    <t>Ban QLDA Đầu tư XD tỉnh</t>
  </si>
  <si>
    <t>Công ty cổ phần MTV Cấp thoát nước Bắc Kạn</t>
  </si>
  <si>
    <t>Nguồn thu tiền sử dụng đất tỉnh điều hành</t>
  </si>
  <si>
    <t>Chi đầu tư từ nguồn tiết kiệm chi thường xuyên</t>
  </si>
  <si>
    <t>Khối quản lý nhà nước, sự nghiệp</t>
  </si>
  <si>
    <t>Nguồn vốn cân đối ngân sách địa phương</t>
  </si>
  <si>
    <t>Nguồn Trung ương bổ sung có mục tiêu</t>
  </si>
  <si>
    <t>Trung tâm nước sạch và VS môi trường</t>
  </si>
  <si>
    <t>H</t>
  </si>
  <si>
    <t>(1)</t>
  </si>
  <si>
    <t>(2)</t>
  </si>
  <si>
    <t>(3)</t>
  </si>
  <si>
    <t>(4)</t>
  </si>
  <si>
    <t>(5)</t>
  </si>
  <si>
    <t>(6)</t>
  </si>
  <si>
    <t>(7)</t>
  </si>
  <si>
    <t>(8)</t>
  </si>
  <si>
    <t>(9)</t>
  </si>
  <si>
    <t>(10)</t>
  </si>
  <si>
    <t>(11)</t>
  </si>
  <si>
    <t>(12)</t>
  </si>
  <si>
    <t>(13)</t>
  </si>
  <si>
    <t>(14)</t>
  </si>
  <si>
    <t>(15)</t>
  </si>
  <si>
    <t>(16)</t>
  </si>
  <si>
    <t>(17)</t>
  </si>
  <si>
    <t>(18)</t>
  </si>
  <si>
    <t>(20)</t>
  </si>
  <si>
    <t>(21)</t>
  </si>
  <si>
    <t>(22)</t>
  </si>
  <si>
    <t>(23)</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</si>
  <si>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</si>
  <si>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</si>
  <si>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</si>
  <si>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</si>
  <si>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</si>
  <si>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</si>
  <si>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</si>
  <si>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</si>
  <si>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</si>
  <si>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</si>
  <si>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</si>
  <si>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</si>
  <si>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</si>
  <si>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</si>
  <si>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</si>
  <si>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</si>
  <si>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</si>
  <si>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</si>
  <si>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</si>
  <si>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</si>
  <si>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</si>
  <si>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</si>
  <si>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</si>
  <si>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</si>
  <si>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</si>
  <si>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</si>
  <si>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</si>
  <si>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</si>
  <si>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</si>
  <si>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</si>
  <si>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Tổng số chi</t>
  </si>
  <si>
    <t>Đơn vị tính: Triệu đồng</t>
  </si>
  <si>
    <t>S
T
T</t>
  </si>
  <si>
    <t>Tổng số thu</t>
  </si>
  <si>
    <t>Số 
phải nộp
 ngân sách</t>
  </si>
  <si>
    <t xml:space="preserve">Số trích để
 lại đơn vị 
theo chế độ 
</t>
  </si>
  <si>
    <t>Tiết kiệm 
làm lương 
trên số trích 
để lại đơn vị</t>
  </si>
  <si>
    <t xml:space="preserve">Phí, lệ phí
 </t>
  </si>
  <si>
    <t>Thu 
sự  nghiệp</t>
  </si>
  <si>
    <t>1</t>
  </si>
  <si>
    <t>Sở Giao thông Vận tải (Phí, lệ phí)</t>
  </si>
  <si>
    <t>2</t>
  </si>
  <si>
    <t>Sở Nông nghiệp và PTNT</t>
  </si>
  <si>
    <t>Phí thẩm định TKKT-DT</t>
  </si>
  <si>
    <t>Phí kiểm dịch, giết mổ, vận chuyển động vật</t>
  </si>
  <si>
    <t>3</t>
  </si>
  <si>
    <t>Sở Xây dựng (Phí)</t>
  </si>
  <si>
    <t>4</t>
  </si>
  <si>
    <t>Sở Văn hoá Thể thao và Du lịch</t>
  </si>
  <si>
    <t>Thu sự nghiệp</t>
  </si>
  <si>
    <t>Phí, lệ phí</t>
  </si>
  <si>
    <t>5</t>
  </si>
  <si>
    <t>Sở Giáo dục và Đào tạo</t>
  </si>
  <si>
    <t>Học phí</t>
  </si>
  <si>
    <t>6</t>
  </si>
  <si>
    <t>Viện phí và thu khác</t>
  </si>
  <si>
    <t>Phí giám định y khoa 5%</t>
  </si>
  <si>
    <t>7</t>
  </si>
  <si>
    <t>Phí công chứng</t>
  </si>
  <si>
    <t xml:space="preserve">- </t>
  </si>
  <si>
    <t>Phí đấu gíá, tham gia đấu gíá</t>
  </si>
  <si>
    <t>8</t>
  </si>
  <si>
    <t>Đài Phát thanh - truyền hình</t>
  </si>
  <si>
    <t>Thu quảng cáo, chuyên mục truyền hình</t>
  </si>
  <si>
    <t>Sở Tài nguyên môi trường</t>
  </si>
  <si>
    <t>10</t>
  </si>
  <si>
    <t>Sở Khoa học và Công nghệ (Phí)</t>
  </si>
  <si>
    <t>Phí kiểm định đo lường chất lượng</t>
  </si>
  <si>
    <t>11</t>
  </si>
  <si>
    <t>12</t>
  </si>
  <si>
    <t>Sở Kế hoạch và Đầu tư (Phí)</t>
  </si>
  <si>
    <t>13</t>
  </si>
  <si>
    <t>14</t>
  </si>
  <si>
    <t>Chi cục QLTT (Thu xử phạt vi phạm hanh chính)</t>
  </si>
  <si>
    <t>15</t>
  </si>
  <si>
    <t>Thu các lớp năng khiếu</t>
  </si>
  <si>
    <t>Thu dịch vụ</t>
  </si>
  <si>
    <t>16</t>
  </si>
  <si>
    <t xml:space="preserve">Trường Cao đẳng nghề </t>
  </si>
  <si>
    <t>Thu khác</t>
  </si>
  <si>
    <t>17</t>
  </si>
  <si>
    <t xml:space="preserve">Trường Chính trị </t>
  </si>
  <si>
    <t>18</t>
  </si>
  <si>
    <t>Công ty Phát triển hạ tầng KCN Thanh Bình</t>
  </si>
  <si>
    <t>21</t>
  </si>
  <si>
    <t>Văn phòng Tỉnh ủy (Báo Bắc Kạn)</t>
  </si>
  <si>
    <t>(24)</t>
  </si>
  <si>
    <t>(55)</t>
  </si>
  <si>
    <t>(56)</t>
  </si>
  <si>
    <t>(57)</t>
  </si>
  <si>
    <t>(60)</t>
  </si>
  <si>
    <t>Biểu mẫu</t>
  </si>
  <si>
    <t>CQ báo cáo và nhận báo cáo</t>
  </si>
  <si>
    <t>Biểu mẫu số 10</t>
  </si>
  <si>
    <t>Các cơ quan, đơn vị, địa phương cung cấp số liệu cho Sở Tài chính báo cáo UBND thành phố</t>
  </si>
  <si>
    <t>Cục Thuế cung cấp số liệu cho Sở Tài chính báo cáo UBND thành phố</t>
  </si>
  <si>
    <t>UBND cấp dưới cung cấp số liệu cho cơ quan tài chính, cơ quan kế hoạch và đầu tư cấp trên báo cáo UBND cấp trên</t>
  </si>
  <si>
    <t>Số trang</t>
  </si>
  <si>
    <t xml:space="preserve"> + Chi đầu tư thực hiện các Chương trình mục tiêu, nhiệm vụ: Chờ Bộ Kế hoạch - Đầu tư thẩm định, giao chi tiết danh mục và mức vốn kế hoạch đầu tư năm sau cho từng nguồn vốn</t>
  </si>
  <si>
    <t xml:space="preserve"> + Đối với nguồn vốn Chương trình mục tiêu quốc gia:  Các xã chưa đăng ký chi tiết danh mục công trình.</t>
  </si>
  <si>
    <t xml:space="preserve"> + Chi từ nguồn vốn sự nghiệp để thực hiện các chế độ, chính sách: Các đơn vị, địa phương chưa dự kiến được nhu cầu kinh phí thực hiện.</t>
  </si>
  <si>
    <t>Giao dự toán chi từ nguồn thu để lại đơn vị</t>
  </si>
  <si>
    <t xml:space="preserve">HỆ THỐNG BIỂU MẪU </t>
  </si>
  <si>
    <t>PHỤ LỤC</t>
  </si>
  <si>
    <t>Các huyện, thành phố</t>
  </si>
  <si>
    <t>K</t>
  </si>
  <si>
    <t xml:space="preserve">Chi trả nợ lãi do chính quyền địa phương vay </t>
  </si>
  <si>
    <t xml:space="preserve">Chi bổ sung quỹ dự trữ tài chính </t>
  </si>
  <si>
    <t>Phụ lục 01</t>
  </si>
  <si>
    <t>Dự toán chi ngân sách giao chi tiết theo nhiệm vụ của các Sở, Ban, Ngành, Đoàn thể cấp tỉnh</t>
  </si>
  <si>
    <t>Lũy kế vốn đã bố trí đến hết kế hoạch năm 2015</t>
  </si>
  <si>
    <t>Kế hoạch năm 2016</t>
  </si>
  <si>
    <t>Kế hoạch năm trung hạn 5 năm giai đoạn 2016-2020</t>
  </si>
  <si>
    <t>Số quyết định; ngày, tháng, năm ban hành</t>
  </si>
  <si>
    <t xml:space="preserve">TMĐT </t>
  </si>
  <si>
    <t>Trong đó: vốn CĐNS</t>
  </si>
  <si>
    <t>Thu hồi các khoản vốn ứng trước CĐNS</t>
  </si>
  <si>
    <t>NGUỒN VỐN CÂN ĐỐI NGÂN SÁCH</t>
  </si>
  <si>
    <t>KHOA HỌC CÔNG NGHỆ - THÔNG TIN - TRUYỀN THÔNG</t>
  </si>
  <si>
    <t>GIÁO DỤC ĐÀO TẠO</t>
  </si>
  <si>
    <t>Đã quyết toán</t>
  </si>
  <si>
    <t>4136a/QĐ-UBND ngày 31/10/2016</t>
  </si>
  <si>
    <t>4144a/QĐ-UBND ngày 31/10/2016</t>
  </si>
  <si>
    <t>Dự án hỗ trợ xây dựng nhà ở bán trú và các công trình thiết yếu trên địa bàn huyện Ngân Sơn giai đoạn 2016-2020</t>
  </si>
  <si>
    <t>Dự án hỗ trợ xây dựng nhà ở bán trú và các công trình thiết yếu trên địa bàn huyện Pác Nặm giai đoạn 2016-2020</t>
  </si>
  <si>
    <t>1870/QĐ-UBND ngày 11/8/2017</t>
  </si>
  <si>
    <t>Trường PTCS Quang Thuận, xã Quang Thuận, huyện Bạch Thông, tỉnh Bắc Kạn</t>
  </si>
  <si>
    <t>1451/QĐ-UBND ngày 25/4/2017</t>
  </si>
  <si>
    <t>2268/QĐ-UBND ngày 14/8/2017</t>
  </si>
  <si>
    <t>2948/QĐ-UBND ngày 31/10/2016</t>
  </si>
  <si>
    <t>2953/QĐ-UBND ngày 31/10/2016</t>
  </si>
  <si>
    <t>2223/QĐ-UBND ngày 28/10/2016</t>
  </si>
  <si>
    <t>Trường Tiểu học và Trung học cơ sở Thượng Ân, huyện Ngân Sơn, tỉnh Bắc Kạn</t>
  </si>
  <si>
    <t>NGUỒN VỐN PHÂN CẤP TỈNH ĐIỀU HÀNH</t>
  </si>
  <si>
    <t>Ngân sách tỉnh điều hành</t>
  </si>
  <si>
    <t xml:space="preserve">Đối ứng các dự án ODA hoàn thành và chuyển tiếp </t>
  </si>
  <si>
    <t>Hoàn thành bàn giao đưa vào sử dụng</t>
  </si>
  <si>
    <t>Trả nợ khối lượng</t>
  </si>
  <si>
    <t>Nâng cấp, mở rộng Trung tâm chữa bệnh - giáo dục lao động xã hội</t>
  </si>
  <si>
    <t>1902/QĐ-UBND ngày 16/8/2005</t>
  </si>
  <si>
    <t>Sửa chữa đập tràn Bản Pjạc, xã Quảng Khê, huyện Ba Bể, tỉnh Bắc Kạn</t>
  </si>
  <si>
    <t>V.II</t>
  </si>
  <si>
    <t>Nguồn vốn phân cấp huyện điều hành</t>
  </si>
  <si>
    <t>DỰ TOÁN THU CHI CÁC KHOẢN PHÍ, LỆ PHÍ, THU SỰ NGHIỆP NĂM 2018</t>
  </si>
  <si>
    <t xml:space="preserve">Quyết định số 1339/QĐ-UBND ngày 19/8/2016 </t>
  </si>
  <si>
    <t xml:space="preserve"> - Dự toán chưa phân bổ tỉnh điều hành được thuyết minh tại Phụ biểu số 01. </t>
  </si>
  <si>
    <t>Biểu mẫu số 43</t>
  </si>
  <si>
    <t>DỰ TOÁN CHI BỔ SUNG CÓ MỤC TIÊU VỐN SỰ NGHIỆP TỪ NGÂN SÁCH CẤP TỈNH CHO NGÂN SÁCH CÁC HUYỆN, THÀNH PHỐ NĂM 2018</t>
  </si>
  <si>
    <t xml:space="preserve">Tên đơn vị </t>
  </si>
  <si>
    <t xml:space="preserve">CHI BỔ SUNG  CHO NGÂN SÁCH CẤP DƯỚI </t>
  </si>
  <si>
    <t xml:space="preserve">Tổng thu ngân sách nhà nước trên địa bàn </t>
  </si>
  <si>
    <t>TK thêm 2%</t>
  </si>
  <si>
    <t>Trong đó: Tiền sử dụng đất và xổ số kiến thiết không tính làm nguồn thực hiện cải cách tiền lương</t>
  </si>
  <si>
    <t>Tiết kiệm thêm 2% chi thường xuyên</t>
  </si>
  <si>
    <t xml:space="preserve">2. Chi sự nghiệp giáo dục, đào tạo và dạy nghề </t>
  </si>
  <si>
    <t>4. Chi sự nghiệp khoa học và công nghệ</t>
  </si>
  <si>
    <t xml:space="preserve">Chi trả nợ lãi các khoản do chính quyền địa phương vay </t>
  </si>
  <si>
    <t xml:space="preserve">Nội dung </t>
  </si>
  <si>
    <t xml:space="preserve">Thu từ quỹ dự trữ tài chính </t>
  </si>
  <si>
    <t>TỔNG SỐ </t>
  </si>
  <si>
    <t xml:space="preserve">I- Thu nội địa </t>
  </si>
  <si>
    <t xml:space="preserve">CHI BỔ SUNG CHO NGÂN SÁCH CẤP DƯỚI </t>
  </si>
  <si>
    <t xml:space="preserve">CHI BỔ SUNG CÓ MỤC TIÊU CHO NGÂN SÁCH CẤP DƯỚI </t>
  </si>
  <si>
    <t>(1) Thu NSNN trên địa bàn huyện, xã không có thu từ dầu thô, thu từ hoạt động xuất, nhập khẩu. Các chỉ tiêu cột 3, 4, 7, 8 chỉ ghi dòng tổng số.</t>
  </si>
  <si>
    <t>TỔNG SỐ  (1)</t>
  </si>
  <si>
    <t xml:space="preserve">CHI BỔ SUNG QUỸ DỰ TRỮ TÀI CHÍNH </t>
  </si>
  <si>
    <t>CHI TRẢ NỢ LÃI CÁC KHOẢN DO CHÍNH QUYỀN ĐỊA PHƯƠNG VAY</t>
  </si>
  <si>
    <t>3=4+5</t>
  </si>
  <si>
    <t>10=11+12+13</t>
  </si>
  <si>
    <t>1=2+10</t>
  </si>
  <si>
    <t>2=3+6+8</t>
  </si>
  <si>
    <t>Trong đó: vốn CĐNS, XSKT</t>
  </si>
  <si>
    <t>NGUỒN XỔ SỐ KIẾN THIẾT</t>
  </si>
  <si>
    <t>LĨNH VỰC GIÁO DỤC</t>
  </si>
  <si>
    <t>Dự án chuyển tiếp giai đoạn 2011-2015</t>
  </si>
  <si>
    <t>LĨNH VỰC Y TẾ</t>
  </si>
  <si>
    <t xml:space="preserve"> Trạm y tế xã Tân Tiến</t>
  </si>
  <si>
    <t>LĨNH VỰC VĂN HÓA</t>
  </si>
  <si>
    <t>CHI ĐẦU TƯ TỪ NGUỒN TIẾT KIỆM CHI THƯỜNG XUYÊN</t>
  </si>
  <si>
    <t>NGUỒN THU TIỀN SỬ DỤNG ĐẤT</t>
  </si>
  <si>
    <t>ĐÁNH GIÁ CÂN ĐỐI NGÂN SÁCH ĐỊA PHƯƠNG NĂM 2018</t>
  </si>
  <si>
    <t>Ước thực hiện năm 2018</t>
  </si>
  <si>
    <t>Bổ sung thực hiện cải cách tiền lương 1300.000 đồng/tháng, 1390000 đồng/tháng</t>
  </si>
  <si>
    <t>ĐÁNH GIÁ THỰC HIỆN CHI NGÂN SÁCH ĐỊA PHƯƠNG THEO CƠ CẤU CHI NĂM 2018</t>
  </si>
  <si>
    <t>Ước thực hiện năm 2018</t>
  </si>
  <si>
    <t>Chi đầu tư từ nguồn bội chi ngân sách địa phương</t>
  </si>
  <si>
    <t>Chương trình mục tiêu tái cơ cấu kinh tế nông nghiệp và phòng chống giảm nhẹ thiên tai, ổn định đời sống dân cư</t>
  </si>
  <si>
    <t>Chương trình Hỗ trợ đảm bảo chất lượng giáo dục trường học</t>
  </si>
  <si>
    <t>Hỗ trợ nhà ở cho người có công với cách mạng theo Quyết định 22/QĐ-TTg</t>
  </si>
  <si>
    <t>Mua thiết bị chiếu phim và ô tô chuyên dụng</t>
  </si>
  <si>
    <t>Chính sách hỗ trợ học sinh và trường phổ thông ở xã, thôn đặc biệt khó khăn</t>
  </si>
  <si>
    <t>Chính sách nội trú đối với học sinh, sinh viên học cao đẳng, trung cấp</t>
  </si>
  <si>
    <t>KP thực hiện nhiệm vụ đo đạc cấp giấy chứng nhận quyền sử dụng đất</t>
  </si>
  <si>
    <t>KP trợ cấp một lần theo QĐ 24</t>
  </si>
  <si>
    <t>Dự toán năm 2019</t>
  </si>
  <si>
    <t>DỰ TOÁN CHI NGÂN SÁCH ĐỊA PHƯƠNG THEO CƠ CẤU CHI NĂM 2019</t>
  </si>
  <si>
    <t>Hỗ trợ Hội văn học nghệ thuật</t>
  </si>
  <si>
    <t>Hỗ trợ thực hiện một số đề án, dự án khoa học công nghệ</t>
  </si>
  <si>
    <t xml:space="preserve">Chính sách trợ giúp pháp lý </t>
  </si>
  <si>
    <t>Chính sách hỗ trợ chi phí học tập và miễn giảm học phí</t>
  </si>
  <si>
    <t>Chính sách hỗ tợ kinh phí ăn trưa cho trẻ 3-5 tuổi</t>
  </si>
  <si>
    <t xml:space="preserve">Chính sách hỗ trợ đối tượng bảo trợ xã hội </t>
  </si>
  <si>
    <t>Dự án hoàn thiện, hiện đại hóa hồ sơ, bản đồ địa giới hành chính và xây dựng cơ sở dữ liệu địa giới hành chính</t>
  </si>
  <si>
    <t>ĐÁNH GIÁ CÂN ĐỐI NGUỒN THU, CHI NGÂN SÁCH CẤP TỈNH VÀ NGÂN SÁCH HUYỆN  NĂM 2018</t>
  </si>
  <si>
    <t>Bội thu NSĐP/ Bội chi NSĐP</t>
  </si>
  <si>
    <t>Bổ sung thực hiện cải cách tiền lương 1300.000 đồng/tháng</t>
  </si>
  <si>
    <t>ĐÁNH GIÁ THỰC HIỆN CHI NGÂN SÁCH ĐỊA PHƯƠNG, CHI NGÂN SÁCH CẤP TỈNH VÀ CHI NGÂN SÁCH HUYỆNTHEO CƠ CẤU CHI NĂM 2018</t>
  </si>
  <si>
    <t>ĐÁNH GIÁ THỰC HIỆN CHI NGÂN SÁCH CẤP TỈNH THEO LĨNH VỰC NĂM 2018</t>
  </si>
  <si>
    <t>ĐÁNH GIÁ THỰC HIỆN CHI CÂN ĐỐI NGÂN SÁCH TỪNG HUYỆN NĂM 2018</t>
  </si>
  <si>
    <t>Dự toán chi NSĐP năm 2018</t>
  </si>
  <si>
    <t>Ước thực hiện chi NSĐP năm 2018</t>
  </si>
  <si>
    <t>QĐ 262</t>
  </si>
  <si>
    <t>QĐ 302</t>
  </si>
  <si>
    <t>VĐT CTGN</t>
  </si>
  <si>
    <t>VSN CTGN</t>
  </si>
  <si>
    <t>QĐ 732</t>
  </si>
  <si>
    <t>TS</t>
  </si>
  <si>
    <t>Dtu</t>
  </si>
  <si>
    <t>PTSX</t>
  </si>
  <si>
    <t>MHGN</t>
  </si>
  <si>
    <t>QĐ 500</t>
  </si>
  <si>
    <t>VĐT NTM</t>
  </si>
  <si>
    <t>VSN NTM</t>
  </si>
  <si>
    <t>QĐ 303</t>
  </si>
  <si>
    <t>QĐ 1019</t>
  </si>
  <si>
    <t>QĐ563</t>
  </si>
  <si>
    <t>QĐ 984</t>
  </si>
  <si>
    <t>QĐ 1161</t>
  </si>
  <si>
    <t>NTM</t>
  </si>
  <si>
    <t>GN</t>
  </si>
  <si>
    <t>DỰ TOÁN CHI NGÂN SÁCH CẤP TỈNH THEO LĨNH VỰC NĂM 2019</t>
  </si>
  <si>
    <t>DỰ TOÁN CHI NGÂN SÁCH CẤP TỈNH CHO TỪNG CƠ QUAN, TỔ CHỨC THEO LĨNH VỰC NĂM 2019</t>
  </si>
  <si>
    <t>DỰ TOÁN CHI THƯỜNG XUYÊN CỦA NGÂN SÁCH CẤP TỈNH CHO TỪNG CƠ QUAN, TỔ CHỨC THEO LĨNH VỰC NĂM 2019</t>
  </si>
  <si>
    <t>Dự toán ngân sách năm 2019</t>
  </si>
  <si>
    <t>Dự toán ngân sách năm 2020</t>
  </si>
  <si>
    <t>3= 2-1</t>
  </si>
  <si>
    <t>4= 2/1</t>
  </si>
  <si>
    <t xml:space="preserve">Thu chuyển nguồn từ năm trước chuyển sang </t>
  </si>
  <si>
    <t>3.</t>
  </si>
  <si>
    <t>BỘI THU/BỘI CHI NSĐP</t>
  </si>
  <si>
    <t>TỔNG MỨC VAY, TRẢ NỢ CỦA NSĐP</t>
  </si>
  <si>
    <t>Hạn mức dư nợ vay tối đa của NSĐP</t>
  </si>
  <si>
    <t>Mức dư nợ đầu kỳ (năm)</t>
  </si>
  <si>
    <t>Trả nợ gốc vay của NSĐP</t>
  </si>
  <si>
    <t>Tổng mức vay của NSĐP</t>
  </si>
  <si>
    <t>Mức dư nợ cuối kỳ (năm)</t>
  </si>
  <si>
    <t>Dự kiến ngân sách năm 2020</t>
  </si>
  <si>
    <t>TỔNG THU NGÂN SÁCH NHÀ NƯỚC</t>
  </si>
  <si>
    <t>Tỷ lệ thu NSNN so với CRDP (%)</t>
  </si>
  <si>
    <t>Tỷ lệ thu từ thuế, phí so với GRDP (%)</t>
  </si>
  <si>
    <t xml:space="preserve">Thu nội địa </t>
  </si>
  <si>
    <t>Tốc độ tăng thu (%)</t>
  </si>
  <si>
    <t>Tỷ trọng trong tổng thu NSNN (%)</t>
  </si>
  <si>
    <t>Thu từ khu vực doanh nghiệp nhà nước do trung ương quản lý (1)</t>
  </si>
  <si>
    <t>Thu từ khu vực doanh nghiệp nhà nước do địa phương quản lý (2)</t>
  </si>
  <si>
    <t>Thu từ khu vực doanh nghiệp có vốn đầu tư nước ngoài (3)</t>
  </si>
  <si>
    <t>Thu từ khu vực kinh tế ngoài quốc doanh (4)</t>
  </si>
  <si>
    <t>Thuế bảo vệ môi trường</t>
  </si>
  <si>
    <t>Thu từ hoạt động xổ số kiến thiết</t>
  </si>
  <si>
    <t>Thu hồi vốn, thu cổ tức, lợi nhuận sau thuế, chênh lệch thu, chi NHNN (5)</t>
  </si>
  <si>
    <t xml:space="preserve">Thu từ dầu thô </t>
  </si>
  <si>
    <t xml:space="preserve">Thu từ hoạt động xuất, nhập khẩu </t>
  </si>
  <si>
    <t>Ghi chú:</t>
  </si>
  <si>
    <t>(1) Doanh nghiệp nhà nước do trung ương quản lý là doanh nghiệp do bộ, cơ quan ngang bộ, cơ quan thuộc Chính phủ, cơ quan khác ở trung ương đại diện Nhà nước chủ sở hữu 100% vốn điều lệ.</t>
  </si>
  <si>
    <t>(2) Doanh nghiệp nhà nước do địa phương quản lý là doanh nghiệp do Ủy ban nhân dân cấp tỉnh đại diện Nhà nước chủ sở hữu 100% vốn điều lệ.</t>
  </si>
  <si>
    <t>(3) Doanh nghiệp có vốn đầu tư nước ngoài là các doanh nghiệp mà phần vốn do tổ chức, cá nhân nước ngoài sở hữu từ 51% vốn điều lệ trở lên hoặc có đa số thành viên hợp danh là cá nhân nước ngoài đối với tổ chức kinh tế là công ty hợp danh.</t>
  </si>
  <si>
    <t>(4) Doanh nghiệp khu vực kinh tế ngoài quốc doanh là các doanh nghiệp thành lập theo Luật doanh nghiệp, Luật các tổ chức tín dụng, trừ các doanh nghiệp nhà nước do trung ương, địa phương quản lý, doanh nghiệp có vốn đầu tư nước ngoài nêu trên.</t>
  </si>
  <si>
    <t>NGÂN SÁCH CẤP TỈNH</t>
  </si>
  <si>
    <t>Chi thuộc nhiệm vụ của ngân sách cấp tỉnh</t>
  </si>
  <si>
    <t>Bội thu /Bội chi NSĐP</t>
  </si>
  <si>
    <t>Chi thuộc nhiệm vụ của ngân sách huyện</t>
  </si>
  <si>
    <t>TỔNG CHI NGÂN SÁCH CẤP TỈNH</t>
  </si>
  <si>
    <t>CHI BỔ SUNG CHO NGÂN SÁCH HUYỆN</t>
  </si>
  <si>
    <t>Chi bổ sung cân đối ngân sách</t>
  </si>
  <si>
    <t>Chi bổ sung thực hiện cải cách tiền lương</t>
  </si>
  <si>
    <t>CHI NGÂN SÁCH CẤP TỈNH THEO LĨNH VỰC</t>
  </si>
  <si>
    <t>Chi đầu tư phát triển (1)</t>
  </si>
  <si>
    <t>Chi đầu tư cho các dự án</t>
  </si>
  <si>
    <t>Chi các chương trình mục tiêu, nhiệm vụ</t>
  </si>
  <si>
    <t>Chi đầu tư và hỗ trợ vốn cho các doanh nghiệp cung cấp sản phẩm, dịch vụ công ích do Nhà nước đặt hàng, các tổ chức kinh tế, các tổ chức tài chính của địa phương theo quy định của pháp luật.</t>
  </si>
  <si>
    <t>Chi thường xuyên</t>
  </si>
  <si>
    <t>CHI ĐẦU TƯ CỦA NGÂN SÁCH CẤP TỈNH VÀ NGÂN SÁCH HUYỆN (1)</t>
  </si>
  <si>
    <t>Đầu tư từ nguồn thu sử dụng đất</t>
  </si>
  <si>
    <t>Đầu tư từ nguồn thu xổ số kiến thiết</t>
  </si>
  <si>
    <t>Vốn cân đối địa phương theo tiêu chí, định mức</t>
  </si>
  <si>
    <t>Đầu tư từ nguồn thu xổ số kiến thiết (nếu có)</t>
  </si>
  <si>
    <t xml:space="preserve">CHI ĐẦU TƯ CÁC CHƯƠNG TRÌNH MỤC TIÊU </t>
  </si>
  <si>
    <t>- Vốn trong nước</t>
  </si>
  <si>
    <t>- Vốn nước ngoài</t>
  </si>
  <si>
    <t>Các chương trình mục tiêu quốc gia</t>
  </si>
  <si>
    <t>Các chương trình mục tiêu</t>
  </si>
  <si>
    <t>Chương trình hỗ trợ phát triển kinh tế xã hội các vùng</t>
  </si>
  <si>
    <t>Chương trình tái cơ cấu kinh tế nông nghiệp và phòng chống giảm nhẹ thiên tai, ổn định tái định cư</t>
  </si>
  <si>
    <t>Chương trình mục tiêu đầu tư phát triển hệ thống y tế địa phương</t>
  </si>
  <si>
    <t>f</t>
  </si>
  <si>
    <t>Chương trình Hỗ trợ giáo dục vùng vúi, vùng dân tộc thiểu số, vùng khó khăn (thuộc danh mục các trường đã được Chính phủ phê duyệt tại Quyết định 1640/QĐ-TTg)</t>
  </si>
  <si>
    <t>…</t>
  </si>
  <si>
    <t>Thu hồi các dự án cấp bách</t>
  </si>
  <si>
    <t>Hỗ trợ làm nhà ở cho người có công với cách mạng theo QĐ 22/QĐ-TTg</t>
  </si>
  <si>
    <t>DỰ PHÒNG THEO LUẬT ĐẦU TƯ CÔNG</t>
  </si>
  <si>
    <t>DỰ KIẾN CÂN ĐỐI NGÂN SÁCH ĐỊA PHƯƠNG GIAI ĐOẠN 03 NĂM 2019 - 2021</t>
  </si>
  <si>
    <t>Dự toán ngân sách năm 2021</t>
  </si>
  <si>
    <t>DỰ KIẾN THU NGÂN SÁCH NHÀ NƯỚC THEO LĨNH VỰC GIAI ĐOẠN 03 NĂM 2019-2021</t>
  </si>
  <si>
    <t>Dự kiến ngân sách năm 2021</t>
  </si>
  <si>
    <t>DỰ KIẾN CÂN ĐỐI NGUỒN THU, CHI NGÂN SÁCH CẤP TỈNH VÀ NGÂN SÁCH HUYỆN GIAI ĐOẠN 03 NĂM 2019 - 2021</t>
  </si>
  <si>
    <t>DỰ KIẾN CHI NGÂN SÁCH CẤP TỈNH THEO CƠ CẤU CHI GIAI ĐOẠN 03 NĂM 2019 - 2021</t>
  </si>
  <si>
    <t>Dự toán ngân sách năm 2019 (2)</t>
  </si>
  <si>
    <t>DỰ KIẾN KẾ HOẠCH ĐẦU TƯ VỐN NGÂN SÁCH ĐỊA PHƯƠNG GIAI ĐOẠN 03 NĂM 2019-2021</t>
  </si>
  <si>
    <t>Kế hoạch năm 2018</t>
  </si>
  <si>
    <t>Dự kiến kế hoạch đầu tư giai đoạn 2019-2021</t>
  </si>
  <si>
    <t>ĐÁNH GIÁ THỰC HIỆN CHI THƯỜNG XUYÊN CỦA NGÂN SÁCH CẤP TỈNH CHO TỪNG CƠ QUAN, TỔ CHỨC THEO LĨNH VỰC NĂM 2018</t>
  </si>
  <si>
    <t>Ngân hàng NN&amp;PTNT tỉnh BK</t>
  </si>
  <si>
    <t>HTX nông nghiệp Pác Thoong</t>
  </si>
  <si>
    <t>CTMT</t>
  </si>
  <si>
    <t>TƯ</t>
  </si>
  <si>
    <t>Chi cục THA dân sự huyện Na Rì</t>
  </si>
  <si>
    <t>Công ty CP Đăng kiểm BK</t>
  </si>
  <si>
    <t>DỰ TOÁN CHI TỪ NGUỒN BỔ SUNG CÓ MỤC TIÊU (KINH PHÍ SỰ NGHIỆP) NĂM 2019</t>
  </si>
  <si>
    <t xml:space="preserve">BIỂU TỔNG HỢP TÌNH HÌNH THỰC HIỆN DỰ TOÁN CHI NSĐP NĂM 2018 </t>
  </si>
  <si>
    <t>Ước TH năm 2018</t>
  </si>
  <si>
    <t>CHI CÂN ĐỐI NGÂN SÁCH</t>
  </si>
  <si>
    <t>ĐÁNH GIÁ THỰC HIỆN CHI ĐTPT CỦA NGÂN SÁCH CẤP TỈNH CHO TỪNG CƠ QUAN, TỔ CHỨC THEO LĨNH VỰC NĂM 2018</t>
  </si>
  <si>
    <t>Chi đảm bảo xã hội</t>
  </si>
  <si>
    <t xml:space="preserve">Tỉnh đoàn </t>
  </si>
  <si>
    <t>Ban QL Công trình giao thông</t>
  </si>
  <si>
    <t>Sở Thông tin truyền thông</t>
  </si>
  <si>
    <t>Sở Văn hóa Thể thao và Du lịch</t>
  </si>
  <si>
    <t>Ủy ban nhân dân thị trấn Yến Lạc</t>
  </si>
  <si>
    <t>Ban QL rừng bền vững và đa dạng sinh học nhằm giảm phát thải CO2</t>
  </si>
  <si>
    <t>Công ty phát triển hạ tầng khu công nghiệp</t>
  </si>
  <si>
    <t>Nguồn chưa phân bổ (ODA vay lại)</t>
  </si>
  <si>
    <t>Chi hỗ trợ vốn cho các doanh nghiệp</t>
  </si>
  <si>
    <t>Chi đầu tư phát triển phân theo nguồn vốn</t>
  </si>
  <si>
    <t>KP thực hiện Đề án "Giảm thiểu tình trạng tảo hôn và hôn nhân cận huyết thống trong vùng dân tộc thiểu số giai đoạn 2015-2025 năm 2017, 2018</t>
  </si>
  <si>
    <t>KP quản lý, bảo trì đường bộ địa phương</t>
  </si>
  <si>
    <t>KP thực hiện lập hồ sơ ranh giới sử dụng đất, cắm mốc ranh giới, đo đạc bản đồ địa chính, cấp giấy chứng nhận quyền sử dụng đất đối với Công ty TNHH MTV Lâm nghiệp trên địa bàn tỉnh Bắc Kạn</t>
  </si>
  <si>
    <t>KP khắc phục thiệt hại do mưa lũ</t>
  </si>
  <si>
    <t>Quy hoạch xây dựng khu du lịch Hồ Ba Bể</t>
  </si>
  <si>
    <t xml:space="preserve"> KP thực hiện chính sách khac phục hậu quả hạn hán vụ Đông Xuân 2017 - 2018</t>
  </si>
  <si>
    <t>KP hỗ trợ SX NN khôi phục vùng bị thiệt hại do thiên tai gây ra năm 2017</t>
  </si>
  <si>
    <t>KP thực hiện QĐ số 102/2009/QĐ-TTg năm 2017, 2018</t>
  </si>
  <si>
    <t>Ban Quản lý KCN tỉnh</t>
  </si>
  <si>
    <t>Ban QLCTMT PT Lâm nghiệp bền vững huyện Ba Bể</t>
  </si>
  <si>
    <t>Ban QLCTMT PT Lâm nghiệp bền vững huyện Bạch Thông</t>
  </si>
  <si>
    <t>Ban QLCTMT PT Lâm nghiệp bền vững huyện Pác Nặm</t>
  </si>
  <si>
    <t>Ban QLCTMT PT Lâm nghiệp bền vững huyện Na Rì</t>
  </si>
  <si>
    <t>Ban QLCTMT PT Lâm nghiệp bền vững huyện Chợ Mới</t>
  </si>
  <si>
    <t>Ban QLCTMT PT Lâm nghiệp bền vững huyện Chợ Đồn</t>
  </si>
  <si>
    <t>Ban QLCTMT PT Lâm nghiệp bền vững huyện Thành phố BK</t>
  </si>
  <si>
    <t>Ban QLCTMT PT Lâm nghiệp bền vững VQG Ba Bể</t>
  </si>
  <si>
    <t>Ban QLCTMT PT Lâm nghiệp bền vững công ty TNHH MTV lâm nghiệp Bắc Kạn</t>
  </si>
  <si>
    <t>Nguồn dự phòng ngân sách Trung ương</t>
  </si>
  <si>
    <t>Chính sách hỗ trợ di dân thực hiện định canh, định cư cho đồng bào dân tộc thiểu số theo Quyết định 33</t>
  </si>
  <si>
    <t>Trong đó ước thực hiện từ nguồn năm 2017 chuyển sang</t>
  </si>
  <si>
    <t>Chi thực hiện CCTL</t>
  </si>
  <si>
    <t xml:space="preserve">  Vốn đầu tư</t>
  </si>
  <si>
    <t xml:space="preserve"> Vốn sự nghiệp</t>
  </si>
  <si>
    <t>UTH  năm /DT</t>
  </si>
  <si>
    <t>DỰ TOÁN THU NGÂN SÁCH NHÀ NƯỚC THEO LĨNH VỰC NĂM 2019</t>
  </si>
  <si>
    <t>Thu phạt ATGT</t>
  </si>
  <si>
    <t>Phí, lệ phí TW</t>
  </si>
  <si>
    <t>BỘI CHI VÀ PHƯƠNG ÁN VAY - TRẢ NỢ NGÂN SÁCH ĐỊA PHƯƠNG NĂM 2019</t>
  </si>
  <si>
    <t>Thực hiện 10 tháng năm 2018</t>
  </si>
  <si>
    <t>Khoản hưởng 100%</t>
  </si>
  <si>
    <t>Khoản thu phân chia</t>
  </si>
  <si>
    <t>Thu hưởng 100%</t>
  </si>
  <si>
    <t>ĐÁNH GIÁ THỰC HIỆN THU NGÂN SÁCH NHÀ NƯỚC THEO LĨNH VỰC NĂM 2018</t>
  </si>
  <si>
    <t>DT 2018</t>
  </si>
  <si>
    <t>UTH 2018</t>
  </si>
  <si>
    <t>SS (%)</t>
  </si>
  <si>
    <t>ĐÁNH GIÁ THỰC HIỆN THU NGÂN SÁCH NHÀ NƯỚC TRÊN ĐỊA BÀN TỪNG HUYỆN NĂM 2018</t>
  </si>
  <si>
    <t>Dự toán năm 2018</t>
  </si>
  <si>
    <t>ĐÁNH GIÁ THỰC HIỆN THU NGÂN SÁCH NHÀ NƯỚC TRÊN ĐỊA BÀN TỪNG HUYỆN THEO LĨNH VỰC NĂM 2018</t>
  </si>
  <si>
    <t>ĐÁNH GIÁ THỰC HIỆN CHI NGÂN SÁCH CẤP TỈNH  TỪNG CƠ QUAN, TỔ CHỨC THEO LĨNH VỰC NĂM 2018</t>
  </si>
  <si>
    <t>DỰ TOÁN THU NGÂN SÁCH NHÀ NƯỚC TRÊN ĐỊA BÀN TỪNG HUYỆN NĂM 2019</t>
  </si>
  <si>
    <t>DỰ TOÁN THU NGÂN SÁCH NHÀ NƯỚC TRÊN ĐỊA BÀN TỪNG HUYỆN THEO LĨNH VỰC NĂM 2019</t>
  </si>
  <si>
    <t>DỰ TOÁN CHI NGÂN SÁCH ĐỊA PHƯƠNG TỪNG HUYỆN NĂM 2019</t>
  </si>
  <si>
    <t>DỰ TOÁN THU, CHI NGÂN SÁCH CÁC HUYỆN, THÀNH PHỐ NĂM 2019</t>
  </si>
  <si>
    <t>NGUỒN THỰC HIỆN CẢI CÁCH TIỀN LƯƠNG CÁC HUYỆN, THÀNH PHỐ TỪ 50% TĂNG THU GIỮA SỐ DỰ TOÁN TỈNH GIAO NĂM 2019 SO VỚI NĂM 2017</t>
  </si>
  <si>
    <t>Phần thu ngân sách địa phương được hưởng</t>
  </si>
  <si>
    <t>Đơn vị tính : Triệu đồng</t>
  </si>
  <si>
    <t>TW giao</t>
  </si>
  <si>
    <t>Tỉnh giao</t>
  </si>
  <si>
    <t>Thu khác tổng TW hưởng là 16.328 trong đó có 7.500 là phạt ATGT</t>
  </si>
  <si>
    <t>Dự toán  Trung ương bổ sung có mục tiêu năm 2019</t>
  </si>
  <si>
    <t>Dự toán phân bổ chi tiết năm 2019</t>
  </si>
  <si>
    <t>Hỗ trợ Hội văn học nghệ thuật, Hội nhà báo địa phương</t>
  </si>
  <si>
    <t>Kinh phí thực hiện Đề án giảm thiểu hôn nhân cận huyết</t>
  </si>
  <si>
    <t>Hỗ trợ kinh phí sản phẩm, dịch vụ công ích thủy lợi</t>
  </si>
  <si>
    <t>Vốn chuẩn bị động viên</t>
  </si>
  <si>
    <t>Kinh phí quản lý, bảo trì đường bộ cho các quỹ bảo trì đường bộ địa phương</t>
  </si>
  <si>
    <t>CTMT Giáo dục vùng núi, vùng dân tộc thiểu số, vùng khó khăn</t>
  </si>
  <si>
    <t>CTMT ứng phó với biến đổi khí hậu và tăng trưởng xanh</t>
  </si>
  <si>
    <t>CTMT Công nghệ thông tin</t>
  </si>
  <si>
    <r>
      <rPr>
        <i/>
        <u/>
        <sz val="12"/>
        <rFont val="Times New Roman"/>
        <family val="1"/>
      </rPr>
      <t>Ghi chú:</t>
    </r>
    <r>
      <rPr>
        <i/>
        <sz val="12"/>
        <rFont val="Times New Roman"/>
        <family val="1"/>
      </rPr>
      <t xml:space="preserve">  Dự toán phân bổ chi tiết nêu trên đã được tổng hợp vào biểu Dự toán chi ngân sách cấp tỉnh và các huyện, thành phố.</t>
    </r>
  </si>
  <si>
    <t>Hỗ trợ công tác giảm nghèo cấp xã</t>
  </si>
  <si>
    <t>Hỗ trợ nhà ở cho người có công với cách mạng</t>
  </si>
  <si>
    <t>Hỗ trợ chi phí học tập theo Nghị định 57</t>
  </si>
  <si>
    <t>Số ghi DT 2019 sau khi đã trừ vốn vay</t>
  </si>
  <si>
    <t>Số tăng thêm so với năm 2018 để ghi DT 2019</t>
  </si>
  <si>
    <t>Phần thu ngân sách địa phương được hưởng theo PC</t>
  </si>
  <si>
    <t>Phần thu ngân sách địa phương làm cơ sở tính nguồn thực hiện cải cách tiền lương</t>
  </si>
  <si>
    <t>DỰ TOÁN BỔ SUNG CÓ MỤC TIÊU VỐN ĐẦU TƯ TỪ NGÂN SÁCH CẤP TỈNH CHO NGÂN SÁCH TỪNG HUYỆN ĐỂ THỰC HIỆN CÁC CHƯƠNG TRÌNH MỤC TIÊU, NHIỆM VỤ NĂM 2019</t>
  </si>
  <si>
    <t>Hỗ trợ huyện xây dựng trường chuẩn</t>
  </si>
  <si>
    <t>Kinh phí thực hiện thống kê, rà soát, cập nhật dữ liệu thông tin thị trường lao động</t>
  </si>
  <si>
    <t>Bổ sung thực hiện các Chương trình mục tiêu, nhiệm vụ</t>
  </si>
  <si>
    <t>Điều chỉnh lương từ 1.300 lên 1.390</t>
  </si>
  <si>
    <t xml:space="preserve">PC CB ko chuyên trách cấp xã </t>
  </si>
  <si>
    <t>PC cho nhân viên thú y cấp xã (chênh lênh 90nđ)</t>
  </si>
  <si>
    <t>Tổng theo lĩnh vực</t>
  </si>
  <si>
    <t>Sự nghiệp VH - TT, PTTH, TDTT</t>
  </si>
  <si>
    <t xml:space="preserve">Số âm theo 275 của Ba Bể tính theo PP lấy các hệ số ưu đãi, lâu năm, thu hút của năm 2018 (lúc đã trừ 30a) so sánh với các hệ số năm 2017 (lúc có 30a), lấy số chênh lệch âm đó nhân với 1.210 </t>
  </si>
  <si>
    <t>UD</t>
  </si>
  <si>
    <t>TH</t>
  </si>
  <si>
    <t>LN</t>
  </si>
  <si>
    <t>N 2017</t>
  </si>
  <si>
    <t>N 2018</t>
  </si>
  <si>
    <t>Pb thu NS</t>
  </si>
  <si>
    <t>Giảm thu so với 2018</t>
  </si>
  <si>
    <t>PB thu NS</t>
  </si>
  <si>
    <t>Kinh phí quản lý thực hiện chính sách hỗ trợ người có công với cách mạng  về nhà ở theo quyết định số 22/2013/QĐ-TTg</t>
  </si>
  <si>
    <t xml:space="preserve">            - Tiết kiệm 10% chi thường xuyên đã giảm trừ vào nhu cầu kinh phí thực hiện cải cách tiền lương theo mức lương cơ sở 1.300.000 đ, 1.390.000 đ của các huyện, thành phố. Số tiết kiệm thêm 2% chi thường xuyên đã bổ sung dự phòng ngân sách để sử dụng cho Chương trình xây dựng nông thôn mới.</t>
  </si>
  <si>
    <t>Chi nông nghiệp, lâm nghiệp, thủy lợi, tài nguyên</t>
  </si>
  <si>
    <t>Hỗ trợ kinh phí mua thẻ BHYT cho cựu chiến binh, thanh niên xung phong; học sinh, sinh viên; hộ cận nghèo, hộ nông lâm nghư nghiệp có mức sống trung bình</t>
  </si>
  <si>
    <t>Hợp tác xã Nước sạch và vệ sinh môi trường</t>
  </si>
  <si>
    <t>Hợp tác xã Sản xuất và chế biến nông sản Đồng Tâm</t>
  </si>
  <si>
    <t>Sở Văn hóa - TT DL</t>
  </si>
  <si>
    <t>Kế hoạch 2019</t>
  </si>
  <si>
    <t>Kế hoạch vốn đã bố trí và thanh toán đến hết năm 2018</t>
  </si>
  <si>
    <t>Tỷ lệ vốn đã bố trí đến năm 2019 (%)</t>
  </si>
  <si>
    <t>Kinh phí hỗ trợ sản phẩm, dịch vụ công ích thủy lợi năm 2019</t>
  </si>
  <si>
    <t>Công an tỉnh</t>
  </si>
  <si>
    <t>Ban ATGT</t>
  </si>
  <si>
    <t>Quỹ Bảo trì đường bộ tỉnh Bắc Kạn</t>
  </si>
  <si>
    <t>Kinh phí khắc phục hậu quả sạt lở di tích lịch sử nhà máy in tiền</t>
  </si>
  <si>
    <t>Nguồn 50% tăng thu dự toán năm 2019 so với năm 2017</t>
  </si>
  <si>
    <t>Nguồn tiết kiệm 10% chi thường xuyên năm 2019</t>
  </si>
  <si>
    <t>1. CTMTQG giảm nghèo bền vững</t>
  </si>
  <si>
    <t>2. CTMTQG Xây dựng nông thôn mới</t>
  </si>
  <si>
    <t>TLương</t>
  </si>
  <si>
    <t>DP</t>
  </si>
  <si>
    <t>Hội nhà báo, Hội VH NT</t>
  </si>
  <si>
    <t>Tiền lương</t>
  </si>
  <si>
    <t>BTC cấp</t>
  </si>
  <si>
    <t>NC</t>
  </si>
  <si>
    <t>Nguồn TH CCTL</t>
  </si>
  <si>
    <t>TƯ 2019</t>
  </si>
  <si>
    <t>TƯ 2017</t>
  </si>
  <si>
    <t>Công ty Cổ phần đăng kiểm Bắc Kạn</t>
  </si>
  <si>
    <t>10% TK thêm</t>
  </si>
  <si>
    <t xml:space="preserve">   TỔNG CỤC THUẾ</t>
  </si>
  <si>
    <t>CỤC THUẾ TỈNH BẮC KẠN</t>
  </si>
  <si>
    <t>ƯỚC THỰC HIỆN THU NSNN NĂM 2018 VÀ DỰ TOÁN THU NĂM 2019</t>
  </si>
  <si>
    <t>Tỉnh: Bắc Kạn</t>
  </si>
  <si>
    <t>Số TT</t>
  </si>
  <si>
    <t>CHỈ TIÊU</t>
  </si>
  <si>
    <t>Tổng hợp</t>
  </si>
  <si>
    <t>TP Bắc Kạn</t>
  </si>
  <si>
    <t>TH2018</t>
  </si>
  <si>
    <t>KL Bộ TC</t>
  </si>
  <si>
    <t>DT 2019</t>
  </si>
  <si>
    <t>DT 2020</t>
  </si>
  <si>
    <t>DT 2021</t>
  </si>
  <si>
    <t>DT Bộ TC</t>
  </si>
  <si>
    <t>THU NỘI ĐỊA</t>
  </si>
  <si>
    <t>TRONG ĐÓ: SỐ THU TRỪ TIỀN SDĐ, XỔ SỐ</t>
  </si>
  <si>
    <t>Thu từ khu vực doanh nghiệp nhà nước</t>
  </si>
  <si>
    <t>Thu từ khu vực doanh nghiệp trung ương</t>
  </si>
  <si>
    <t>Thu từ khu vực doanh nghiệp địa phương</t>
  </si>
  <si>
    <t>Thu từ khu vực doanh nghiệp có vốn ĐTNN</t>
  </si>
  <si>
    <t xml:space="preserve"> - Thu về khí thiên nhiên, khí than</t>
  </si>
  <si>
    <t>Thu từ các doanh nghiệp và tổ chức kinh doanh</t>
  </si>
  <si>
    <t>Thu từ hộ gia đình và cá nhân kinh doanh</t>
  </si>
  <si>
    <t xml:space="preserve"> - Thu từ hàng hóa nhập khẩu</t>
  </si>
  <si>
    <t xml:space="preserve"> - Thu từ hàng hóa sản xuất trong nước</t>
  </si>
  <si>
    <t>Phí - lệ phí</t>
  </si>
  <si>
    <t>Tr.đó: Phí do cơ quan trung ương</t>
  </si>
  <si>
    <t xml:space="preserve">Thu tiền cho thuê đất, thuê mặt nước </t>
  </si>
  <si>
    <t>Thu tiền cho thuê và bán nhà ở thuộc SHNN</t>
  </si>
  <si>
    <t>Thu từ hoạt động xổ số</t>
  </si>
  <si>
    <t>Thu tiền cấp quyền khai thác tài nguyên khoáng sản, tài nguyên nước</t>
  </si>
  <si>
    <t>Trong đó: Đối với mỏ do Bộ cấp</t>
  </si>
  <si>
    <t>Thu tiền sử dụng khu vực biển</t>
  </si>
  <si>
    <t xml:space="preserve"> - Ngân sách trung ương</t>
  </si>
  <si>
    <t>Trong đó: Thu phạt an toàn giao thông</t>
  </si>
  <si>
    <t>Thu từ quỹ đất công ích và thu hoa lợi, công sản khác</t>
  </si>
  <si>
    <t>Thu cổ tức, LN được chia và LNST NSĐP hưởng 100%</t>
  </si>
  <si>
    <t>Thu chênh lệch thu chi của Ngân hàng nhà nước</t>
  </si>
  <si>
    <t>Tỉnh 2020</t>
  </si>
  <si>
    <t>huyện 2020</t>
  </si>
  <si>
    <t>tỉnh 2021</t>
  </si>
  <si>
    <t>huyện 2021</t>
  </si>
  <si>
    <t>Kinh phí sửa chữa Phòng làm việc của Sở Tài nguyên Môi trường</t>
  </si>
  <si>
    <t>Kinh phí xử lý khí thải Trung tâm Kiểm nghiệm thuốc, mỹ phẩm, thực phẩm</t>
  </si>
  <si>
    <t>Kinh phí xử lý chất thải rắn bằng công nghệ lò đốt</t>
  </si>
  <si>
    <t xml:space="preserve">                  - Hỗ trợ các xã hoàn thành tiêu chí nông thôn mới vào năm 2019 và năm 2020 mỗi xã 500 triệu đồng (theo Quyết định số 1703/QĐ-UBND ngày 11/10/2018 của UBND tỉnh Bắc Kạn).</t>
  </si>
  <si>
    <t>Kinh phí khắc phục sạt lở do mưa bão tuyến đường vòng quanh hồ Vườn Quốc gia Ba Bể</t>
  </si>
  <si>
    <t>Sở TTTT</t>
  </si>
  <si>
    <t>Sở NN và PTNT</t>
  </si>
  <si>
    <t>Sở TNMT</t>
  </si>
  <si>
    <t xml:space="preserve">           - Riêng Thành phố Bắc Kạn giảm trừ bổ sung cân đối ngân sách để trả nợ gốc và phí vay lại của Chính phủ vay nước ngoài: 1.000 triệu đồng.</t>
  </si>
  <si>
    <t>DỰ TOÁN CHI NGÂN SÁCH ĐỊA PHƯƠNG NĂM 2019</t>
  </si>
  <si>
    <t>Cải tạo, sửa chữa trụ sở làm việc của Hội đông y</t>
  </si>
  <si>
    <t>Sở Tài nguyên Môi trường</t>
  </si>
  <si>
    <t>Trung tâm Kiểm nghiệm thuốc, mỹ phẩm, thực phẩm</t>
  </si>
  <si>
    <t>Thu hồi dự án cấp bách</t>
  </si>
  <si>
    <t>Chương trình đô thị miền núi phía Bắc (WB)</t>
  </si>
  <si>
    <t>DA: QLTS đường đ.phương (LRAMP)-HP1 (10%)</t>
  </si>
  <si>
    <t>CT: MR quy mô WC và NSNT</t>
  </si>
  <si>
    <t>DA: SC và nâng cao AT đập (WB8) - 7%</t>
  </si>
  <si>
    <t>DA: Hỗ trợ KD cho nông hộ (CSSP)</t>
  </si>
  <si>
    <t xml:space="preserve"> - Hoạt động phi tín dụng (XDCB)</t>
  </si>
  <si>
    <t xml:space="preserve"> - Hoạt động tín dụng</t>
  </si>
  <si>
    <t>DA: Hạ tầng CB phát triển toàn diện cho các tỉnh Đông Bắc (ADB)</t>
  </si>
  <si>
    <t>GT</t>
  </si>
  <si>
    <t>Nước</t>
  </si>
  <si>
    <t>CSSP</t>
  </si>
  <si>
    <t>ADB</t>
  </si>
  <si>
    <t>Đập</t>
  </si>
  <si>
    <t>DỰ TOÁN CHI ĐẦU TƯ PHÁT TRIỂN CỦA NGÂN SÁCH CẤP TỈNH CHO CÁC CƠ QUAN, TỔ CHỨC THEO LĨNH VỰC NĂM 2019</t>
  </si>
  <si>
    <t>Nguồn cân đối ngân sách địa phương</t>
  </si>
  <si>
    <t>Hoạt động kinh tế khác</t>
  </si>
  <si>
    <t>Ủy ban nhân dân thị trấn Chợ Rã</t>
  </si>
  <si>
    <t>Chi cục phát triển nông thôn</t>
  </si>
  <si>
    <t>Trung tâm giống cây trồng vật nuôi</t>
  </si>
  <si>
    <t>Thực hiện chính sách khuyến khích doanh nghiệp đầu tư vào lĩnh vực nông lâm nghiệp</t>
  </si>
  <si>
    <t>Dự phòng nguồn cân đối ngân sách</t>
  </si>
  <si>
    <t>Nguồn vay lại vốn ODA của Chính phủ</t>
  </si>
  <si>
    <t>Dự phòng vốn vay lại</t>
  </si>
  <si>
    <t>Chi cục Phát triển nông thôn</t>
  </si>
  <si>
    <t>L</t>
  </si>
  <si>
    <t>Ghi chú: Kế hoạch vốn năm 2019 ở trên của chủ đầu tư đã được tổng hợp vào Biểu số 37</t>
  </si>
  <si>
    <t>CHI TIẾT DỰ KIẾN KẾ HOẠCH ĐẦU TƯ NĂM 2019 VỐN CÂN ĐỐI NGÂN SÁCH</t>
  </si>
  <si>
    <t>Tổng mức đầu tư</t>
  </si>
  <si>
    <t>Lũy kế vốn đã bố trí đến hết kế hoạch năm 2018</t>
  </si>
  <si>
    <t>Kế hoạch trung hạn đã giao đến hết năm 2018</t>
  </si>
  <si>
    <t>Kế hoạch trung hạn CĐNS còn lại</t>
  </si>
  <si>
    <t>Dự kiến kế hoạch vốn nguồn NSĐP năm 2019</t>
  </si>
  <si>
    <t>Tổng số (tất cả các nguồn)</t>
  </si>
  <si>
    <t>BẢO ĐẢM XÃ HỘI</t>
  </si>
  <si>
    <t>bđxh</t>
  </si>
  <si>
    <t>Ban tỉnh</t>
  </si>
  <si>
    <t>qt</t>
  </si>
  <si>
    <t>Dự án tượng đài chiến thắng Bắc Kạn (phần mỹ thuật)</t>
  </si>
  <si>
    <t>Dự án hoàn thành bàn giao đưa vào sử dụng</t>
  </si>
  <si>
    <t>htbgđvsd</t>
  </si>
  <si>
    <t>BẢO VỆ MÔI TRƯỜNG</t>
  </si>
  <si>
    <t>Dự án chuyển tiếp hoàn thành sau năm 2019</t>
  </si>
  <si>
    <t>bvmt</t>
  </si>
  <si>
    <t>syt</t>
  </si>
  <si>
    <t>ctiép sau 2019</t>
  </si>
  <si>
    <t>Xử lý chất thải rắn y tế Bệnh viện đa khoa tỉnh Bắc Kạn thuộc dự án Hỗ trợ xử lý chất thải bệnh viện tỉnh Bắc Kạn</t>
  </si>
  <si>
    <t>UBTP</t>
  </si>
  <si>
    <t>Xử lý thoát úng sau Bệnh viện đa khoa tỉnh</t>
  </si>
  <si>
    <t>gdđt</t>
  </si>
  <si>
    <t>Trường PTDT Nội trú tỉnh Bắc Kạn</t>
  </si>
  <si>
    <t>Kè đá trường THPT Nà Phặc</t>
  </si>
  <si>
    <t>Trường THPT Nà Phặc. Hạng mục San nền, hạ tầng kỹ thuật</t>
  </si>
  <si>
    <t>Trung tâm giáo dục thường xuyên tỉnh Bắc Kạn</t>
  </si>
  <si>
    <t>Trường PTDTNT huyện Ngân Sơn</t>
  </si>
  <si>
    <t>Tr. THPT Quảng Khê</t>
  </si>
  <si>
    <t>Dự án dự kiến hoàn thành năm 2019</t>
  </si>
  <si>
    <t>DKHT2019</t>
  </si>
  <si>
    <t>Trường PTDTNT huyện Ba Bể</t>
  </si>
  <si>
    <t>Hoàn thiện cơ sở vật chất trường THPT Bình Trung</t>
  </si>
  <si>
    <t>HTBGĐVSD</t>
  </si>
  <si>
    <t>Trường THPT chuyên Bắc Kạn</t>
  </si>
  <si>
    <t>Trường cao đẳng nghề DTNT</t>
  </si>
  <si>
    <t>cđ nghề</t>
  </si>
  <si>
    <t>ctiép sau 2022</t>
  </si>
  <si>
    <t>sgdđt</t>
  </si>
  <si>
    <t xml:space="preserve">Dự án Phát triển giáo dục THPT giai đoạn II </t>
  </si>
  <si>
    <t>ub bb</t>
  </si>
  <si>
    <t>ctiep</t>
  </si>
  <si>
    <t>Dự án hỗ trợ xây dựng nhà ở bán trú và các công trình thiết yếu trên địa bàn huyện Ba Bể giai đoạn 2016-2020</t>
  </si>
  <si>
    <t>Trường mầm non Khang Ninh (phần đối ứng của tỉnh)</t>
  </si>
  <si>
    <t>ub bt</t>
  </si>
  <si>
    <t>CTiepSN2019</t>
  </si>
  <si>
    <t>Dự án khởi công mới</t>
  </si>
  <si>
    <t>kcm</t>
  </si>
  <si>
    <t>Trường mầm non Tân Tiến</t>
  </si>
  <si>
    <t>ub cđ</t>
  </si>
  <si>
    <t>Dự án hỗ trợ xây dựng nhà ở bán trú và các công trình thiết yếu trường Phổ thông cơ sở Yên Mỹ, huyện Chợ Đồn</t>
  </si>
  <si>
    <t>UB CM</t>
  </si>
  <si>
    <t>Dự án hỗ trợ xây dựng nhà ở bán trú và các công trình thiết yếu trường Tiểu học Cao Kỳ, huyện Chợ Mới</t>
  </si>
  <si>
    <t>ub cm</t>
  </si>
  <si>
    <t>Nâng cấp sửa chữa trường Mầm non Yên Đĩnh để công nhận lại đạt chuẩn Quốc gia mức độ I</t>
  </si>
  <si>
    <t>ub nr</t>
  </si>
  <si>
    <t>Dự án hỗ trợ xây dựng nhà ở bán trú và các công trình thiết yếu trên địa bàn huyện Na Rì giai đoạn 2016-2020</t>
  </si>
  <si>
    <t>Nhà lớp học trường Mầm non Kim Lư, huyện Na Rì, tỉnh Bắc Kạn</t>
  </si>
  <si>
    <t>ub ns</t>
  </si>
  <si>
    <t>Trường Tiểu học Đức Vân (Hạng mục: Nhà đa năng)</t>
  </si>
  <si>
    <t>ub pn</t>
  </si>
  <si>
    <t>ubtp</t>
  </si>
  <si>
    <t>HOẠT ĐỘNG KINH TẾ</t>
  </si>
  <si>
    <t>hđkt</t>
  </si>
  <si>
    <t>Hệ thống chiếu sáng động Hua Mạ, kè và sân trước cửa động, bãi để xe điểm du lịch động Hua Mạ</t>
  </si>
  <si>
    <t>Đường Cáp trạng xã Khang Ninh đến vườn Quốc gia Ba Bể</t>
  </si>
  <si>
    <t>Cải tạo, nâng cấp đường tỉnh lộ 258 từ Km 45 đến km 48</t>
  </si>
  <si>
    <t>Đường từ ngã ba tỉnh uỷ đến đường Nguyễn Văn Tố và hạ tầng nhà công vụ tỉnh uỷ</t>
  </si>
  <si>
    <t>Kè chống sạt lở xói mòn bờ sông thuộc dự án TT Buốc Lốm</t>
  </si>
  <si>
    <t>Điểm du lịch động Hua Mạ</t>
  </si>
  <si>
    <t>Bổ sung trang thiết bị và xây dựng mạng tin học Bệnh viện đa khoa tỉnh</t>
  </si>
  <si>
    <t>cckl</t>
  </si>
  <si>
    <t>chi cục PTNT</t>
  </si>
  <si>
    <t>Phương án bố trí dân cư xen ghép giai đoạn 2014 – 2015 (đợt 1)</t>
  </si>
  <si>
    <t>Ban QLDA hỗ trợ kinh doanh cho nông hộ CSSP</t>
  </si>
  <si>
    <t>cssp</t>
  </si>
  <si>
    <t>ctycpctnbk</t>
  </si>
  <si>
    <t>Dự án Cấp nước và vệ sinh thị xã Bắc Kạn - Phần cấp nước</t>
  </si>
  <si>
    <t>Ban QLDA ĐTXD CTGT tỉnh</t>
  </si>
  <si>
    <t xml:space="preserve">giao thông </t>
  </si>
  <si>
    <t>Đường Liêm Thủy, Yên Cư</t>
  </si>
  <si>
    <t>Nâng cấp, cải tạo đường tình 257 Bắc Kạn – Chợ Đồn, tỉnh Bắc Kạn</t>
  </si>
  <si>
    <t>giao thông</t>
  </si>
  <si>
    <t>sgtvt</t>
  </si>
  <si>
    <t>ctiép sau 2021</t>
  </si>
  <si>
    <t>Sở Kế hoạch Đầu tư</t>
  </si>
  <si>
    <t>skhđt</t>
  </si>
  <si>
    <t>Dự án Hạ tầng cơ bản cho phát triển toàn diện các tỉnh vùng Đông Bắc: Hà Giang, Cao Bằng, Bắc Kạn, Lạng Sơn- Tiểu dự án tỉnh Bắc Kạn</t>
  </si>
  <si>
    <t>Sở Nông nghiệp PTNT</t>
  </si>
  <si>
    <t>snn</t>
  </si>
  <si>
    <t>snnptnt</t>
  </si>
  <si>
    <t>sxd</t>
  </si>
  <si>
    <t>Trung tâm giống cây trồng</t>
  </si>
  <si>
    <t>ttgctvn</t>
  </si>
  <si>
    <t>Dự án sản xuất giống cam quýt và hồng không hạt tỉnh Bắc Kạn giai đoạn 2011-2015</t>
  </si>
  <si>
    <t>ttnsh</t>
  </si>
  <si>
    <t>Dự án sửa chữa công trình CNSH thôn Nà Pục - Khuổi Lùng, xã Mỹ Phương</t>
  </si>
  <si>
    <t>ttnshvsmtnt</t>
  </si>
  <si>
    <t>ctiép sau 2020</t>
  </si>
  <si>
    <t>Di dời khẩn cấp và tái định cư ổn định cuộc sống 13 hộ dân vùng nguy cơ sạt lở cao xã Phúc Lộc, huyện Ba Bể</t>
  </si>
  <si>
    <t>Đường vào trụ sở khu liên cơ quan huyện Ba Bể</t>
  </si>
  <si>
    <t>Di dời tái định cư đảm bảo ổn định cuộc sống cho 28 hộ dân thôn Nà Cọ, xã Hoàng Trĩ, huyện Ba Bể</t>
  </si>
  <si>
    <t>Di dân TDC xã Khang Ninh huyện Ba Bể thuộc dự án xây dựng công trình thủy điện Tuyên Quang</t>
  </si>
  <si>
    <t>Công trình cải tạo nâng cấp hồ chứa nước Khuổi Chanh, xã Cẩm Giàng, huyện Bạch Thông</t>
  </si>
  <si>
    <t>Cụm công trình thủy lợi huyện Bạch Thông</t>
  </si>
  <si>
    <t>dkht2022</t>
  </si>
  <si>
    <t>Kè chống xói lở cánh đồng xã Nam Cường, huyện Chợ Đồn</t>
  </si>
  <si>
    <t>dkht2020</t>
  </si>
  <si>
    <t>Khắc phục sạt lở đất tại thôn Nà Khon xã Yên Đĩnh</t>
  </si>
  <si>
    <t>dkht2023</t>
  </si>
  <si>
    <t>Xử lý khu vực có nguy cơ sạt lở cấp bách thôn Nà Chúa xã Thanh Vận</t>
  </si>
  <si>
    <t>Đường vào trung tâm y tế huyện Chợ Mới</t>
  </si>
  <si>
    <t>Khắc phục sạt lở đất tại thôn Trung tâm xã Thanh Mai</t>
  </si>
  <si>
    <t>Chống sạt lở mái taluy dương sau trường mầm non xã Mai Lạp, huyện Chợ Mới</t>
  </si>
  <si>
    <t>Khắc phục sạt lở tuyến đường ĐH21, xã Trung Hòa, huyện Ngân Sơn</t>
  </si>
  <si>
    <t>dkht2024</t>
  </si>
  <si>
    <t>Đường vào khu di tích Coỏng Tát, xã Thượng Ân, huyện Ngân Sơn, tỉnh Bắc Kạn</t>
  </si>
  <si>
    <t>Di dân TĐC khẩn cấp ra khỏi vùng có nguy cơ sạt lở huyện Pác Nặm</t>
  </si>
  <si>
    <t>Di dân tái định cư vùng sạt lở xã Nhạn Môn- Pác Nặm</t>
  </si>
  <si>
    <t>UBND thị trấn Chợ Rã</t>
  </si>
  <si>
    <t>ub ttcr</t>
  </si>
  <si>
    <t>Dự án Hệ thống cấp thoát nước và vệ sinh thị trấn Chợ Rã, huyện Ba Bể - Phần thoát nước</t>
  </si>
  <si>
    <t>Đường Nội thị song song với đường Trường Chinh - TX Bắc Kạn</t>
  </si>
  <si>
    <t>ctiép sau 2023</t>
  </si>
  <si>
    <t>dkht2019</t>
  </si>
  <si>
    <t>Dự án Chương trình đô thị miền núi phía Bắc-thị xã Bắc Kạn (giai đoạn 1)</t>
  </si>
  <si>
    <t>vqgbb</t>
  </si>
  <si>
    <t>Đường đi bộ tuần tra bảo vệ rừng kết hợp du lịch sinh thái đoạn Nà Mằm - Lũng Chủ</t>
  </si>
  <si>
    <t>Thực hiện chính sách khuyến kính doanh nghiệp đầu tư vào lĩnh vực nông lâm nghiệp</t>
  </si>
  <si>
    <t>Khu cách ly kiểm dịch động vật tỉnh Bắc Kạn.</t>
  </si>
  <si>
    <t>KHOA HỌC CÔNG NGHỆ</t>
  </si>
  <si>
    <t>khcn</t>
  </si>
  <si>
    <t>SKHCN</t>
  </si>
  <si>
    <t>Tăng cường tiềm lực trung tâm ứng dụng tiến bộ KH&amp;CN Bắc Kạn</t>
  </si>
  <si>
    <t>Tăng cường tiềm lực trang TB trung tâm ứng dụng tiến bộ KH&amp;CN (gđ2)</t>
  </si>
  <si>
    <t>Dự án tăng cường tiềm lực Chi cục Tiêu chuẩn đo lường chất lượng</t>
  </si>
  <si>
    <t>KCM2019</t>
  </si>
  <si>
    <t>STTTT</t>
  </si>
  <si>
    <t>Ứng dụng công nghệ thông tin xây dựng trung tâm dịch vụ hành chính công thành phố Bắc Kạn</t>
  </si>
  <si>
    <t>VPTU</t>
  </si>
  <si>
    <t>QUẢN LÝ NHÀ NƯỚC</t>
  </si>
  <si>
    <t>qlnn</t>
  </si>
  <si>
    <t>dkht2025</t>
  </si>
  <si>
    <t>Hội trường tỉnh Bắc Kạn</t>
  </si>
  <si>
    <t>San nền HĐND-UBND huyện Ba Bể</t>
  </si>
  <si>
    <t>Trụ sở UBND xã Khang Ninh</t>
  </si>
  <si>
    <t>dkht2026</t>
  </si>
  <si>
    <t>Trụ sở UBND xã Yến Dương</t>
  </si>
  <si>
    <t>Trụ sở UBND xã Cao Trĩ, huyện Ba Bể</t>
  </si>
  <si>
    <t>Trụ sở làm việc HĐND - UBND thị trấn Phủ Thông, huyện Bạch Thông</t>
  </si>
  <si>
    <t>Trụ sở UBND xã Yên Thịnh</t>
  </si>
  <si>
    <t>Đầu tư nâng cấp và bổ sung thiết bị cho mạng thông tin Tỉnh ủy</t>
  </si>
  <si>
    <t>vpub</t>
  </si>
  <si>
    <t>Cải tạo, sửa chữa Trụ sở HĐND-UBND và Nhà khách tỉnh Bắc Kạn</t>
  </si>
  <si>
    <t>THỂ DỤC THỂ THAO</t>
  </si>
  <si>
    <t>tdtt</t>
  </si>
  <si>
    <t>Nhà thi đấu TDTT đa năng</t>
  </si>
  <si>
    <t>Dự án Hạ tầng kỹ thuật khu văn hóa thể thao Tổng Đích</t>
  </si>
  <si>
    <t>VĂN HOÁ</t>
  </si>
  <si>
    <t>vh</t>
  </si>
  <si>
    <t>Nhà Văn hóa xã Nông Thịnh</t>
  </si>
  <si>
    <t>Y TẾ</t>
  </si>
  <si>
    <t>yt</t>
  </si>
  <si>
    <t>dkht2021</t>
  </si>
  <si>
    <t>Cải tạo, sửa chữa và bổ sung thiết bị cho Bệnh viện đa khoa Bắc Kạn</t>
  </si>
  <si>
    <t>Bệnh viện đa khoa huyện Ba Bể</t>
  </si>
  <si>
    <t xml:space="preserve">Bệnh viện đa khoa huyện Bạch Thông </t>
  </si>
  <si>
    <t>Bệnh viện đa khoa huyện Chợ Đồn</t>
  </si>
  <si>
    <t>Khắc phục sạt lở trạm y tế xã Hương Nê huyện Ngân Sơn, tỉnh BK</t>
  </si>
  <si>
    <t>ytdp</t>
  </si>
  <si>
    <t>Nhà khoa xét nghiệm và hệ thống xử lý chất thải lỏng Y tế của Trung tâm Y tế dự phòng tỉnh Bắc Kạn</t>
  </si>
  <si>
    <t>z</t>
  </si>
  <si>
    <t>Dự phòng cân đối ngân sách</t>
  </si>
  <si>
    <t>Vốn vay lại ODA của Chính phủ</t>
  </si>
  <si>
    <t>vay lại</t>
  </si>
  <si>
    <t>Quản lý tài sản đường địa phương (LRAMP)</t>
  </si>
  <si>
    <t>DA: Hỗ trợ KD cho nông hộ (CSSP) - Hoạt động phi tín dụng (XDCB)</t>
  </si>
  <si>
    <t>DA: Hỗ trợ KD cho nông hộ (CSSP) - Hoạt động tín dụng</t>
  </si>
  <si>
    <t>Sửa chữa nâng cao an toàn đập (WB8)</t>
  </si>
  <si>
    <t>Dự án Hạ tầng cơ bản phát triển toàn diện cho các tỉnh Đông Bắc (ADB)</t>
  </si>
  <si>
    <t>Dự phòng vay lại chưa phân bổ</t>
  </si>
  <si>
    <t>Trong đó số bổ sung cân đối ngân sách tăng so với năm 2018 (không kể các yếu tố giảm do chính sách và tăng giảm do vốn đầu tư phân cấp cho huyện thay đổi)</t>
  </si>
  <si>
    <t>(Kèm theo Báo cáo số              /BC-UBND ngày       tháng 11 năm 2018 của UBND tỉnh Bắc Kạn)</t>
  </si>
  <si>
    <t>(Kèm theo Báo cáo số          /BC-UBND ngày         tháng 11 năm 2018 của UBND tỉnh Bắc Kạn)</t>
  </si>
  <si>
    <t>Dự kiến kế hoạch năm 2019</t>
  </si>
  <si>
    <t>Tỷ lệ vốn bố trí phần CĐNS tỉnh(kể cả kế hoạch năm 2018)</t>
  </si>
  <si>
    <t>TỔNG CỘNG</t>
  </si>
  <si>
    <t>Dự kiến sử dụng vào nhiệm vụ lập quy hoạch tỉnh</t>
  </si>
  <si>
    <t>Các dự án hoàn thành, bàn giao, đưa vào sử dụng đến ngày 31/12 năm 2018</t>
  </si>
  <si>
    <t>2452/QĐ-UBND ngày 30/12/2013</t>
  </si>
  <si>
    <t>2042/QĐ-UBND ngày 27/9/2010</t>
  </si>
  <si>
    <t>1887/QĐ-UBND ngày 24/10/2014</t>
  </si>
  <si>
    <t>Các dự án dự kiến hoàn thành năm 2019</t>
  </si>
  <si>
    <t>747/QĐ-UBND ngày 30/3/2016</t>
  </si>
  <si>
    <t>1777/QĐ-UBND ngày 30/10/2017</t>
  </si>
  <si>
    <t>Dự án khởi công mới năm 2019</t>
  </si>
  <si>
    <t>Số 2426 28/12/2011</t>
  </si>
  <si>
    <t>Đã QT</t>
  </si>
  <si>
    <t>2413 ngày 9/7/2009</t>
  </si>
  <si>
    <t>1005/QĐ-UBND ngày 23/05/2006</t>
  </si>
  <si>
    <t>1602/QĐ-UBND ngày 29/8/2017</t>
  </si>
  <si>
    <t>Hoàn thành bàn giao đưa vào sử dụng, chờ QT</t>
  </si>
  <si>
    <t>1790/QĐ-UBND ngày 04/11/2015</t>
  </si>
  <si>
    <t>Bố trí 100% vốn còn thiếu giá trị quyết toán hạng mục</t>
  </si>
  <si>
    <t>2703/QĐ-UBND ngày 10/10/2014</t>
  </si>
  <si>
    <t>1946/QĐ-UBND 31/10/2014</t>
  </si>
  <si>
    <t>781/QĐ-UBND ngày 06/6/2017</t>
  </si>
  <si>
    <t>2101a/QĐ-UBND ngày 15/8/2017</t>
  </si>
  <si>
    <t>2681/QĐ-UBND ngày 25/9/2017</t>
  </si>
  <si>
    <t>2874/QĐ-UBND ngày 31/10/2016</t>
  </si>
  <si>
    <t>714/QĐ-UBND ngày 24/3/2017</t>
  </si>
  <si>
    <t>Các dự án chuyển tiếp hoàn thành sau năm 2019</t>
  </si>
  <si>
    <t>1799/QĐ-UBND ngày 31/10/2017</t>
  </si>
  <si>
    <t>V.I</t>
  </si>
  <si>
    <t>2532/QĐ-UBND ngày 31/12/2014</t>
  </si>
  <si>
    <t>2139/QĐ-UBND ngày 30/10/2008</t>
  </si>
  <si>
    <t>1819/QĐ-UBND ngày 31/10/2012</t>
  </si>
  <si>
    <t>639/QĐ-UBND ngày 23/4/2007</t>
  </si>
  <si>
    <t>2537 ngày 30/11/2010</t>
  </si>
  <si>
    <t>2579/QĐ-UBND 11/10/2008</t>
  </si>
  <si>
    <t>945/QĐ-UBND 24/6/2013</t>
  </si>
  <si>
    <t>01/QĐ-UBND ngày 2/1/2009</t>
  </si>
  <si>
    <t xml:space="preserve"> 2343/QĐ-UBND ngày 23/11/2007</t>
  </si>
  <si>
    <t xml:space="preserve"> 2494/QĐ-UBND  ngày 31/12/2011</t>
  </si>
  <si>
    <t>1980/QĐ-UBND ngày 02/12/2010 của UBND huyện Ba Bể</t>
  </si>
  <si>
    <t xml:space="preserve">1229/QĐ-UBND ngày 6/6/2010 </t>
  </si>
  <si>
    <t>1588/QĐ-UBND ngày 25/8/2008</t>
  </si>
  <si>
    <t>2660/QĐ-UBND ngày 26/10/2005</t>
  </si>
  <si>
    <t>2009/QĐ-UBND ngày 21/10/2008</t>
  </si>
  <si>
    <t>760/QĐ-UBND ngày 05/6/2015</t>
  </si>
  <si>
    <t>2585/QĐ-UBND ngày 07/12/2001</t>
  </si>
  <si>
    <t>Ban QLDA Đầu tư xây dựng công trình giao thông tỉnh</t>
  </si>
  <si>
    <t>109/QD-UB ngày 29/01/2004</t>
  </si>
  <si>
    <t>3006/QĐ-UBND ngày 29/11/2005</t>
  </si>
  <si>
    <t>Vườn QG Ba Bể</t>
  </si>
  <si>
    <t>555/QĐ-UB ngày 01/8/1998</t>
  </si>
  <si>
    <t>UBND TP</t>
  </si>
  <si>
    <t>2739/QĐ-UBND ngày 01/11/2005</t>
  </si>
  <si>
    <t>636/QĐ-UBND ngày 15/5/2015</t>
  </si>
  <si>
    <t>Hệ thống cấp thoát nước và vệ sinh thị trấn Chợ Rã, huyện Ba Bể</t>
  </si>
  <si>
    <t>54/QĐ-UBND ngày 10/01/2008</t>
  </si>
  <si>
    <t>Công ty CP cấp thoát nước BK</t>
  </si>
  <si>
    <t>2739/QĐ-UBND ngày 01/11/2005
397/QĐ-UBND ngày 15/3/2011</t>
  </si>
  <si>
    <t>291/QĐ-UBND ngày 14/02/2014</t>
  </si>
  <si>
    <t>3835/QĐ-UBND ngày 18/12/2009</t>
  </si>
  <si>
    <t>1515/QĐ-UBND ngày 22/11/2002</t>
  </si>
  <si>
    <t>444/QĐ-UB ngày 21/3/2005</t>
  </si>
  <si>
    <t>573/QĐ-UBND ngày 11/5/2010</t>
  </si>
  <si>
    <t>1976a/QĐ-UBND ngày 24/10/2011</t>
  </si>
  <si>
    <t>724/QĐ-UBND ngày 24/5/2016</t>
  </si>
  <si>
    <t>Số 2819 ngày 30/12/2011</t>
  </si>
  <si>
    <t>2424/QĐ-UBND ngày 28/12/2011</t>
  </si>
  <si>
    <t>Chi cục thú y</t>
  </si>
  <si>
    <t>391/QĐ-UBND ngày 27/02/2009</t>
  </si>
  <si>
    <t>1951/QĐ-UBND ngày 31/10/2014</t>
  </si>
  <si>
    <t>VP UBND tỉnh</t>
  </si>
  <si>
    <t xml:space="preserve"> Điểm du lịch động Hua Mạ</t>
  </si>
  <si>
    <t>1175/QĐ-UBND ngày 1/06/2009</t>
  </si>
  <si>
    <t>số 143/QĐ-UBND ngày 22/01/2010</t>
  </si>
  <si>
    <t>2608/QĐ-UBND ngày 31/12/2010</t>
  </si>
  <si>
    <t>2213/QĐ-UBND,  28/11/2011</t>
  </si>
  <si>
    <t>2254/QĐ-UBND ngày 22/10/2010</t>
  </si>
  <si>
    <t>704/QĐ-UBND ngày 18/5/2016</t>
  </si>
  <si>
    <t>2376/QĐ-UBND 24/12/2013</t>
  </si>
  <si>
    <t xml:space="preserve"> 2013/QĐ-UBND ngày 03/12/2010</t>
  </si>
  <si>
    <t>2053/QĐ-UBND ngày 31/10/2011</t>
  </si>
  <si>
    <t>Trung tâm giống cây trồng vật nuôi BK</t>
  </si>
  <si>
    <t>Chờ QT</t>
  </si>
  <si>
    <t>89/QĐ-UBND 13/01/2014</t>
  </si>
  <si>
    <t>1893/QĐ-UBND ngày 31/10/2013</t>
  </si>
  <si>
    <t>704/QĐ-UBND ngày 26/05/2015</t>
  </si>
  <si>
    <t>1681/QĐ-UBND ngày 05/10/2011</t>
  </si>
  <si>
    <t>881/QĐ-UBND ngày 23/06/2017</t>
  </si>
  <si>
    <t>277/QĐ-UBND ngày 22/2/2018</t>
  </si>
  <si>
    <t>2984/QĐ-UBND ngày 31/10/2017</t>
  </si>
  <si>
    <t>Hỗ trợ vốn đối ứng ODA cho các dự án ODA khởi công mới năm 2019</t>
  </si>
  <si>
    <t>NGUỒN VÓN VAY LẠI VỐN VAY NƯỚC NGOÀI CỦA CHÍNH PHỦ (dự kiến phân bổ theo tiến độ thực hiện dự án)</t>
  </si>
  <si>
    <t>371/QĐ-UBND ngày 29/3/2018</t>
  </si>
  <si>
    <t>1771/QĐ-UBND ngày 12/7/2017</t>
  </si>
  <si>
    <t>1785/QĐ-UBND ngày 30/10/2017</t>
  </si>
  <si>
    <t>1797/QĐ-UBND ngày 31/10/2017</t>
  </si>
  <si>
    <t>1783/QĐ-UBND ngày 30/10/2017</t>
  </si>
  <si>
    <t>1798/QĐ-UBND ngày 31/10/2017</t>
  </si>
  <si>
    <t>761/QĐ-UBND ngày 02/6/2017</t>
  </si>
  <si>
    <t>1784/QĐ-UBND ngày 30/10/2017</t>
  </si>
  <si>
    <t>1541/QĐ-UBND ngày 29/9/2017</t>
  </si>
  <si>
    <t>1786/QĐ-UBND ngày 30/10/2017</t>
  </si>
  <si>
    <t>1788/QĐ-UBND ngày 30/10/2017</t>
  </si>
  <si>
    <t>680/QĐ-UBND ngày 17/5/2017</t>
  </si>
  <si>
    <t xml:space="preserve">Xây dựng trường chuẩn </t>
  </si>
  <si>
    <t>Vốn chưa phân bổ</t>
  </si>
  <si>
    <t>Nguồn thu miễn giảm học phí theo Nghị định số 85/2015/NĐ-CP</t>
  </si>
  <si>
    <t>Phí giám định pháp y</t>
  </si>
  <si>
    <t>Sở Lao động, Thương binh và xã hội</t>
  </si>
  <si>
    <t>Kinh phí hỗ trợ Công ty lâm nghiệp có rừng tự nhiên phải tạm dừng khai thác theo Quyết định số 2242/QĐ-TTg</t>
  </si>
  <si>
    <t>Hỗ trợ bù giảm thu để đảm bảo mặt bằng chi thường xuyên không thấp hơn dự toán năm 2018</t>
  </si>
  <si>
    <t>Công ty Cổ phần Đăng kiểm Bắc Kạn</t>
  </si>
  <si>
    <t>(Kèm theo Báo cáo số               /BC-UBND ngày       tháng 11 năm 2018 của UBND tỉnh Bắc Kạn)</t>
  </si>
  <si>
    <r>
      <t xml:space="preserve">Ghi chú: </t>
    </r>
    <r>
      <rPr>
        <i/>
        <sz val="11"/>
        <rFont val="Times New Roman"/>
        <family val="1"/>
      </rPr>
      <t>(1) Chưa bao gồm chi đầu tư cho các chương trình mục tiêu quốc gia và các chương trình mục tiêu tại mục II.</t>
    </r>
  </si>
  <si>
    <t>GIAO KẾ HOẠCH VỐN TỪ NGUỒN SỰ NGHIỆP CÓ TÍNH CHẤT ĐẦU TƯ XDCB NĂM 2019</t>
  </si>
  <si>
    <t>Quyết định số 481/QĐ-UBND ngày 30/3/2018</t>
  </si>
  <si>
    <t>Sở Nông nghiệp và Phát triển Nông thôn</t>
  </si>
  <si>
    <t>Tiết kiệm thêm 2% chi thường xuyên để thực hiện Chương trình nông thôn mới</t>
  </si>
  <si>
    <t>Ban quản lý Vườn quốc gia Ba Bể</t>
  </si>
  <si>
    <t>Tiết kiệm 10% chi thường xuyên theo quy định</t>
  </si>
  <si>
    <t>Phí cấp phép hành nghề 20%</t>
  </si>
  <si>
    <t>(19)</t>
  </si>
  <si>
    <t>Trường Cao đẳng nghề Dân tộc nội trú</t>
  </si>
  <si>
    <t>Chi đầu tư từ nguồn bội chi ngân sách</t>
  </si>
  <si>
    <t>II. Chi thường xuyên</t>
  </si>
  <si>
    <t xml:space="preserve">III. Chi trả nợ lãi, phí các khoản do chính quyền địa phương vay </t>
  </si>
  <si>
    <t>VI. Chi bổ sung quỹ dự trữ tài chính</t>
  </si>
  <si>
    <t>V. Dự phòng ngân sách</t>
  </si>
  <si>
    <r>
      <t>Thanh toán nợ XDCB</t>
    </r>
    <r>
      <rPr>
        <b/>
        <i/>
        <vertAlign val="superscript"/>
        <sz val="6"/>
        <rFont val="Times New Roman"/>
        <family val="1"/>
      </rPr>
      <t>(4)</t>
    </r>
  </si>
  <si>
    <t xml:space="preserve">             - Đối với lĩnh vực chi sự nghiệp kinh tế phải bố trí kinh phí để thực hiện các dự án quy hoạch do huyện, thành phố phê duyệt và thực hiện cắm mốc thực địa sau quy hoạch được duyệt; KP đối ứng cho dự án LRAMP 6.059 triệu đồng, trong đó: Thành phố Bắc Kạn: 379 triệu đồng, huyện Bạch Thông: 577 triệu đồng, Chợ Mới:1.296 triệu đồng, Chợ Đồn: 1.226 triệu đồng, Na Rì: 1.235 triệu đồng, Ngân Sơn: 245 triệu đồng, Ba Bể: 281 triệu đồng, Pác Nặm: 820 triệu đồng.</t>
  </si>
  <si>
    <t>ĐÁNH GIÁ THỰC HIỆN THU DỊCH VỤ CỦA ĐƠN VỊ SỰ NGHIỆP CÔNG NĂM 2018</t>
  </si>
  <si>
    <t>Trường Cao đẳng nghề và dân tộc nội trú</t>
  </si>
  <si>
    <t>Trường Cao đẳng cộng đồng</t>
  </si>
  <si>
    <t>Trường Chính trị</t>
  </si>
  <si>
    <t>Trung tâm văn hóa</t>
  </si>
  <si>
    <t>Đoàn nghệ thuật dân tộc</t>
  </si>
  <si>
    <t>Trung tâm Công nghệ thông tin</t>
  </si>
  <si>
    <t>Sự nghiệp phát thanh - truyền hình</t>
  </si>
  <si>
    <t>Đài PT-TH</t>
  </si>
  <si>
    <t>Trung tâm Huấn luyện và Thi đấu thể dục thể thao</t>
  </si>
  <si>
    <t>Sự nghiệp kinh tế</t>
  </si>
  <si>
    <t>Trung tâm Phát triển quỹ đất</t>
  </si>
  <si>
    <t>Văn phòng Đăng ký đất đai</t>
  </si>
  <si>
    <t>Sở Cong thương</t>
  </si>
  <si>
    <t>Trung tâm PTHT và dịch vụ KCN</t>
  </si>
  <si>
    <t>Sở Giao thông vận tải</t>
  </si>
  <si>
    <t>Công ty CP Đăng kiểm Bắc Kạn</t>
  </si>
  <si>
    <t>Trung tâm Quan trắc Tài nguyên và Môi trường</t>
  </si>
  <si>
    <t>Sự nghiệp đảm bảo xã hội</t>
  </si>
  <si>
    <t>KẾ HOẠCH THU DỊCH VỤ CỦA ĐƠN VỊ SỰ NGHIỆP CÔNG NĂM 2019</t>
  </si>
  <si>
    <t xml:space="preserve"> Kế hoạch năm 2019</t>
  </si>
  <si>
    <t>Dự kiến năm 2019</t>
  </si>
  <si>
    <t>(58)</t>
  </si>
  <si>
    <t>(59)</t>
  </si>
  <si>
    <t>Văn phòng  Đoàn đại biểu Quốc hội, HĐND và UBND tỉnh Bắc Kạn</t>
  </si>
  <si>
    <t>Bộ Chỉ huy Quân sự tỉnh</t>
  </si>
  <si>
    <t>Dự phòng cho các dự án khởi công mới chưa đủ thủ tục đầu tư thuộc nguồn NSĐP đối ứng ODA</t>
  </si>
  <si>
    <t>Trường Cao đẳng sư phạm Bắc Kạn</t>
  </si>
  <si>
    <t>Xây dựng trường tiểu học Như Cố II đạt chuẩn Quốc gia</t>
  </si>
  <si>
    <t>Đường phía đông sông Cầu huyện Chợ Mới</t>
  </si>
  <si>
    <t>Kè chắn sạt lở đất khu dân cư thôn Hát Deng, trường PTDT Nội trú  và trường TH thị trấn Yến Lạc</t>
  </si>
  <si>
    <t>Dự án Lưới điện nông thôn xã Cư Lễ, Xuân Dương, Dương Sơn, Liêm Thủy huyện Na Rì</t>
  </si>
  <si>
    <t>QUỐC PHÒNG AN NINH</t>
  </si>
  <si>
    <t>Bộ CHQS tỉnh</t>
  </si>
  <si>
    <t>CT 229 - BT, thuộc huyện Bạch Thông</t>
  </si>
  <si>
    <t>Số vốn còn thiếu so với QT là 60 triệu, dự kiến sử dụng từ nguồn vốn dự phòng CĐNS</t>
  </si>
  <si>
    <t>TRẢ NỢ VAY TÍN DỤNG ƯU ĐÃI</t>
  </si>
  <si>
    <t>Đầu tư nâng cấp Trung tâm tích hợp dữ liệu thành Trung tâm dữ liệu ảo hóa của tỉnh (giai đoạn I)</t>
  </si>
  <si>
    <t>1719/QĐ-UBND ngày 07/10/2014</t>
  </si>
  <si>
    <t>TTCNTT</t>
  </si>
  <si>
    <t>Hết nhu cầu sử dụng vốn</t>
  </si>
  <si>
    <t>Dự án nâng cấp thư điện tử tỉnh Bắc Kạn</t>
  </si>
  <si>
    <t>307/QĐ-UBND ngày 09/03/2016</t>
  </si>
  <si>
    <t>Xây dựng hệ thống phần mềm thông báo và quản lý lưu trú trực tuyến</t>
  </si>
  <si>
    <t>1919/QĐ-UBND ngày 30/10/2014</t>
  </si>
  <si>
    <t>Dự án Ứng dụng công nghệ thông tin trong hoạt động của các cơ quan nhà nước hướng tới xây dựng chính quyền điện tử tỉnh Bắc Kạn giai đoạn 2015-2020</t>
  </si>
  <si>
    <t>433/QĐ-UBND ngày 31/3/2016</t>
  </si>
  <si>
    <t>Dự kiến điều chỉnh quy mô</t>
  </si>
  <si>
    <t>Trung tâm KTTH-Huớng nghiệp dạy nghề</t>
  </si>
  <si>
    <t>Trung tâm hướng nghiệp dạy nghề</t>
  </si>
  <si>
    <t>Đã QT, hết nhu cầu sử dụng vốn</t>
  </si>
  <si>
    <t>Trường PTDT Nội trú huyện Ba Bể</t>
  </si>
  <si>
    <t>412/QĐ-UBND ngày 04/03/2009</t>
  </si>
  <si>
    <t>Trường THPT Yên Hân. Hạng mục nhà hiệu bộ, nhà vệ sinh, cấp điện ngoài nhà</t>
  </si>
  <si>
    <t>2029/QĐ-UBND ngày 18/10/2007</t>
  </si>
  <si>
    <t>Trường THCS Nà Khoang, huyện Ngân Sơn</t>
  </si>
  <si>
    <t>1978/QĐ-UBND ngày 22/09/2010</t>
  </si>
  <si>
    <t>Phòng chống mối công trình cải tạo trụ sở làm việc Sở Giáo dục và Đào tạo Bắc Kạn</t>
  </si>
  <si>
    <t>3085/QĐ-UBND ngày 07/10/2009</t>
  </si>
  <si>
    <t>Dự án Giáo dục tiểu học cho trẻ em có hoàn cảnh khó khăn (Các công trình đã phê duyệt quyết toán 45 gói thầu)</t>
  </si>
  <si>
    <t>Dự án Phát triển Giáo dục THCS II</t>
  </si>
  <si>
    <t>Dự án phát triển giáo dục THCS vùng khó khăn nhất</t>
  </si>
  <si>
    <t>Trường THCS Bộc Bố, huyện Pác Nặm, HM: Nhà lớp học 01 phòng</t>
  </si>
  <si>
    <t>880/QĐ-UBND ngày 11/6/2013</t>
  </si>
  <si>
    <t>Trường THCS Nhạn Môn, huyện Pác Nặm, HM: Nhà lớp học 03 phòng học</t>
  </si>
  <si>
    <t>904/QĐ-UBND ngày 14/6/2013</t>
  </si>
  <si>
    <t>Trường THCS Bằng Thành, huyện Pác Nặm, HM: Nhà lớp học 02 phòng học</t>
  </si>
  <si>
    <t>1913/QĐ-UBND ngày 04/11/2013</t>
  </si>
  <si>
    <t>Trường THPT Quảng Khê (bậc THCS) Nhà lớp học 02 phòng học</t>
  </si>
  <si>
    <t>905/QĐ-UBND ngày 14/6/2013</t>
  </si>
  <si>
    <t>Khu nội trú trường THPT Yên Hân huyện Chợ Mới</t>
  </si>
  <si>
    <t>1983/QĐ-UBND ngày 5/11/2014</t>
  </si>
  <si>
    <t>Trung tâm dạy nghề Hội Nông Dân</t>
  </si>
  <si>
    <t>248/QĐ-UBND ngày 24/1/2014</t>
  </si>
  <si>
    <t xml:space="preserve">Hội Nông dân </t>
  </si>
  <si>
    <t>Trường tiểu học Đức Xuân, thị xã Bắc Kạn</t>
  </si>
  <si>
    <t>1568/QĐ-UBND ngày 28/01/2001</t>
  </si>
  <si>
    <t>Mua sắm thiết bị nội thất nhà đa chức năng Sở GD&amp;ĐT</t>
  </si>
  <si>
    <t>1391/QĐ-UBND ngày 10/9/2012</t>
  </si>
  <si>
    <t>Phê duyệt quyết toán 1163/QĐ-UBND ngày 28/07/2016</t>
  </si>
  <si>
    <t>Nâng cấp, cải tạo, mở rộng và xây dựng mới trường chính trị tỉnh Bắc Kạn</t>
  </si>
  <si>
    <t>Trường chính trị tỉnh</t>
  </si>
  <si>
    <t>Trường THCS Thượng Giáo, Ba Bể</t>
  </si>
  <si>
    <t>2699/QĐ-UBND ngày 02/10/2003</t>
  </si>
  <si>
    <t>Phê duyệt quyết toán 1740/QĐ-UBND ngày 26/10/2017</t>
  </si>
  <si>
    <t>Trường mầm non Chí Kiên</t>
  </si>
  <si>
    <t>2340/QĐ-UBND ngày 8/8/2016</t>
  </si>
  <si>
    <t>Trường THCS Chợ Rã, huyện Ba Bể</t>
  </si>
  <si>
    <t>1951/QĐ-UBND ngày 23/11/2012</t>
  </si>
  <si>
    <t>Phê duyệt quyết toán 992/QĐ-UBND ngày 12/7/2017</t>
  </si>
  <si>
    <t>Trường Cao đẳng Sư phạm Bắc Kạn</t>
  </si>
  <si>
    <t>1689 ngày 09/9/2008</t>
  </si>
  <si>
    <t>Hỗ trợ nâng cấp, cải tạo các trường đạt chuẩn năm 2016</t>
  </si>
  <si>
    <t>UBND các huyện, thành phố</t>
  </si>
  <si>
    <t>Hoàn trả kiến nghị xử lý tài chính theo kết luận kiếm toán nhà nước về quản lý, sử dụng vốn trái phiếu Chính phủ năm 2013</t>
  </si>
  <si>
    <t>Trường THCS Đức Xuân</t>
  </si>
  <si>
    <t>1549/QĐ-UBND ngày 11/09/2014</t>
  </si>
  <si>
    <t>Trường tiểu học và THCS xã Cao Trĩ</t>
  </si>
  <si>
    <t>1599/QĐ-UBND 31/3/2016</t>
  </si>
  <si>
    <t>Trường THPT Chợ Đồn (gđ2)</t>
  </si>
  <si>
    <t>3785/QĐ-UBND ngày 14/12/2009</t>
  </si>
  <si>
    <t>Cắt giảm quy mô, chờ QT</t>
  </si>
  <si>
    <t>Trường Cao đẳng cộng đồng (giai đoạn I)</t>
  </si>
  <si>
    <t>Trường Phổ thông DTNT Chợ Đồn</t>
  </si>
  <si>
    <t>Số 2199 ngày 25/11/2011</t>
  </si>
  <si>
    <t>Trường Mầm non Liên Cơ huyện Chợ Đồn tỉnh Bắc Kạn</t>
  </si>
  <si>
    <t>669/QĐ-UBND ngày 23/4/2014</t>
  </si>
  <si>
    <t>Tr. THPT Na Rì</t>
  </si>
  <si>
    <t>2424/QĐ-UBND ngày 21/11/2008</t>
  </si>
  <si>
    <t>Trường PTDTNT THCS huyện Chợ Mới</t>
  </si>
  <si>
    <t>736/QĐ-UBND 16/5/2013</t>
  </si>
  <si>
    <t>Trả nợ vay tín dụng ưu đãi các công trình thuộc Nghị quyết số 02/NQ-CP của Chính phủ</t>
  </si>
  <si>
    <t>Trả phí tạm ứng vốn Kho bạc Nhà nước năm 2016</t>
  </si>
  <si>
    <t>Hỗ trợ UBND huyện Bạch Thông thực hiện các tiêu chí nông thôn mới của xã Quân Bình và xã Cẩm Giàng, huyện Bạch Thông để đạt chuẩn nông thôn mới năm 2016</t>
  </si>
  <si>
    <t>Chuẩn bị đầu tư các dự án dự kiến khởi công mới giai đoạn 2016-2020</t>
  </si>
  <si>
    <t>6.1</t>
  </si>
  <si>
    <t>Kè xứ đồng Đông Chót - Cốc Lải - Nà Ka - Pù Mò, xã Bằng Vân, huyện Ngân Sơn, tỉnh Bắc Kạn</t>
  </si>
  <si>
    <t>915/QĐ-UBND ngày 28/5/2012</t>
  </si>
  <si>
    <t>Kè chống xói lở bờ sông Cầu đoạn qua xã Yên Đĩnh và thị trấn Chợ Mới, huyện Chợ Mới</t>
  </si>
  <si>
    <t>937/QĐ-UBND ngày 20/6/2013</t>
  </si>
  <si>
    <t>Trụ sở UBND xã Giáo Hiệu</t>
  </si>
  <si>
    <t xml:space="preserve">2091/QĐ-UBND ngày 01/12/2010 </t>
  </si>
  <si>
    <t>Dự án mua sắm trang thiết bị Y tế bệnh viện đa khoa huyện Chợ Mới</t>
  </si>
  <si>
    <t>1296/QĐ-UBND ngày 17/6/2009</t>
  </si>
  <si>
    <t>Trạm y tế xã Bằng Vân</t>
  </si>
  <si>
    <t>378/QĐ-UBND 26/3/2012</t>
  </si>
  <si>
    <t>Khu tái định cư Bắc Sông Cầu (GĐ CBĐT)</t>
  </si>
  <si>
    <t>Mở nền đường khắc phục hậu quả bão lụt, ĐBGT năm 2013 tại Km19+910 ĐT257B, tỉnh Bắc Kạn</t>
  </si>
  <si>
    <t>553/QĐ-SGTVT ngày 27/12/2013</t>
  </si>
  <si>
    <t>Trụ sở làm việc và lưu trữ hồ sơ Sở Lao động Thương binh và xã hội</t>
  </si>
  <si>
    <t>Trung tâm dạy nghề huyện Chợ Mới ( GĐ3)</t>
  </si>
  <si>
    <t>2304/QĐ-UBND ngày 13/12/11</t>
  </si>
  <si>
    <t>Trụ sở UBND xã Bằng Lãng</t>
  </si>
  <si>
    <t>957/QĐ-UBND ngày 28/6/2012</t>
  </si>
  <si>
    <t>Dự án Sân vận động tỉnh Bắc Kạn (GĐ CBĐT)</t>
  </si>
  <si>
    <t>2728/QĐ-UBND ngày 31/10/2005</t>
  </si>
  <si>
    <t>Khắc phục hậu quả bão lụt, ĐBGT bước 1 đợt 1 năm 2013 trên tuyến đường ĐT251; ĐT252; ĐT252B; ĐT253; ĐT254; ĐT254B; ĐT255; ĐT255B</t>
  </si>
  <si>
    <t>323/QĐ-UBND ngày 25/02/2014</t>
  </si>
  <si>
    <t>Đường Bằng Lũng - Bản Tàn - Bằng Lãng</t>
  </si>
  <si>
    <t>603 ngày 26/4/2012</t>
  </si>
  <si>
    <t>Khắc phục hậu quả bão lụt, ĐBGT bước 1 đợt 1 năm 2013 trên tuyến đường ĐT256, tỉnh Bắc Kạn</t>
  </si>
  <si>
    <t>324/QĐ-UBND ngày 25/02/2014</t>
  </si>
  <si>
    <t>Khắc phục hậu quả bão lụt, ĐBGT bước 1 đợt 1 năm 2013 trên tuyến đường ĐT259 và ĐT259B</t>
  </si>
  <si>
    <t>2490/QĐ-UBND ngày 31/12/2013</t>
  </si>
  <si>
    <t>Khắc phục hậu quả bão, lụt, đảm bảo giao thông bước 1, đợt 3 năm 2013 tại Km19+370 ĐT258</t>
  </si>
  <si>
    <t>726/QĐ-UBND ngày 05/5/2014</t>
  </si>
  <si>
    <t>Kè chống xói lở khu cánh đồng bản mới xã Hà Hiệu</t>
  </si>
  <si>
    <t>1390/QĐ-UBND ngày 20/08/2014</t>
  </si>
  <si>
    <t>Xây dựng, nâng cấp và sửa chữa trụ sở sở GTVT tỉnh Bắc Kạn</t>
  </si>
  <si>
    <t>Trung tâm dạy nghề huyện Ngân Sơn, trỉnh Bắc Kạn</t>
  </si>
  <si>
    <t>2305/QĐ-UBND ngày 13/12/11</t>
  </si>
  <si>
    <t>Trung tâm giới thiệu việc làm tỉnh Bắc Kạn</t>
  </si>
  <si>
    <t>Số 1991/QĐ-UBND ngày 25/10/11</t>
  </si>
  <si>
    <t>Dự án di dân tái định cư vùng thiên tai thôn Khâu Vai xã Bộc Bố huyện Pác Nặm</t>
  </si>
  <si>
    <t>2616/QĐ-UBND ngày 31/12/2011</t>
  </si>
  <si>
    <t>Đầu tư nuôi trồng thủy sản hồ Bản Vài, Bản Nả xã Khang Ninh, huyện Ba Bể, tỉnh Bắc Kạn (giai đoạn CBĐT)</t>
  </si>
  <si>
    <t>Sở NN&amp;PTNT</t>
  </si>
  <si>
    <t>Trụ sở UBND xã Nam Cường</t>
  </si>
  <si>
    <t>687 29/4/2014</t>
  </si>
  <si>
    <t>Đường GTNT Nà Mương Khuôn Ruộng xã Lương Bằng</t>
  </si>
  <si>
    <t>1358/QĐ-UBND ngày 27/8/2013</t>
  </si>
  <si>
    <t>Xây dựng hệ thống tín hiệu điều khiển giao thông tại nút giao đường Hùng Vương với đường Thành Công;  Sơn đường tại nút giao giữa đường Trường Chinh với Dương Mạc Hiếu và nút giao giữa đường Phùng Chí Kiên với đường Kom Tum và đường Trường Chinh</t>
  </si>
  <si>
    <t>Mua sắm TTB Y tế và hệ thống xử lý chất thải cho Trung tâm Phòng chống HIV/AIDS</t>
  </si>
  <si>
    <t>1401/QĐ-UBND (30/8/2013)</t>
  </si>
  <si>
    <t>Trụ sở UBND xã Vũ Loan</t>
  </si>
  <si>
    <t>2166/QĐ- UBND ngày 31/10/2012</t>
  </si>
  <si>
    <t>Trụ sở UBND xã Thuần Mang</t>
  </si>
  <si>
    <t>2155/QĐ-UBND ngày 22/12/2011</t>
  </si>
  <si>
    <t>Trụ sở hạt kiểm lâm Chợ Đồn</t>
  </si>
  <si>
    <t>997/QĐ-UBND ngày 18/06/2014</t>
  </si>
  <si>
    <t>Đài phát thanh và truyền hình Bắc Kạn - giai đoạn I</t>
  </si>
  <si>
    <t>Trụ sở hạt kiểm lâm Na Rì</t>
  </si>
  <si>
    <t>728/QĐ-UBND ngày 5/5/2014</t>
  </si>
  <si>
    <t>CN&amp; VSTH huyện Ngân Sơn</t>
  </si>
  <si>
    <t>1823/QĐ-UBND  25/10/2012</t>
  </si>
  <si>
    <t>Dự án SC, NC CNSH xã Nguyên Phúc, Bạch Thông</t>
  </si>
  <si>
    <t>1734/QĐ-UBND,  18/10/2013</t>
  </si>
  <si>
    <t>Bệ đặt 2 nhóm tượng và tường bê tông lắp đặt bức tranh gốm tượng đài chiến thắng tỉnh Bắc Kạn</t>
  </si>
  <si>
    <t>1815/QĐ-UBND ngày 25/10/2013</t>
  </si>
  <si>
    <t>CN&amp; VSTH huyện Na Rỳ</t>
  </si>
  <si>
    <t>1735/QĐ-UBND  18/10/2013</t>
  </si>
  <si>
    <t>Xây dựng hoàn chỉnh hệ thống hàng rào khu Văn hóa thể thao Tổng Đích</t>
  </si>
  <si>
    <t>1818/QĐ-UBND ngày 25/10/2013</t>
  </si>
  <si>
    <t>Sửa chữa, cải tạo nhà thư viện tỉnh</t>
  </si>
  <si>
    <t>2100/QĐ-UBND ngày 27/11/2013</t>
  </si>
  <si>
    <t>Trụ sở UBND xã Xuân Lạc</t>
  </si>
  <si>
    <t>1164/QĐ-UBND ngày 30/7/2013</t>
  </si>
  <si>
    <t>Bảo tồn, đầu tư và phát triển làng văn hóa dân tộc Tày bản Pác Ngòi, xã Nam Mẫu, huyện Ba Bể</t>
  </si>
  <si>
    <t>2112/QĐ-UBND ngày 19/10/2006</t>
  </si>
  <si>
    <t>Kè chống xói lở khu cầu xã Vân Tùng, huyện Ngân Sơn</t>
  </si>
  <si>
    <t>Chợ Nam Cường</t>
  </si>
  <si>
    <t>1254/QĐ-UBND ngày 06/08/2013</t>
  </si>
  <si>
    <t>Bệnh viện Bộc Bố, huyện Pác Nặm</t>
  </si>
  <si>
    <t>1613/QĐ-UBND ngày 
5/9/2007</t>
  </si>
  <si>
    <t>Kè chống xói lở bờ sông Cầu đoạn từ trường THCS đến cầu Khe Thỉ, xã Nông Hạ, huyện Chợ Mới</t>
  </si>
  <si>
    <t>2337/QĐ-UBND ngày 31/12/2011</t>
  </si>
  <si>
    <t>Hệ thống cấp nước và vệ sinh các trạm y tế năm 2012</t>
  </si>
  <si>
    <t>1872/QĐ-UBND ngày 12/11/2012</t>
  </si>
  <si>
    <t>Trung tâm phòng chống HIV/AIDS tỉnh Bắc Kạn</t>
  </si>
  <si>
    <t>2812/QĐ-UBND ngày 31/12/2008</t>
  </si>
  <si>
    <t>Hệ thống cấp nước và vệ sinh các TYT năm 2011</t>
  </si>
  <si>
    <t>Số 1244/QĐ-UBND ngày 12/7/2011</t>
  </si>
  <si>
    <t>Trung tâm kiểm nghiệm thuốc mỹ phẩm thực phẩm</t>
  </si>
  <si>
    <t>2329/QĐ- UBND ngày 19/12/2011</t>
  </si>
  <si>
    <t>Trung tâm truyền thông giáo dục sức khỏe tỉnh Bắc Kạn</t>
  </si>
  <si>
    <t>3339/QD-UBND ngày 29/10/2009</t>
  </si>
  <si>
    <t>Hệ thống cấp nước và vệ sinh các TYT ( năm 2010 )</t>
  </si>
  <si>
    <t>2653/QĐ-UBND ngày 27/8/2009</t>
  </si>
  <si>
    <t>Khắc phục hậu quả bão lụt, ĐBGT bước 1 đợt 2 năm 2013 trên tuyến đường ĐT258, tỉnh Bắc Kạn</t>
  </si>
  <si>
    <t>1995/QĐ-UBND ngày 14/11/2013</t>
  </si>
  <si>
    <t>Khắc phục hậu quả bão lụt, ĐBGT bước 1 đợt 3 năm 2013 trên tuyến đường ĐT258, tỉnh Bắc Kạn</t>
  </si>
  <si>
    <t>2464/QĐ-UBND ngày 31/12/2013</t>
  </si>
  <si>
    <t>Mở nền đường khắc phục hậu quả bão lụt, ĐBGT năm 2013 tại Km5+400 ĐT258, tỉnh Bắc Kạn</t>
  </si>
  <si>
    <t>551/QĐ-SGTVT ngày 27/12/2013</t>
  </si>
  <si>
    <t>Khắc phục hậu quả do mưa lũ đối với công trình phòng thủ tỉnh</t>
  </si>
  <si>
    <t>1809/QĐ-UBND ngày 25/10/2013</t>
  </si>
  <si>
    <t>Trụ sở UBND xã Cao Tân</t>
  </si>
  <si>
    <t>1937/QĐ-UBND ngày 24/10/2011</t>
  </si>
  <si>
    <t>Trụ sở UBND xã Vân Tùng</t>
  </si>
  <si>
    <t>2248a/QĐ-UBND ngày 19/12/2008</t>
  </si>
  <si>
    <t>Đường váo nhà máy tinh bột sắn Xuất Hóa, thị xã Bắc Kạn, tỉnh Bắc Kạn</t>
  </si>
  <si>
    <t>1028/QĐ-UBND ngày 13/6/2003</t>
  </si>
  <si>
    <t>Đường liên xã Hà Vị - Lục Bình - Tú Trĩ, huyện Bạch Thông, tỉnh Bắc Kan</t>
  </si>
  <si>
    <t>145/QĐ-UBND ngày 24/12/2007</t>
  </si>
  <si>
    <t>Cầu dàn thép Quân Bình, Bạch Thông</t>
  </si>
  <si>
    <t>2592/QĐ-UBND ngày
15/12/2008</t>
  </si>
  <si>
    <t>CN&amp; VSTH huyện Chợ Đồn</t>
  </si>
  <si>
    <t>1822/QĐ-UBND  25/10/2013</t>
  </si>
  <si>
    <t>Mua sắm TTB cho hoạt động của các chương trình Phòng chống Lao, phòng chống Phong và chăm sóc sức khỏe Tâm thần cộng đồng thuộc Trung tâm PCBXH</t>
  </si>
  <si>
    <t>1898/QĐ- UBND ngày 14/11/2011</t>
  </si>
  <si>
    <t>Kè chống xói lở bờ Sông Cầu đoạn từ thôn Bản Làn đến thôn nà Mặn và đoạn Tổng Lồm thôn Pác Kéo xã Phương Viên</t>
  </si>
  <si>
    <t>295/QĐ-UBND ngày 05/02/2010</t>
  </si>
  <si>
    <t>Cấp nước sinh hoạt Vườn quốc gia Ba Bể</t>
  </si>
  <si>
    <t>Cải tạo, nâng cấp hồ Khuổi Cáp, thị trấn Nà Phặc, huyện Ngân Sơn, tỉnh Bắc Kạn</t>
  </si>
  <si>
    <t>201/QĐ-UBND ngày 22/01/2014</t>
  </si>
  <si>
    <t>Trụ sở xã Đôn Phong</t>
  </si>
  <si>
    <t>883 ngày 31/5/2011</t>
  </si>
  <si>
    <t>Trạm Kiểm lâm Đán Đeng, xã Nam Mẫu, huyện Ba Bể</t>
  </si>
  <si>
    <t>1817/QĐ-UBND ngày 07/9/2010</t>
  </si>
  <si>
    <t>Sửa chữa, bổ sung thiết bị hội trường lớn và trụ sở các ban xây dựng Đảng Tỉnh ủy Bắc Kạn</t>
  </si>
  <si>
    <t>1494/QĐ-UBND ngày 25/09/2015</t>
  </si>
  <si>
    <t>Các công trình khắc phục HQBL, ĐBGT năm 2014, năm 2015</t>
  </si>
  <si>
    <t>Đầu tư hệ thống thiết bị trường quay, thiết bị sản xuất chương trình và phát xóng tự động cho Đài phát thanh và Truyền hình Bắc Kạn</t>
  </si>
  <si>
    <t>1796/QĐ-UBND ngày 31/10/2012</t>
  </si>
  <si>
    <t>Cải tạo sửa chữa ĐT 258 đoạn tuyến từ Km0+00 - Km1+00</t>
  </si>
  <si>
    <t>1789/QĐ-UBND ngày 03/09/2014</t>
  </si>
  <si>
    <t>Trụ sở hợp khối HU-HĐND-UBND huyện Ba Bể</t>
  </si>
  <si>
    <t>161/QĐ-UBND ngày 24/1/2013</t>
  </si>
  <si>
    <t>Đường du lịch vào động Nàng Tiên</t>
  </si>
  <si>
    <t xml:space="preserve">1119/QĐ- UBND ngày 17/6/2008 </t>
  </si>
  <si>
    <t>Trạm y tế xã Quân Bình</t>
  </si>
  <si>
    <t>1255/QĐ-UBND ngày 2/07/2013</t>
  </si>
  <si>
    <t>Các trạm, chốt kiểm lâm thuộc KBT thiên nghiên Kim hỷ, huyện Na Rì</t>
  </si>
  <si>
    <t>1819/QĐ-UBND ngày 25/10/2013</t>
  </si>
  <si>
    <t>Đường Vũ Muộn - Cao Sơn - Côn Minh</t>
  </si>
  <si>
    <t>518/QĐ-UBND ngày 31/3/2014</t>
  </si>
  <si>
    <t>Dự án CNSH xã Chu Hương, Ba Bể</t>
  </si>
  <si>
    <t>1820/QĐ-UBND,  25/10/2013</t>
  </si>
  <si>
    <t>Hồ chứa nước Khuổi Cuộn xã Nông Hạ</t>
  </si>
  <si>
    <t>1824 ngày 25/10/2013</t>
  </si>
  <si>
    <t>Xử lý, di chuyển và xây dựng bãi rác tại xã Huyền Tụng, thị xã Bắc Kạn</t>
  </si>
  <si>
    <t>324a/QĐ-UBND ngày 27/2/2012</t>
  </si>
  <si>
    <t>Trụ sở UBND xã Nguyên Phúc</t>
  </si>
  <si>
    <t>2371a/QĐ-UBND ngày 31/10/2012</t>
  </si>
  <si>
    <t>Khắc phục hậu quả do cơn bão số 2 gây ra đối với các công trình phòng thủ của tỉnh năm 2014</t>
  </si>
  <si>
    <t>1945/QĐ-UBND ngày 31/8/2014
5/9/2007</t>
  </si>
  <si>
    <t>Cải tạo sửa chữa công trình thủy lợi Pù lòn, xã Bình Văn</t>
  </si>
  <si>
    <t>2230/QĐ-UBND ngày 8/12/2014</t>
  </si>
  <si>
    <t>Bố trí sắp xếp ổn định dân cư thôn Nà Cháo, xã Cốc Đán, huyện Ngân Sơn</t>
  </si>
  <si>
    <t xml:space="preserve">323/QĐ-UBND ngày 6/3/2012 </t>
  </si>
  <si>
    <t xml:space="preserve">Đường và đê bao chống lũ khu vực Bắc Sông Cầu </t>
  </si>
  <si>
    <t>464/QĐ-UBND ngày 10/3/2009</t>
  </si>
  <si>
    <t>Kè chống xói lở bờ sông xã Chu Hương</t>
  </si>
  <si>
    <t>1084/QĐ-UBND ngày 21/5/2009</t>
  </si>
  <si>
    <t>Cải tạo, sửa chữa trụ sở làm việc cũ của Đài phát thanh - Truyền hình tỉnh để làm trụ sở làm việc của Sở Thông tin và truyền thông</t>
  </si>
  <si>
    <t>1385/QĐ-UBND ngày 30/8/2013</t>
  </si>
  <si>
    <t>Dự án đầu tư xây dựng công trình Đài PTTH BK GĐ2</t>
  </si>
  <si>
    <t>2106/QĐ-UBND ngày 5/10/2010</t>
  </si>
  <si>
    <t>Đường Yên Cư - Cao Kỳ huyện Chợ Mới</t>
  </si>
  <si>
    <t>2600/QĐ-UBND ngày 31/12/2009</t>
  </si>
  <si>
    <t>Trụ sở HĐND-UBND huyện Ngân Sơn</t>
  </si>
  <si>
    <t>123/QĐ-UBND ngày 21/1/2013</t>
  </si>
  <si>
    <t>Tăng cường cơ sở vật chất cho hệ thống thông tin và truyền thông cơ sở tỉnh Bắc Kạn</t>
  </si>
  <si>
    <t>1493/QĐ-UBND ngày 25/09/2015</t>
  </si>
  <si>
    <t>Nâng cấp hồ chứa nước Nà Diếu, xã Thượng Quan, huyện Ngân Sơn</t>
  </si>
  <si>
    <t>1015/QĐ-UBND ngày 07/02/2013</t>
  </si>
  <si>
    <t>Kè chống xói lở bờ sông năng khu vực thôn Kéo Sáng xã Thượng Giáo</t>
  </si>
  <si>
    <t>1521/QĐ-UBND ngày 13/8/2008</t>
  </si>
  <si>
    <t>Kè chống xói lở thôn Nà Chào, Nà Tào xã Như Cố</t>
  </si>
  <si>
    <t>2157/QĐ-UBND ngày 16/12/2011</t>
  </si>
  <si>
    <t>Sửa chữa lớn công trình đập kênh Quan Nưa xã Dương Quang và đập kênh Nà Giảo xã Lục Bình huyện Bạch Thông</t>
  </si>
  <si>
    <t>2436/QĐ-UBND ngày 30/12/2013</t>
  </si>
  <si>
    <t>Trung tâm huấn luyện lực lượng dự bị động viên và lực lượng làm nhiệm vụ sẵn sàng chiến đấu tỉnh Bắc Kạn</t>
  </si>
  <si>
    <t>39/QĐ-UBND ngày 9/11/2008</t>
  </si>
  <si>
    <t>Đường Bắc Sông Năng, huyện Ba Bể</t>
  </si>
  <si>
    <t>Cải tạo đường Hảo Nghĩa- Liêm Thủy.</t>
  </si>
  <si>
    <t>1726/QĐ- UBND ngày 23/8/2010</t>
  </si>
  <si>
    <t>Trụ sở UBND xã Thượng Ân</t>
  </si>
  <si>
    <t>1848/QĐ-UBND ngày 29/10/2013</t>
  </si>
  <si>
    <t>Phê duyệt quyết toán 755/QĐ-UBND ngày 1/6/2017</t>
  </si>
  <si>
    <t>Cụm công trình thủy lợi huyện Chợ Mới</t>
  </si>
  <si>
    <t>Phê duyệt quyết toán 324/QĐ-UBND ngày 22/03/2017</t>
  </si>
  <si>
    <t>Xây dựng, cải tạo các hạng mục công trình phục vụ diễn tập khu vực phòng thủ tỉnh Bắc Kạn năm 2016</t>
  </si>
  <si>
    <t>1831/QĐ-UBND ngày 07/11/2016</t>
  </si>
  <si>
    <t>Phê duyệt quyết toán 330/QĐ-UBND ngày 22/03/2017</t>
  </si>
  <si>
    <t>Duy tuy sửa chữa hạ tầng và mua sắm thiết bị cho Trung tâm y tế dự phòng tỉnh</t>
  </si>
  <si>
    <t>1884A/QĐ-UBND ngày 31/10/2013</t>
  </si>
  <si>
    <t>Phê duyệt quyết toán 1741/QĐ-UBND ngày 26/10/2017</t>
  </si>
  <si>
    <t>Khắc phục sạt lở đất tại tổ 4 phường Đức Xuân</t>
  </si>
  <si>
    <t>3901 ngày 24/12/2009</t>
  </si>
  <si>
    <t>Phê duyệt quyết toán 1326/QĐ-UBND ngày 1/9/2017</t>
  </si>
  <si>
    <t>Kè chống xói lở bờ tả Sông Cầu thuộc Thôn Nà Dì xã Dương Quang</t>
  </si>
  <si>
    <t>1647/QĐ-UBND ngày 20/10/2015</t>
  </si>
  <si>
    <t>Phê duyệt quyết toán 1090/QĐ-UBND ngày 31/7/2017</t>
  </si>
  <si>
    <t>Cột anten tự đứng BK.100 Đài phát thanh và truyền hình tỉnh Bắc Kạn</t>
  </si>
  <si>
    <t>Trạm y tế xã Cao Kỳ</t>
  </si>
  <si>
    <t>739/QĐ-UBND ngày 16/5/2013</t>
  </si>
  <si>
    <t>Phê duyệt quyết toán 685/QĐ-UBND ngày 17/5/2017</t>
  </si>
  <si>
    <t>Đường từ ngã ba đường Hùng Vương - Đội Kỳ đến đường Thanh niên, thị xã BK</t>
  </si>
  <si>
    <t>1890/QĐ-UBND ngày 5/102001</t>
  </si>
  <si>
    <t>Hệ thống cấp nước khu trung tâm VQG Ba Bể</t>
  </si>
  <si>
    <t>1669/QĐ-UBND ngày 16/9/2011</t>
  </si>
  <si>
    <t>Nhà ở học viên trường Quân sự địa phương tỉnh - gđ chuẩn bị đầu tư</t>
  </si>
  <si>
    <t>215/QĐ-UBND ngày 29/01/2008</t>
  </si>
  <si>
    <t>Bộ Chỉ huy QS</t>
  </si>
  <si>
    <t>Xây dựng, nâng cấp và sửa chữa trụ sở Sở Giao thông Vận tải BK</t>
  </si>
  <si>
    <t>2054/QĐ-UBND ngày 31/10/2011</t>
  </si>
  <si>
    <t>Sở GT VT</t>
  </si>
  <si>
    <t>Đường từ Quốc lộ 3 qua nghĩa trang đến lâm trường xã Vân Tùng huyện Ngân Sơn</t>
  </si>
  <si>
    <t>2165/QĐ-UBND ngày 31/10/2007</t>
  </si>
  <si>
    <t>Cấp nước thị trấn Bằng Lũng huyện Chợ Đồn tỉnh Bắc Kạn</t>
  </si>
  <si>
    <t>1174/QĐ-UBND ngày 15/6/2006</t>
  </si>
  <si>
    <t>Thiết kế quy hoạch chi tiết sử dụng đất khu trung tâm dịch vụ du lịch và văn phòng Vườn QG Ba Bể</t>
  </si>
  <si>
    <t>3051/QĐ-UBND ngày 02/12/2005</t>
  </si>
  <si>
    <t>Đường Bản Tết - Khe Thỉ</t>
  </si>
  <si>
    <t>305/QĐ-UB ngày 15/3/2002</t>
  </si>
  <si>
    <t>Di dời 5 hộ dân ra khỏi vùng nguy cơ sạt lở cao tại thôn Nà Dầy, xã Thuần Mang, huyện Ngân Sơn</t>
  </si>
  <si>
    <t>583/QĐ-UBND ngày 06/5/2015</t>
  </si>
  <si>
    <t>Lập dự án rà soát đầu tư và Xây dựng VQGBB giai đoạn 2005-2010</t>
  </si>
  <si>
    <t>2766/QĐ-UBND ngày 26/11/2004</t>
  </si>
  <si>
    <t>Trường mầm non xã Đồng Phúc, huyện Ba Bể (điểm trường Tẩn Lùng)</t>
  </si>
  <si>
    <t>1368/QĐ-UBND ngày 18/8/2014</t>
  </si>
  <si>
    <t>Trụ sở UBND xã Văn Minh, huyện Na Rì</t>
  </si>
  <si>
    <t>2048/QĐ-UBND ngày 28/9/2010</t>
  </si>
  <si>
    <t>Trụ sở UBND xã Lương Thượng, huyện Na Rì</t>
  </si>
  <si>
    <t>2051/QĐ-UBND ngày 28/9/2010</t>
  </si>
  <si>
    <t>Đường GTNT xã Kim Hỷ, huyện Na Rì</t>
  </si>
  <si>
    <t>2413/QĐ-UBND ngày 20/11/2008</t>
  </si>
  <si>
    <t>DA đầu tư hệ thống thiết bị Phát thanh truyền hình tiếng dân tộc cho đài PT-TH tỉnh</t>
  </si>
  <si>
    <t>2731/QĐ-UBND ngày 31/10/2005</t>
  </si>
  <si>
    <t>DA đầu tư mở rộng DA thành phần thuộc DA "Mở rộng mạng phủ sóng phát thanh các chương trình VH-XH và các chương trình bằng tiếng dân tộc khu vực trung du và miền núi Bắc Bộ, gđ 2006-2010 trên địa bàn tỉnh Bắc Kan</t>
  </si>
  <si>
    <t>1118/QĐ-UBND ngày 19/7/2007</t>
  </si>
  <si>
    <t xml:space="preserve"> Dự án đầu tư nâng cấp đồng bộ hệ thống thiết bị truyền hình cho Đài Phát thanh và Truyền hình các huyện</t>
  </si>
  <si>
    <t>744/QĐ-UBND ngày 14/4/2009</t>
  </si>
  <si>
    <t>Đường GTNT bản Chang- thôn I Đại Sảo, huyện Chợ Đồn</t>
  </si>
  <si>
    <t>3853/QĐ-UBND ngày 21/12/2009</t>
  </si>
  <si>
    <t xml:space="preserve">Đường Nặm Mây- Khuổi Pục (đoạn Cổ Linh- Khuổi Pục) </t>
  </si>
  <si>
    <t>1603/QĐ-UBND ngày 21/7/2005</t>
  </si>
  <si>
    <t xml:space="preserve">Cụm công trình thủy lợi huyện Pác Nặm </t>
  </si>
  <si>
    <t>Công trình nước sinh hoạt tập trung thôn Bản Nhượng xã Bản Thi</t>
  </si>
  <si>
    <t>Đường GTNT từ Lương Bằng đến Khuôn Tôm, huyện Chợ Đồn</t>
  </si>
  <si>
    <t>Hệ thống cấp thoát nước và vệ sinh thị trấn Chợ Rã, huyện Ba Bể (cấp nước)</t>
  </si>
  <si>
    <t>1978/QĐ- UBND ngày 02/12/2015</t>
  </si>
  <si>
    <t>Phê duyệt quyết toán 1536/QĐ-UBND ngày 4/10/2017</t>
  </si>
  <si>
    <t>2750/QĐ-UBND ngày 25/11/2004</t>
  </si>
  <si>
    <t>08/QĐ-UBND ngày 06/01/2014</t>
  </si>
  <si>
    <t>Huyện phê duyệt quyết toán</t>
  </si>
  <si>
    <t>Nâng cấp, cải tạo đường tỉnh 257 Bắc Kạn – Chợ Đồn, tỉnh Bắc Kạn</t>
  </si>
  <si>
    <t>6.2</t>
  </si>
  <si>
    <t>Đường cứu hộ, cứu nạn vùng sạt lở, lũ quét huyện Pác Nặm (Đoạn tuyến Km5+00 – Km11)</t>
  </si>
  <si>
    <t>451/QĐ-UBND ngày 16/3/2010</t>
  </si>
  <si>
    <t>Cắt giảm quy mô; Hết nhu cầu sử dụng vốn</t>
  </si>
  <si>
    <t>Hỗ trợ GPMB Xử lý điểm đen đoạn từ Km192+300-Km193+250 trên QL3</t>
  </si>
  <si>
    <t>1032/QĐ-TCĐBVN ngày 15/04/2015</t>
  </si>
  <si>
    <t>Sở GTVT</t>
  </si>
  <si>
    <t>Cải tạo, nâng cấp đường từ bờ hồ đi Quảng Khê giai đoạn I</t>
  </si>
  <si>
    <t>1604/QĐ-UBND ngày 1/10/2013</t>
  </si>
  <si>
    <t>Kè chống xói lở thôn Cò Luồng xã Thượng Quan</t>
  </si>
  <si>
    <t>1055/QĐ-UBND ngày 19/5/2009</t>
  </si>
  <si>
    <t>Đường Bản Tầu xã Cao Thượng - Bản Vài xã Khang Ninh</t>
  </si>
  <si>
    <t>1892/QĐ-UBND ngày 31/10/2013</t>
  </si>
  <si>
    <t>Doanh trại Ban CHQS huyện Ngân Sơn/Bộ CHQS tỉnh Bắc Kạn/Quân khu 1 (Giai đoạn 1)</t>
  </si>
  <si>
    <t>Doanh trại Ban CHQS huyện Chợ Đồn/ Bắc Kạn.</t>
  </si>
  <si>
    <t>Trạm y tế thị trấn Yến Lạc</t>
  </si>
  <si>
    <t>1788/QĐ-UBND ngày 23/10/2013</t>
  </si>
  <si>
    <t>Chuẩn bị đầu tư trụ sở UBND xã Phong Huân, trụ sở UBND xã Nam Mẫu</t>
  </si>
  <si>
    <t>Hoàn trả tạm ứng Quỹ tài chính</t>
  </si>
  <si>
    <t>Hoàn trả số tiền giảm dự toán chi CTMTQG nước sạch và vệ sinh môi trường nông thôn</t>
  </si>
  <si>
    <t>Hoàn trả kiến nghị xử lý tài chính theo kết luận kiếm toán nhà nước về quản lý, sử dụng vốn trái phiếu Chính phủ năm 2013 (Đường Hảo Nghĩa - Liêm Thủy)</t>
  </si>
  <si>
    <t>Dự án bố trí dân cư khẩn cấp và đặc biệt khó khăn thôn Nà Tu, xã Cẩm Giàng, huyện Bạch Thông</t>
  </si>
  <si>
    <t>1683/QĐ-UBND ngày 20/10/2016</t>
  </si>
  <si>
    <t>Khu di tích thanh niên xung phong Nà Tu tỉnh Bắc Kạn (phần vốn đối ứng của tỉnh)</t>
  </si>
  <si>
    <t>674-QĐ/TWĐTN ngày 30/10/2014</t>
  </si>
  <si>
    <t>Ban Thường vụ Tỉnh đoàn Bắc Kạn</t>
  </si>
  <si>
    <t>Làng thanh niên lập nghiệp Hà Hiệu, tỉnh Bắc Kạn (phần vốn đối ứng của tỉnh)</t>
  </si>
  <si>
    <t>650-QĐ/TWĐTN ngày 20/10/2014</t>
  </si>
  <si>
    <t>Mở rộng, nâng cấp nghĩa trang liệt sỹ Phủ Thông thành nghĩa trang Liệt sỹ của tỉnh,</t>
  </si>
  <si>
    <t>1125/QĐ-UBND ngày 23/7/2014</t>
  </si>
  <si>
    <t>Di chuyển ban CHQS huyện Chợ Mới (phần vốn đối ứng của tỉnh)</t>
  </si>
  <si>
    <t>DỰ PHÒNG TRUNG HẠN</t>
  </si>
  <si>
    <t>2504/QĐ-UBND ngày 31/12/2013</t>
  </si>
  <si>
    <t>2.6</t>
  </si>
  <si>
    <t>2.7</t>
  </si>
  <si>
    <t>2.8</t>
  </si>
  <si>
    <t>PHÁT THANH TRUYỀN HÌNH</t>
  </si>
  <si>
    <t>Đài Phát thanh truyền hình</t>
  </si>
  <si>
    <t>Đài Phát thanh truyền hình tỉnh Bắc Kạn giai đoạn 2</t>
  </si>
  <si>
    <t>Đài phát thanh và truyền hình Bắc Kạn - giai đoạn 2</t>
  </si>
  <si>
    <t>KP</t>
  </si>
  <si>
    <t>Phòng chống tội phạm</t>
  </si>
  <si>
    <t>Phòng chống ma túy</t>
  </si>
  <si>
    <t>UBMTTQ tỉnh</t>
  </si>
  <si>
    <t>Sở Thông tin TT</t>
  </si>
  <si>
    <t>Hội Người Cao tuổi</t>
  </si>
  <si>
    <t>Hội Nông dân</t>
  </si>
  <si>
    <t>Tòa án ND tỉnh</t>
  </si>
  <si>
    <t>Hội CCB tỉnh</t>
  </si>
  <si>
    <t>Sở LĐ - TB và XH</t>
  </si>
  <si>
    <t>Tỉnh ủy BK (Ban Dân vận, Báo BKạn)</t>
  </si>
  <si>
    <t>Đài PT TH tỉnh</t>
  </si>
  <si>
    <t>Hội Liên hiệp PN tỉnh</t>
  </si>
  <si>
    <t>Bộ CH QS tỉnh</t>
  </si>
  <si>
    <t>Liên đoàn LĐ tỉnh</t>
  </si>
  <si>
    <t>Thành phố BKạn</t>
  </si>
  <si>
    <t>Huyện chợ Mới</t>
  </si>
  <si>
    <t>Huyện chợ Đồn</t>
  </si>
  <si>
    <t>Kinh phí phòng chống tội phạm</t>
  </si>
  <si>
    <t>Kinh phí phòng chống ma túy</t>
  </si>
  <si>
    <t>an</t>
  </si>
  <si>
    <t>KINH PHÍ THỰC HIỆN CTMT TỘI PHẠM, MA TÚY NĂM 2019</t>
  </si>
  <si>
    <t>ĐV: trđ</t>
  </si>
  <si>
    <t>(61)</t>
  </si>
  <si>
    <t xml:space="preserve"> - Nguồn Trung ương bổ sung có mục tiêu còn 972.339 triệu đồng chưa phân bổ vì:</t>
  </si>
  <si>
    <r>
      <rPr>
        <i/>
        <sz val="10"/>
        <rFont val="Times New Roman"/>
        <family val="1"/>
      </rPr>
      <t>Ghi chú</t>
    </r>
    <r>
      <rPr>
        <sz val="10"/>
        <rFont val="Times New Roman"/>
        <family val="1"/>
      </rPr>
      <t>: - Các khoản chi nhiệm vụ, chi khác thuộc các lĩnh vực nêu trên (không kể tiền lương và các khoản có tính chất lương) đã tính giảm trừ 10% tiết kiệm chi thường xuyên (18.074 triệu đồng) theo quy định, do trung ương đã cắt giảm 10% chi thường xuyên của tỉnh; đồng thời giảm trừ tiết kiệm thêm 2% chi thường xuyên để bổ sung dự phòng ngân sách cấp tỉnh 4.658 triệu đồng).</t>
    </r>
  </si>
  <si>
    <r>
      <t>Thanh toán nợ XDCB</t>
    </r>
    <r>
      <rPr>
        <b/>
        <i/>
        <vertAlign val="superscript"/>
        <sz val="7"/>
        <rFont val="Times New Roman"/>
        <family val="1"/>
      </rPr>
      <t>(4)</t>
    </r>
  </si>
  <si>
    <t>Công ty nước sạch &amp;VSMT tỉnh BK</t>
  </si>
  <si>
    <t>PHỤ BIỂU CHI TIẾT DỰ KIẾN KẾ HOẠCH ĐẦU TƯ NĂM 2019 VỐN CÂN ĐỐI NGÂN SÁCH CHO CÁC DỰ ÁN ĐỐI ỨNG ODA</t>
  </si>
  <si>
    <t>Quyết định đầu tư ban đầu</t>
  </si>
  <si>
    <t>Kế hoạch CĐNS trung hạn còn lại</t>
  </si>
  <si>
    <t xml:space="preserve">Các dự án hoàn thành và chuyển tiếp </t>
  </si>
  <si>
    <t>Các dự án hoàn thành, bàn giao, đưa vào sử dụng đến ngày 31/12 năm 2019</t>
  </si>
  <si>
    <t>Dự án Đường giao thông nông thôn Bằng Lũng-Đại Sảo, huyện Chợ Đồn</t>
  </si>
  <si>
    <t>1090 ngày 19/7/2013</t>
  </si>
  <si>
    <t>954 ngày 27/5/2008</t>
  </si>
  <si>
    <t>Dự án Phát triển Du lịch bền vững tiểu vùng sông Mê Kông mở rộng giai đoạn I</t>
  </si>
  <si>
    <t xml:space="preserve">5284 ngày 22/12/2008 </t>
  </si>
  <si>
    <t>Ban thực hiện dự án phát triển du lịch sông Mê Kông, tỉnh Bắc Kạn</t>
  </si>
  <si>
    <t>Dự án Tuyến đường từ 254B (Đại Sảo) -Khuổi Xỏm-Pác Cộp, huyện Chợ Đồn</t>
  </si>
  <si>
    <t>1236 ngày 30/7/2014</t>
  </si>
  <si>
    <t>Dự án Đường Đôn Phong-Nặm Tốc, huyện Bạch Thông</t>
  </si>
  <si>
    <t>1157 ngày 07/8/2015</t>
  </si>
  <si>
    <t>Không còn nhu cầu sử dụng vốn</t>
  </si>
  <si>
    <t>Dự án Cấp thoát nước và vệ sinh thị trấn Yến Lạc, huyện Na Rì</t>
  </si>
  <si>
    <t>183 ngày 10/02/2015</t>
  </si>
  <si>
    <t>Phần cấp nước</t>
  </si>
  <si>
    <t>Cty cổ phần cấp thoát nước Bắc Kạn</t>
  </si>
  <si>
    <t>Phần thoát nước</t>
  </si>
  <si>
    <t>UBND TT Yến Lạc</t>
  </si>
  <si>
    <t>Dự án Quan hệ đối tác vì người nghèo trong phát triển nông lâm nghiệp tỉnh Bắc Kạn</t>
  </si>
  <si>
    <t>2251/QĐ-UBND ngày 11/11/2008</t>
  </si>
  <si>
    <t>Ban QLDA 3PAD</t>
  </si>
  <si>
    <t>Bệnh viện đa khoa và Trung tâm đào tạo y tế tỉnh Bắc Kạn (Hợp phần Trung tâm đào tạo y tế tỉnh Bắc Kạn)</t>
  </si>
  <si>
    <t>Ban QL Công trình BVĐK BK</t>
  </si>
  <si>
    <t>Chương trình đảm bảo chất lượng giáo dục trường học (SEQAP)</t>
  </si>
  <si>
    <t>Sở GD-ĐT</t>
  </si>
  <si>
    <t>1231 ngày 11/07/2011</t>
  </si>
  <si>
    <t>1950 ngày 31/10/2014</t>
  </si>
  <si>
    <t>530 ngày 19/02/2014</t>
  </si>
  <si>
    <t>Dự án Hỗ trợ kỹ thuật Hạ tầng cơ bản cho phát triển toàn diện các tỉnh Đông Bắc: Hà Giang, Cao Bằng, Bắc Kạn, Lạng Sơn (ADB tài trợ) - dự án thành phần tại tỉnh Bắc Kạn</t>
  </si>
  <si>
    <t>2881 ngày 13/11/2012</t>
  </si>
  <si>
    <t>Dự án Hệ thống cấp thoát nước và vệ sinh thị trấn Chợ Rã, huyện Ba Bể</t>
  </si>
  <si>
    <t>1282 ngày 14/8/2013</t>
  </si>
  <si>
    <t>Đã QT, Không còn nhu cầu sử dụng vốn</t>
  </si>
  <si>
    <t>UBND TT Chợ Rã</t>
  </si>
  <si>
    <t>Dự án Cấp nước và vệ sinh thị xã Bắc Kạn</t>
  </si>
  <si>
    <t>1513 ngày 22/9/2016</t>
  </si>
  <si>
    <t>1310/QĐ-UBND ngày 31/8/2015</t>
  </si>
  <si>
    <t>3606/QĐ-UBND ngày 04/9/2015</t>
  </si>
  <si>
    <t>Trung tâm nước sạch và vệ sinh môi trường</t>
  </si>
  <si>
    <t>Trường Cao đẳng nghề dân tộc nội trú</t>
  </si>
  <si>
    <t>1721/QĐ-UBND ngày 30/10/2015</t>
  </si>
  <si>
    <t>Các dự án khởi công mới năm 2019</t>
  </si>
  <si>
    <t>Dự án Kè sông Cầu kết hợp với phát triển rừng bền vững huyện Chợ Mới</t>
  </si>
  <si>
    <t>Chi cục Kiểm lâm tỉnh</t>
  </si>
  <si>
    <t>1438/QĐ-UBND ngày 07/09/2016</t>
  </si>
  <si>
    <t>Ban quản lý dự án hỗ trợ kinh doanh cho nông hộ tỉnh Bắc Kạn</t>
  </si>
  <si>
    <t>Dự phòng cho các dự án khởi công mới chưa đủ thủ tục đầu tư</t>
  </si>
  <si>
    <t>Biểu chi tiết 11.1 kèm theo</t>
  </si>
  <si>
    <r>
      <t>Thanh toán nợ XDCB</t>
    </r>
    <r>
      <rPr>
        <i/>
        <vertAlign val="superscript"/>
        <sz val="8"/>
        <rFont val="Times New Roman"/>
        <family val="1"/>
      </rPr>
      <t>(4)</t>
    </r>
  </si>
  <si>
    <t>Sở Lao động TB-XH</t>
  </si>
  <si>
    <t>Sở Thông tin Truyền thông</t>
  </si>
  <si>
    <r>
      <t xml:space="preserve">Chi đầu tư phát triển </t>
    </r>
    <r>
      <rPr>
        <sz val="10"/>
        <rFont val="Times New Roman"/>
        <family val="1"/>
      </rPr>
      <t>(Không kể chương trình MTQG)</t>
    </r>
  </si>
  <si>
    <r>
      <t xml:space="preserve">Chi thường xuyên </t>
    </r>
    <r>
      <rPr>
        <sz val="10"/>
        <rFont val="Times New Roman"/>
        <family val="1"/>
      </rPr>
      <t>(Không kể chương trình MTQG)</t>
    </r>
  </si>
  <si>
    <r>
      <rPr>
        <i/>
        <u/>
        <sz val="12"/>
        <rFont val="Times New Roman"/>
        <family val="2"/>
      </rPr>
      <t>Ghi chú</t>
    </r>
    <r>
      <rPr>
        <sz val="12"/>
        <rFont val="Times New Roman"/>
        <family val="2"/>
      </rPr>
      <t>: Đối với nguồn vay lại vốn vay nước ngoài của Chính phủ chỉ được phép giải ngân khi có nguồn vốn vay từ Trung ương chuyển về dự án.</t>
    </r>
  </si>
  <si>
    <t>DỰ TOÁN THU NGÂN SÁCH NHÀ NƯỚC TRUNG ƯƠNG VÀ TỈNH GIAO NĂM 2019</t>
  </si>
  <si>
    <t>Dự toán chi chương trình MTQG ngân sách cấp tỉnh và ngân sách cấp huyện năm 2019</t>
  </si>
  <si>
    <t>Danh mục các chương trình, dự án sử dụng vốn ngân sách nhà nước năm 2019</t>
  </si>
  <si>
    <t>(Kèm theo Nghị quyết số          /NQ-HĐND ngày         tháng 12 năm 2018 của HĐND tỉnh Bắc Kạn)</t>
  </si>
  <si>
    <t>Công văn số 2417/UBND-THVX ngày 15/5/2018</t>
  </si>
  <si>
    <t>Công văn số 5966/UBND-THVX ngày 23/10/2018</t>
  </si>
  <si>
    <t>Công văn số 6432/UBND-XDCB ngày 12/11/2018</t>
  </si>
  <si>
    <t>Ngân hàng Nông nghiệp và Phát triển Nông thôn Việt Nam Chi nhánh tỉnh Bắc Kạn</t>
  </si>
  <si>
    <t>(62)</t>
  </si>
  <si>
    <t>(Kèm theo Nghị quyết số 14/NQ-HĐND ngày 09 tháng 12 năm 2018 của HĐND tỉnh Bắc Kạn)</t>
  </si>
  <si>
    <t>(Kèm theo Nghị quyết số 14/NQ-HĐND ngày 9 tháng 12 năm 2018 của HĐND tỉnh Bắc Kạn)</t>
  </si>
  <si>
    <t>BỘI THU NSĐP/BỘI CHI NSĐP</t>
  </si>
  <si>
    <t xml:space="preserve">               - Kinh phí thực hiện nhiệm vụ các cơ quan, đơn vị được thuyết minh tại Phụ biểu số 01.</t>
  </si>
  <si>
    <t>(Kèm theo Nghị quyết số 14 /NQ-HĐND ngày 09 tháng 12 năm 2018 của HĐND tỉnh Bắc Kạn)</t>
  </si>
  <si>
    <t>DỰ TOÁN THU NGÂN SÁCH NHÀ NƯỚC NĂM 2019</t>
  </si>
  <si>
    <t>Thuế sử dụng đất NN</t>
  </si>
  <si>
    <t>Biểu số 57/CK-NSNN</t>
  </si>
  <si>
    <t>Biểu số 46/CK-NSNN</t>
  </si>
  <si>
    <t>Biểu số 47/CK-NSNN</t>
  </si>
  <si>
    <t xml:space="preserve">Cân đối ngân sách địa phương năm 2019 </t>
  </si>
  <si>
    <t>Cân đối thu, chi dự toán ngân sách cấp tỉnh và ngân sách cấp huyện năm 2019</t>
  </si>
  <si>
    <t>Biểu số 48/CK-NSNN</t>
  </si>
  <si>
    <t>Dự toán thu ngân sách nhà nước năm 2019</t>
  </si>
  <si>
    <t>Biểu số 49/CK-NSNN</t>
  </si>
  <si>
    <t>Dự toán chi ngân sách địa phương, chi ngân sách cấp tỉnh và chi ngân sách huyện theo cơ cấu chi năm 2019</t>
  </si>
  <si>
    <t>Biểu số 50/CK-NSNN</t>
  </si>
  <si>
    <t>Dự toán chi ngân sách cấp tỉnh theo lĩnh vực năm 2019</t>
  </si>
  <si>
    <t>Biểu số 51/CK-NSNN</t>
  </si>
  <si>
    <t>Dự toán chi ngân sách cấp tỉnh cho từng cơ quan, tổ chức năm 2019</t>
  </si>
  <si>
    <t>Biểu số 52/CK-NSNN</t>
  </si>
  <si>
    <t>Biểu số 53/CK-NSNN</t>
  </si>
  <si>
    <t>Dự toán chi đầu tư phát triển của ngân sách cấp tỉnh cho từng cơ quan, tổ chức theo lĩnh vực năm 2019</t>
  </si>
  <si>
    <t>Dự toán chi thường xuyên của ngân sách cấp tỉnh cho từng cơ quan, tổ chức theo lĩnh vực năm 2019</t>
  </si>
  <si>
    <t>Biểu số 55/CK-NSNN</t>
  </si>
  <si>
    <t>Dự toán thu, số bổ sung và dự toán chi cân đối ngân sách từng huyện năm 2019</t>
  </si>
  <si>
    <t>Biểu số 56/CK-NSNN</t>
  </si>
  <si>
    <t>Dự toán chi bổ sung có mục tiêu từ ngân sách cấp tỉnh cho ngân sách từng huyện năm 2019</t>
  </si>
  <si>
    <t>Biểu số 58/CK-NSNN</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</si>
</sst>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1" formatCode="_-* #,##0\ _₫_-;\-* #,##0\ _₫_-;_-* &quot;-&quot;\ _₫_-;_-@_-"/>
    <numFmt numFmtId="43" formatCode="_-* #,##0.00\ _₫_-;\-* #,##0.00\ _₫_-;_-* &quot;-&quot;??\ _₫_-;_-@_-"/>
    <numFmt numFmtId="164" formatCode="_(* #,##0_);_(* \(#,##0\);_(* &quot;-&quot;_);_(@_)"/>
    <numFmt numFmtId="165" formatCode="_(* #,##0.00_);_(* \(#,##0.00\);_(* &quot;-&quot;??_);_(@_)"/>
    <numFmt numFmtId="166" formatCode="_(* #,##0_);_(* \(#,##0\);_(* &quot;-&quot;??_);_(@_)"/>
    <numFmt numFmtId="167" formatCode="#,##0.0"/>
    <numFmt numFmtId="168" formatCode="#,##0.000"/>
    <numFmt numFmtId="169" formatCode="0.0%"/>
    <numFmt numFmtId="170" formatCode="#,###;[Red]\-#,###"/>
    <numFmt numFmtId="171" formatCode="0.000"/>
    <numFmt numFmtId="172" formatCode="#,##0.0000_);\(#,##0.0000\)"/>
    <numFmt numFmtId="173" formatCode="#,##0;[Red]#,##0"/>
    <numFmt numFmtId="174" formatCode="0_)"/>
    <numFmt numFmtId="175" formatCode="#,##0.0_);\(#,##0.0\)"/>
    <numFmt numFmtId="176" formatCode="_-* #,##0\ _₫_-;\-* #,##0\ _₫_-;_-* &quot;-&quot;??\ _₫_-;_-@_-"/>
  </numFmts>
  <fonts count="227" x14ac:knownFonts="1">
    <font>
      <sz val="12"/>
      <color theme="1"/>
      <name val="Times New Roman"/>
      <family val="2"/>
    </font>
    <font>
      <b/>
      <sz val="12"/>
      <color rgb="FF000000"/>
      <name val="Times New Roman"/>
      <family val="1"/>
    </font>
    <font>
      <sz val="12"/>
      <color rgb="FF000000"/>
      <name val="Times New Roman"/>
      <family val="1"/>
    </font>
    <font>
      <i/>
      <sz val="12"/>
      <color rgb="FF000000"/>
      <name val="Times New Roman"/>
      <family val="1"/>
    </font>
    <font>
      <b/>
      <i/>
      <sz val="12"/>
      <color rgb="FF000000"/>
      <name val="Times New Roman"/>
      <family val="1"/>
    </font>
    <font>
      <b/>
      <sz val="9"/>
      <name val="Times New Roman"/>
      <family val="1"/>
    </font>
    <font>
      <sz val="9"/>
      <name val="Times New Roman"/>
      <family val="1"/>
    </font>
    <font>
      <b/>
      <sz val="14"/>
      <color rgb="FF000000"/>
      <name val="Times New Roman"/>
      <family val="1"/>
    </font>
    <font>
      <b/>
      <sz val="11"/>
      <color rgb="FF000000"/>
      <name val="Times New Roman"/>
      <family val="1"/>
    </font>
    <font>
      <b/>
      <sz val="10"/>
      <color rgb="FF000000"/>
      <name val="Times New Roman"/>
      <family val="1"/>
    </font>
    <font>
      <sz val="10"/>
      <color theme="1"/>
      <name val="Times New Roman"/>
      <family val="1"/>
    </font>
    <font>
      <i/>
      <sz val="12"/>
      <color theme="1"/>
      <name val="Times New Roman"/>
      <family val="1"/>
    </font>
    <font>
      <b/>
      <sz val="12"/>
      <name val="Times New Roman"/>
      <family val="1"/>
    </font>
    <font>
      <sz val="12"/>
      <color theme="1"/>
      <name val="Times New Roman"/>
      <family val="2"/>
    </font>
    <font>
      <b/>
      <sz val="11"/>
      <name val="Times New Roman"/>
      <family val="1"/>
    </font>
    <font>
      <sz val="11"/>
      <name val="Times New Roman"/>
      <family val="1"/>
    </font>
    <font>
      <b/>
      <sz val="14"/>
      <name val="Times New Roman"/>
      <family val="1"/>
    </font>
    <font>
      <i/>
      <sz val="11"/>
      <name val="Times New Roman"/>
      <family val="1"/>
    </font>
    <font>
      <b/>
      <i/>
      <sz val="11"/>
      <name val="Times New Roman"/>
      <family val="1"/>
    </font>
    <font>
      <sz val="12"/>
      <name val=".VnTime"/>
      <family val="2"/>
    </font>
    <font>
      <sz val="11"/>
      <color theme="1"/>
      <name val="Times New Roman"/>
      <family val="1"/>
    </font>
    <font>
      <sz val="10"/>
      <name val="Times New Roman"/>
      <family val="1"/>
    </font>
    <font>
      <sz val="11"/>
      <color indexed="8"/>
      <name val="Times New Roman"/>
      <family val="1"/>
    </font>
    <font>
      <b/>
      <sz val="11"/>
      <color theme="1"/>
      <name val="Times New Roman"/>
      <family val="1"/>
    </font>
    <font>
      <sz val="10"/>
      <color rgb="FF000000"/>
      <name val="Times New Roman"/>
      <family val="1"/>
    </font>
    <font>
      <sz val="10"/>
      <color theme="1"/>
      <name val="Calibri"/>
      <family val="2"/>
      <charset val="163"/>
      <scheme val="minor"/>
    </font>
    <font>
      <b/>
      <sz val="10"/>
      <name val="Times New Roman"/>
      <family val="1"/>
    </font>
    <font>
      <i/>
      <sz val="10"/>
      <name val="Times New Roman"/>
      <family val="1"/>
    </font>
    <font>
      <b/>
      <i/>
      <sz val="10"/>
      <name val="Times New Roman"/>
      <family val="1"/>
    </font>
    <font>
      <b/>
      <sz val="12"/>
      <color theme="1"/>
      <name val="Times New Roman"/>
      <family val="1"/>
    </font>
    <font>
      <sz val="9"/>
      <color indexed="81"/>
      <name val="Tahoma"/>
      <family val="2"/>
    </font>
    <font>
      <b/>
      <sz val="9"/>
      <color indexed="81"/>
      <name val="Tahoma"/>
      <family val="2"/>
    </font>
    <font>
      <sz val="12"/>
      <name val="Times New Roman"/>
      <family val="1"/>
    </font>
    <font>
      <sz val="12"/>
      <color indexed="8"/>
      <name val="Times New Roman"/>
      <family val="2"/>
    </font>
    <font>
      <b/>
      <sz val="11"/>
      <name val="Times New Roman"/>
      <family val="2"/>
    </font>
    <font>
      <sz val="11"/>
      <name val="Times New Roman"/>
      <family val="2"/>
    </font>
    <font>
      <i/>
      <sz val="11"/>
      <color theme="1"/>
      <name val="Times New Roman"/>
      <family val="1"/>
    </font>
    <font>
      <sz val="10"/>
      <color theme="1"/>
      <name val="Times New Roman"/>
      <family val="2"/>
    </font>
    <font>
      <b/>
      <sz val="10"/>
      <color rgb="FF000000"/>
      <name val="Times New Roman"/>
      <family val="2"/>
    </font>
    <font>
      <b/>
      <sz val="10"/>
      <name val="Times New Roman"/>
      <family val="2"/>
    </font>
    <font>
      <sz val="10"/>
      <name val="Times New Roman"/>
      <family val="2"/>
    </font>
    <font>
      <sz val="11"/>
      <color rgb="FFFF0000"/>
      <name val="Times New Roman"/>
      <family val="1"/>
    </font>
    <font>
      <sz val="10"/>
      <color rgb="FF000000"/>
      <name val="Times New Roman"/>
      <family val="2"/>
    </font>
    <font>
      <b/>
      <sz val="10"/>
      <color theme="1"/>
      <name val="Times New Roman"/>
      <family val="1"/>
    </font>
    <font>
      <sz val="11"/>
      <name val=".VnArial Narrow"/>
      <family val="2"/>
    </font>
    <font>
      <sz val="10"/>
      <name val="Arial"/>
      <family val="2"/>
    </font>
    <font>
      <sz val="13"/>
      <name val="Times New Roman"/>
      <family val="1"/>
    </font>
    <font>
      <sz val="13"/>
      <name val="Arial"/>
      <family val="2"/>
    </font>
    <font>
      <i/>
      <sz val="10"/>
      <color rgb="FF000000"/>
      <name val="Times New Roman"/>
      <family val="1"/>
    </font>
    <font>
      <b/>
      <i/>
      <sz val="10"/>
      <color rgb="FF000000"/>
      <name val="Times New Roman"/>
      <family val="1"/>
    </font>
    <font>
      <i/>
      <sz val="12"/>
      <name val="Times New Roman"/>
      <family val="1"/>
    </font>
    <font>
      <i/>
      <u/>
      <sz val="10"/>
      <name val="Times New Roman"/>
      <family val="1"/>
    </font>
    <font>
      <sz val="12"/>
      <name val=".VnArial Narrow"/>
      <family val="2"/>
    </font>
    <font>
      <sz val="14"/>
      <name val="Times New Roman"/>
      <family val="1"/>
    </font>
    <font>
      <i/>
      <sz val="14"/>
      <name val="Times New Roman"/>
      <family val="1"/>
    </font>
    <font>
      <b/>
      <u/>
      <sz val="12"/>
      <name val="Times New Roman"/>
      <family val="1"/>
    </font>
    <font>
      <sz val="12"/>
      <color theme="1"/>
      <name val="Times New Roman"/>
      <family val="1"/>
    </font>
    <font>
      <b/>
      <sz val="11"/>
      <name val=".VnTime"/>
      <family val="2"/>
    </font>
    <font>
      <sz val="11"/>
      <name val=".VnTime"/>
      <family val="2"/>
    </font>
    <font>
      <sz val="12"/>
      <color indexed="8"/>
      <name val="MS Sans Serif"/>
      <family val="2"/>
    </font>
    <font>
      <b/>
      <sz val="13"/>
      <name val="Times New Roman"/>
      <family val="1"/>
    </font>
    <font>
      <i/>
      <sz val="9"/>
      <name val="Times New Roman"/>
      <family val="1"/>
    </font>
    <font>
      <sz val="9"/>
      <color indexed="8"/>
      <name val="MS Sans Serif"/>
      <family val="2"/>
    </font>
    <font>
      <b/>
      <sz val="9"/>
      <color indexed="8"/>
      <name val="MS Sans Serif"/>
      <family val="2"/>
    </font>
    <font>
      <sz val="9"/>
      <name val="Times New Roman"/>
      <family val="1"/>
      <charset val="163"/>
    </font>
    <font>
      <i/>
      <sz val="9"/>
      <color indexed="8"/>
      <name val="MS Sans Serif"/>
      <family val="2"/>
    </font>
    <font>
      <b/>
      <sz val="9"/>
      <name val="Times New Roman"/>
      <family val="1"/>
      <charset val="163"/>
    </font>
    <font>
      <i/>
      <u/>
      <sz val="9"/>
      <name val="Times New Roman"/>
      <family val="1"/>
    </font>
    <font>
      <b/>
      <i/>
      <u/>
      <sz val="12"/>
      <color theme="1"/>
      <name val="Times New Roman"/>
      <family val="1"/>
    </font>
    <font>
      <b/>
      <sz val="14"/>
      <color theme="1"/>
      <name val="Times New Roman"/>
      <family val="1"/>
    </font>
    <font>
      <sz val="14"/>
      <name val="Times New Roman"/>
      <family val="1"/>
      <charset val="163"/>
    </font>
    <font>
      <sz val="11"/>
      <color indexed="8"/>
      <name val="Calibri"/>
      <family val="2"/>
    </font>
    <font>
      <i/>
      <u/>
      <sz val="12"/>
      <name val="Times New Roman"/>
      <family val="1"/>
    </font>
    <font>
      <b/>
      <sz val="8"/>
      <name val="Times New Roman"/>
      <family val="1"/>
    </font>
    <font>
      <sz val="8"/>
      <name val="Times New Roman"/>
      <family val="1"/>
    </font>
    <font>
      <b/>
      <sz val="9"/>
      <color theme="1"/>
      <name val="Times New Roman"/>
      <family val="1"/>
    </font>
    <font>
      <sz val="9"/>
      <color theme="1"/>
      <name val="Times New Roman"/>
      <family val="1"/>
    </font>
    <font>
      <b/>
      <sz val="13"/>
      <name val="Times New Roman"/>
      <family val="2"/>
    </font>
    <font>
      <i/>
      <sz val="10"/>
      <name val="Times New Roman"/>
      <family val="2"/>
    </font>
    <font>
      <b/>
      <sz val="8"/>
      <name val="Times New Roman"/>
      <family val="2"/>
    </font>
    <font>
      <sz val="8"/>
      <name val="Times New Roman"/>
      <family val="2"/>
    </font>
    <font>
      <b/>
      <sz val="8"/>
      <color indexed="81"/>
      <name val="Tahoma"/>
      <family val="2"/>
    </font>
    <font>
      <sz val="8"/>
      <color indexed="81"/>
      <name val="Tahoma"/>
      <family val="2"/>
    </font>
    <font>
      <sz val="11"/>
      <color theme="1"/>
      <name val="Calibri"/>
      <family val="2"/>
      <scheme val="minor"/>
    </font>
    <font>
      <b/>
      <sz val="13"/>
      <color rgb="FF000000"/>
      <name val="Times New Roman"/>
      <family val="1"/>
    </font>
    <font>
      <b/>
      <sz val="8"/>
      <color rgb="FF000000"/>
      <name val="Times New Roman"/>
      <family val="1"/>
    </font>
    <font>
      <sz val="8"/>
      <color theme="1"/>
      <name val="Times New Roman"/>
      <family val="1"/>
    </font>
    <font>
      <b/>
      <sz val="8"/>
      <color theme="1"/>
      <name val="Times New Roman"/>
      <family val="1"/>
    </font>
    <font>
      <sz val="8"/>
      <color rgb="FF000000"/>
      <name val="Times New Roman"/>
      <family val="1"/>
    </font>
    <font>
      <i/>
      <sz val="8"/>
      <color rgb="FF000000"/>
      <name val="Times New Roman"/>
      <family val="1"/>
    </font>
    <font>
      <i/>
      <sz val="13"/>
      <name val="Times New Roman"/>
      <family val="1"/>
    </font>
    <font>
      <sz val="11"/>
      <color theme="1"/>
      <name val="Calibri"/>
      <family val="2"/>
      <charset val="163"/>
      <scheme val="minor"/>
    </font>
    <font>
      <u/>
      <sz val="11"/>
      <color theme="10"/>
      <name val="Calibri"/>
      <family val="2"/>
      <charset val="163"/>
      <scheme val="minor"/>
    </font>
    <font>
      <sz val="11"/>
      <name val="Calibri"/>
      <family val="2"/>
      <charset val="163"/>
      <scheme val="minor"/>
    </font>
    <font>
      <sz val="11"/>
      <color indexed="8"/>
      <name val="Arial"/>
      <family val="2"/>
    </font>
    <font>
      <sz val="10"/>
      <color rgb="FFFF0000"/>
      <name val="Times New Roman"/>
      <family val="1"/>
    </font>
    <font>
      <sz val="10"/>
      <color rgb="FFFF0000"/>
      <name val="Times New Roman"/>
      <family val="2"/>
    </font>
    <font>
      <i/>
      <sz val="12"/>
      <name val="Times New Roman"/>
      <family val="2"/>
    </font>
    <font>
      <b/>
      <u/>
      <sz val="10"/>
      <name val="Times New Roman"/>
      <family val="2"/>
    </font>
    <font>
      <sz val="9"/>
      <name val="Times New Roman"/>
      <family val="2"/>
    </font>
    <font>
      <i/>
      <sz val="10"/>
      <color rgb="FF000000"/>
      <name val="Times New Roman"/>
      <family val="2"/>
    </font>
    <font>
      <i/>
      <sz val="10"/>
      <color rgb="FF7030A0"/>
      <name val="Times New Roman"/>
      <family val="2"/>
    </font>
    <font>
      <sz val="10"/>
      <color rgb="FF7030A0"/>
      <name val="Times New Roman"/>
      <family val="2"/>
    </font>
    <font>
      <b/>
      <sz val="10"/>
      <color rgb="FF7030A0"/>
      <name val="Times New Roman"/>
      <family val="2"/>
    </font>
    <font>
      <b/>
      <sz val="10"/>
      <color theme="1"/>
      <name val="Times New Roman"/>
      <family val="2"/>
    </font>
    <font>
      <b/>
      <sz val="10"/>
      <color rgb="FFFF0000"/>
      <name val="Times New Roman"/>
      <family val="2"/>
    </font>
    <font>
      <b/>
      <i/>
      <sz val="10"/>
      <color rgb="FF000000"/>
      <name val="Times New Roman"/>
      <family val="2"/>
    </font>
    <font>
      <i/>
      <sz val="10"/>
      <color theme="1"/>
      <name val="Times New Roman"/>
      <family val="2"/>
    </font>
    <font>
      <i/>
      <sz val="10"/>
      <color rgb="FFFF0000"/>
      <name val="Times New Roman"/>
      <family val="2"/>
    </font>
    <font>
      <sz val="10"/>
      <color indexed="8"/>
      <name val="Times New Roman"/>
      <family val="2"/>
    </font>
    <font>
      <b/>
      <sz val="10"/>
      <color indexed="8"/>
      <name val="Times New Roman"/>
      <family val="2"/>
    </font>
    <font>
      <b/>
      <i/>
      <sz val="10"/>
      <color rgb="FFFF0000"/>
      <name val="Times New Roman"/>
      <family val="2"/>
    </font>
    <font>
      <i/>
      <sz val="10"/>
      <color indexed="8"/>
      <name val="Times New Roman"/>
      <family val="2"/>
    </font>
    <font>
      <b/>
      <i/>
      <sz val="8"/>
      <color rgb="FF000000"/>
      <name val="Times New Roman"/>
      <family val="1"/>
    </font>
    <font>
      <b/>
      <sz val="10"/>
      <color rgb="FFFF0000"/>
      <name val="Times New Roman"/>
      <family val="1"/>
    </font>
    <font>
      <b/>
      <sz val="10"/>
      <color indexed="8"/>
      <name val="Times New Roman"/>
      <family val="1"/>
    </font>
    <font>
      <b/>
      <sz val="10"/>
      <color rgb="FF7030A0"/>
      <name val="Times New Roman"/>
      <family val="1"/>
    </font>
    <font>
      <sz val="10"/>
      <name val=".VnTime"/>
      <family val="2"/>
    </font>
    <font>
      <sz val="13"/>
      <name val=".VnTime"/>
      <family val="2"/>
    </font>
    <font>
      <sz val="9"/>
      <name val=".VnTime"/>
      <family val="2"/>
    </font>
    <font>
      <b/>
      <sz val="22"/>
      <name val="Times New Roman"/>
      <family val="1"/>
    </font>
    <font>
      <b/>
      <i/>
      <sz val="14"/>
      <name val="Times New Roman"/>
      <family val="1"/>
    </font>
    <font>
      <sz val="13"/>
      <name val="Times New Roman"/>
      <family val="1"/>
      <charset val="163"/>
    </font>
    <font>
      <b/>
      <u/>
      <sz val="13"/>
      <name val="Times New Roman"/>
      <family val="1"/>
    </font>
    <font>
      <b/>
      <i/>
      <sz val="13"/>
      <name val="Times New Roman"/>
      <family val="1"/>
    </font>
    <font>
      <b/>
      <i/>
      <sz val="13"/>
      <color rgb="FFFF0000"/>
      <name val="Times New Roman"/>
      <family val="1"/>
    </font>
    <font>
      <sz val="13"/>
      <color rgb="FFFF0000"/>
      <name val="Times New Roman"/>
      <family val="1"/>
    </font>
    <font>
      <sz val="13"/>
      <color rgb="FF7030A0"/>
      <name val="Times New Roman"/>
      <family val="1"/>
    </font>
    <font>
      <sz val="14"/>
      <color rgb="FF7030A0"/>
      <name val="Times New Roman"/>
      <family val="1"/>
    </font>
    <font>
      <i/>
      <sz val="13"/>
      <color rgb="FF7030A0"/>
      <name val="Times New Roman"/>
      <family val="1"/>
    </font>
    <font>
      <i/>
      <sz val="13"/>
      <color rgb="FFFF0000"/>
      <name val="Times New Roman"/>
      <family val="1"/>
    </font>
    <font>
      <sz val="14"/>
      <color theme="1"/>
      <name val="Times New Roman"/>
      <family val="1"/>
    </font>
    <font>
      <b/>
      <sz val="9"/>
      <color indexed="81"/>
      <name val="Tahoma"/>
      <family val="2"/>
      <charset val="163"/>
    </font>
    <font>
      <sz val="9"/>
      <color indexed="81"/>
      <name val="Tahoma"/>
      <family val="2"/>
      <charset val="163"/>
    </font>
    <font>
      <i/>
      <sz val="13"/>
      <color theme="1"/>
      <name val="Times New Roman"/>
      <family val="1"/>
    </font>
    <font>
      <b/>
      <i/>
      <sz val="9"/>
      <name val="Times New Roman"/>
      <family val="1"/>
    </font>
    <font>
      <i/>
      <sz val="11"/>
      <name val="Times New Roman"/>
      <family val="2"/>
    </font>
    <font>
      <b/>
      <i/>
      <sz val="11"/>
      <name val="Times New Roman"/>
      <family val="2"/>
    </font>
    <font>
      <b/>
      <sz val="9"/>
      <name val="Times New Roman"/>
      <family val="2"/>
    </font>
    <font>
      <i/>
      <sz val="8"/>
      <name val="Times New Roman"/>
      <family val="2"/>
    </font>
    <font>
      <b/>
      <i/>
      <sz val="8"/>
      <name val="Times New Roman"/>
      <family val="2"/>
    </font>
    <font>
      <i/>
      <sz val="13"/>
      <name val="Times New Roman"/>
      <family val="2"/>
    </font>
    <font>
      <b/>
      <sz val="6"/>
      <name val="Times New Roman"/>
      <family val="1"/>
    </font>
    <font>
      <sz val="6"/>
      <name val="Times New Roman"/>
      <family val="1"/>
    </font>
    <font>
      <b/>
      <i/>
      <sz val="6"/>
      <name val="Times New Roman"/>
      <family val="1"/>
    </font>
    <font>
      <b/>
      <sz val="7"/>
      <name val="Times New Roman"/>
      <family val="1"/>
    </font>
    <font>
      <sz val="7"/>
      <name val="Times New Roman"/>
      <family val="1"/>
    </font>
    <font>
      <i/>
      <sz val="7"/>
      <name val="Times New Roman"/>
      <family val="1"/>
    </font>
    <font>
      <sz val="7"/>
      <color theme="1"/>
      <name val="Times New Roman"/>
      <family val="2"/>
    </font>
    <font>
      <b/>
      <sz val="7"/>
      <color indexed="39"/>
      <name val="Times New Roman"/>
      <family val="1"/>
    </font>
    <font>
      <sz val="7"/>
      <color indexed="39"/>
      <name val="Times New Roman"/>
      <family val="1"/>
    </font>
    <font>
      <b/>
      <sz val="7"/>
      <color rgb="FF0000FF"/>
      <name val="Times New Roman"/>
      <family val="1"/>
    </font>
    <font>
      <b/>
      <sz val="7"/>
      <color rgb="FF0000FF"/>
      <name val="Times New Roman"/>
      <family val="1"/>
      <charset val="163"/>
    </font>
    <font>
      <sz val="7"/>
      <name val="Times New Roman"/>
      <family val="1"/>
      <charset val="163"/>
    </font>
    <font>
      <sz val="7"/>
      <color rgb="FF0000FF"/>
      <name val="Times New Roman"/>
      <family val="1"/>
    </font>
    <font>
      <b/>
      <sz val="7"/>
      <color indexed="39"/>
      <name val="Times New Roman"/>
      <family val="1"/>
      <charset val="163"/>
    </font>
    <font>
      <b/>
      <i/>
      <sz val="7"/>
      <color rgb="FF0000FF"/>
      <name val="Times New Roman"/>
      <family val="1"/>
    </font>
    <font>
      <b/>
      <i/>
      <sz val="7"/>
      <color rgb="FF0000FF"/>
      <name val="Times New Roman"/>
      <family val="1"/>
      <charset val="163"/>
    </font>
    <font>
      <sz val="7"/>
      <color indexed="8"/>
      <name val="Times New Roman"/>
      <family val="1"/>
    </font>
    <font>
      <i/>
      <sz val="7"/>
      <name val="Times New Roman"/>
      <family val="1"/>
      <charset val="163"/>
    </font>
    <font>
      <i/>
      <sz val="7"/>
      <color rgb="FF0000FF"/>
      <name val="Times New Roman"/>
      <family val="1"/>
    </font>
    <font>
      <b/>
      <sz val="7"/>
      <color indexed="10"/>
      <name val="Times New Roman"/>
      <family val="1"/>
    </font>
    <font>
      <sz val="7"/>
      <color indexed="10"/>
      <name val="Times New Roman"/>
      <family val="1"/>
    </font>
    <font>
      <b/>
      <i/>
      <sz val="7"/>
      <name val="Times New Roman"/>
      <family val="1"/>
    </font>
    <font>
      <sz val="7"/>
      <name val="Cambria"/>
      <family val="1"/>
      <charset val="163"/>
      <scheme val="major"/>
    </font>
    <font>
      <b/>
      <sz val="7"/>
      <color rgb="FFFF0000"/>
      <name val="Times New Roman"/>
      <family val="1"/>
    </font>
    <font>
      <b/>
      <i/>
      <sz val="7"/>
      <color rgb="FFFF0000"/>
      <name val="Times New Roman"/>
      <family val="1"/>
    </font>
    <font>
      <b/>
      <sz val="7"/>
      <color indexed="12"/>
      <name val="Times New Roman"/>
      <family val="1"/>
    </font>
    <font>
      <b/>
      <sz val="7"/>
      <name val="Times New Roman"/>
      <family val="1"/>
      <charset val="163"/>
    </font>
    <font>
      <b/>
      <i/>
      <sz val="7"/>
      <color indexed="39"/>
      <name val="Times New Roman"/>
      <family val="1"/>
      <charset val="163"/>
    </font>
    <font>
      <sz val="7"/>
      <color rgb="FF0000FF"/>
      <name val="Times New Roman"/>
      <family val="1"/>
      <charset val="163"/>
    </font>
    <font>
      <sz val="7"/>
      <color theme="1"/>
      <name val="Cambria"/>
      <family val="1"/>
      <charset val="163"/>
      <scheme val="major"/>
    </font>
    <font>
      <b/>
      <sz val="7"/>
      <color theme="1"/>
      <name val="Times New Roman"/>
      <family val="1"/>
      <charset val="163"/>
    </font>
    <font>
      <b/>
      <sz val="7"/>
      <color theme="1"/>
      <name val="Times New Roman"/>
      <family val="2"/>
    </font>
    <font>
      <b/>
      <sz val="7"/>
      <color theme="1"/>
      <name val="Cambria"/>
      <family val="1"/>
      <charset val="163"/>
      <scheme val="major"/>
    </font>
    <font>
      <sz val="7"/>
      <name val="Times New Roman"/>
      <family val="2"/>
    </font>
    <font>
      <b/>
      <sz val="7"/>
      <color indexed="8"/>
      <name val="Times New Roman"/>
      <family val="1"/>
    </font>
    <font>
      <sz val="7"/>
      <color theme="1"/>
      <name val="Times New Roman"/>
      <family val="1"/>
    </font>
    <font>
      <sz val="10"/>
      <color indexed="9"/>
      <name val="Times New Roman"/>
      <family val="1"/>
    </font>
    <font>
      <b/>
      <sz val="6"/>
      <color theme="1"/>
      <name val="Times New Roman"/>
      <family val="1"/>
    </font>
    <font>
      <b/>
      <i/>
      <vertAlign val="superscript"/>
      <sz val="6"/>
      <name val="Times New Roman"/>
      <family val="1"/>
    </font>
    <font>
      <sz val="12"/>
      <name val="Times New Roman"/>
      <family val="2"/>
    </font>
    <font>
      <sz val="12"/>
      <color indexed="8"/>
      <name val="Times New Roman"/>
      <family val="1"/>
    </font>
    <font>
      <i/>
      <sz val="8"/>
      <name val="Times New Roman"/>
      <family val="1"/>
    </font>
    <font>
      <sz val="8"/>
      <color indexed="9"/>
      <name val="Times New Roman"/>
      <family val="1"/>
    </font>
    <font>
      <sz val="8"/>
      <color theme="1"/>
      <name val="Times New Roman"/>
      <family val="2"/>
    </font>
    <font>
      <b/>
      <sz val="8"/>
      <color indexed="39"/>
      <name val="Times New Roman"/>
      <family val="1"/>
    </font>
    <font>
      <sz val="8"/>
      <color indexed="39"/>
      <name val="Times New Roman"/>
      <family val="1"/>
    </font>
    <font>
      <b/>
      <sz val="8"/>
      <color rgb="FF0000FF"/>
      <name val="Times New Roman"/>
      <family val="1"/>
    </font>
    <font>
      <b/>
      <sz val="8"/>
      <color rgb="FF0000FF"/>
      <name val="Times New Roman"/>
      <family val="1"/>
      <charset val="163"/>
    </font>
    <font>
      <sz val="8"/>
      <name val="Times New Roman"/>
      <family val="1"/>
      <charset val="163"/>
    </font>
    <font>
      <sz val="8"/>
      <color rgb="FF0000FF"/>
      <name val="Times New Roman"/>
      <family val="1"/>
    </font>
    <font>
      <b/>
      <sz val="8"/>
      <color indexed="39"/>
      <name val="Times New Roman"/>
      <family val="1"/>
      <charset val="163"/>
    </font>
    <font>
      <b/>
      <i/>
      <sz val="8"/>
      <color rgb="FF0000FF"/>
      <name val="Times New Roman"/>
      <family val="1"/>
    </font>
    <font>
      <sz val="8"/>
      <color indexed="8"/>
      <name val="Times New Roman"/>
      <family val="1"/>
    </font>
    <font>
      <b/>
      <i/>
      <sz val="8"/>
      <color rgb="FF0000FF"/>
      <name val="Times New Roman"/>
      <family val="1"/>
      <charset val="163"/>
    </font>
    <font>
      <i/>
      <sz val="8"/>
      <name val="Times New Roman"/>
      <family val="1"/>
      <charset val="163"/>
    </font>
    <font>
      <i/>
      <sz val="8"/>
      <color rgb="FF0000FF"/>
      <name val="Times New Roman"/>
      <family val="1"/>
    </font>
    <font>
      <b/>
      <i/>
      <sz val="8"/>
      <color indexed="39"/>
      <name val="Times New Roman"/>
      <family val="1"/>
    </font>
    <font>
      <sz val="8"/>
      <color theme="1"/>
      <name val="Cambria"/>
      <family val="1"/>
      <charset val="163"/>
      <scheme val="major"/>
    </font>
    <font>
      <b/>
      <sz val="8"/>
      <color indexed="10"/>
      <name val="Times New Roman"/>
      <family val="1"/>
    </font>
    <font>
      <sz val="8"/>
      <color indexed="10"/>
      <name val="Times New Roman"/>
      <family val="1"/>
    </font>
    <font>
      <b/>
      <i/>
      <sz val="8"/>
      <name val="Times New Roman"/>
      <family val="1"/>
    </font>
    <font>
      <sz val="8"/>
      <name val="Cambria"/>
      <family val="1"/>
      <charset val="163"/>
      <scheme val="major"/>
    </font>
    <font>
      <b/>
      <sz val="8"/>
      <color rgb="FFFF0000"/>
      <name val="Times New Roman"/>
      <family val="1"/>
    </font>
    <font>
      <b/>
      <i/>
      <sz val="8"/>
      <color rgb="FFFF0000"/>
      <name val="Times New Roman"/>
      <family val="1"/>
    </font>
    <font>
      <b/>
      <sz val="8"/>
      <color indexed="12"/>
      <name val="Times New Roman"/>
      <family val="1"/>
    </font>
    <font>
      <b/>
      <sz val="8"/>
      <name val="Times New Roman"/>
      <family val="1"/>
      <charset val="163"/>
    </font>
    <font>
      <b/>
      <i/>
      <sz val="8"/>
      <color indexed="39"/>
      <name val="Times New Roman"/>
      <family val="1"/>
      <charset val="163"/>
    </font>
    <font>
      <sz val="8"/>
      <color rgb="FF0000FF"/>
      <name val="Times New Roman"/>
      <family val="1"/>
      <charset val="163"/>
    </font>
    <font>
      <b/>
      <sz val="8"/>
      <color theme="1"/>
      <name val="Times New Roman"/>
      <family val="1"/>
      <charset val="163"/>
    </font>
    <font>
      <b/>
      <sz val="8"/>
      <color theme="1"/>
      <name val="Times New Roman"/>
      <family val="2"/>
    </font>
    <font>
      <b/>
      <sz val="8"/>
      <color theme="1"/>
      <name val="Cambria"/>
      <family val="1"/>
      <charset val="163"/>
      <scheme val="major"/>
    </font>
    <font>
      <b/>
      <i/>
      <sz val="12"/>
      <color theme="1"/>
      <name val="Times New Roman"/>
      <family val="1"/>
    </font>
    <font>
      <b/>
      <i/>
      <vertAlign val="superscript"/>
      <sz val="7"/>
      <name val="Times New Roman"/>
      <family val="1"/>
    </font>
    <font>
      <b/>
      <sz val="8"/>
      <color indexed="8"/>
      <name val="Times New Roman"/>
      <family val="1"/>
    </font>
    <font>
      <b/>
      <sz val="14"/>
      <color indexed="81"/>
      <name val="Tahoma"/>
      <family val="2"/>
    </font>
    <font>
      <i/>
      <vertAlign val="superscript"/>
      <sz val="8"/>
      <name val="Times New Roman"/>
      <family val="1"/>
    </font>
    <font>
      <b/>
      <i/>
      <sz val="13"/>
      <name val="Times New Roman"/>
      <family val="2"/>
    </font>
    <font>
      <i/>
      <u/>
      <sz val="12"/>
      <name val="Times New Roman"/>
      <family val="2"/>
    </font>
    <font>
      <b/>
      <sz val="10"/>
      <name val="Times New Roman"/>
      <family val="1"/>
      <charset val="163"/>
    </font>
    <font>
      <sz val="10"/>
      <name val="Times New Roman"/>
      <family val="1"/>
      <charset val="163"/>
    </font>
    <font>
      <i/>
      <sz val="10"/>
      <name val="Times New Roman"/>
      <family val="1"/>
      <charset val="163"/>
    </font>
    <font>
      <b/>
      <i/>
      <sz val="10"/>
      <name val="Times New Roman"/>
      <family val="1"/>
      <charset val="163"/>
    </font>
    <font>
      <b/>
      <sz val="14"/>
      <name val="Times New Roman"/>
      <family val="1"/>
      <charset val="163"/>
    </font>
    <font>
      <i/>
      <sz val="14"/>
      <name val="Times New Roman"/>
      <family val="1"/>
      <charset val="163"/>
    </font>
    <font>
      <i/>
      <sz val="11"/>
      <color rgb="FF000000"/>
      <name val="Times New Roman"/>
      <family val="1"/>
    </font>
  </fonts>
  <fills count="10">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FFFF00"/>
        <bgColor indexed="6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7030A0"/>
        <bgColor indexed="64"/>
      </patternFill>
    </fill>
    <fill>
      <patternFill patternType="solid">
        <fgColor indexed="9"/>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style="hair">
        <color indexed="64"/>
      </top>
      <bottom/>
      <diagonal/>
    </border>
    <border>
      <left style="thin">
        <color indexed="64"/>
      </left>
      <right/>
      <top/>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s>
  <cellStyleXfs count="39">
    <xf numFmtId="0" fontId="0" fillId="0" borderId="0"/>
    <xf numFmtId="165" fontId="13" fillId="0" borderId="0" applyFont="0" applyFill="0" applyBorder="0" applyAlignment="0" applyProtection="0"/>
    <xf numFmtId="164" fontId="13" fillId="0" borderId="0" applyFont="0" applyFill="0" applyBorder="0" applyAlignment="0" applyProtection="0"/>
    <xf numFmtId="0" fontId="19" fillId="0" borderId="0"/>
    <xf numFmtId="0" fontId="19" fillId="0" borderId="0"/>
    <xf numFmtId="165" fontId="33" fillId="0" borderId="0" applyFont="0" applyFill="0" applyBorder="0" applyAlignment="0" applyProtection="0"/>
    <xf numFmtId="165" fontId="32" fillId="0" borderId="0" applyFont="0" applyFill="0" applyBorder="0" applyAlignment="0" applyProtection="0"/>
    <xf numFmtId="165" fontId="33" fillId="0" borderId="0" applyFont="0" applyFill="0" applyBorder="0" applyAlignment="0" applyProtection="0"/>
    <xf numFmtId="0" fontId="32" fillId="0" borderId="0"/>
    <xf numFmtId="43" fontId="33" fillId="0" borderId="0" applyFont="0" applyFill="0" applyBorder="0" applyAlignment="0" applyProtection="0"/>
    <xf numFmtId="9" fontId="13" fillId="0" borderId="0" applyFont="0" applyFill="0" applyBorder="0" applyAlignment="0" applyProtection="0"/>
    <xf numFmtId="0" fontId="44" fillId="0" borderId="0"/>
    <xf numFmtId="0" fontId="45" fillId="0" borderId="0"/>
    <xf numFmtId="0" fontId="46" fillId="0" borderId="0"/>
    <xf numFmtId="0" fontId="47" fillId="0" borderId="0"/>
    <xf numFmtId="0" fontId="52" fillId="0" borderId="0"/>
    <xf numFmtId="0" fontId="19" fillId="0" borderId="0"/>
    <xf numFmtId="0" fontId="45" fillId="0" borderId="0"/>
    <xf numFmtId="0" fontId="70" fillId="0" borderId="0"/>
    <xf numFmtId="0" fontId="45" fillId="0" borderId="0"/>
    <xf numFmtId="165" fontId="71" fillId="0" borderId="0" applyFont="0" applyFill="0" applyBorder="0" applyAlignment="0" applyProtection="0"/>
    <xf numFmtId="0" fontId="83" fillId="0" borderId="0"/>
    <xf numFmtId="0" fontId="91" fillId="0" borderId="0"/>
    <xf numFmtId="0" fontId="92" fillId="0" borderId="0" applyNumberFormat="0" applyFill="0" applyBorder="0" applyAlignment="0" applyProtection="0"/>
    <xf numFmtId="41" fontId="83" fillId="0" borderId="0" applyFont="0" applyFill="0" applyBorder="0" applyAlignment="0" applyProtection="0"/>
    <xf numFmtId="43" fontId="83" fillId="0" borderId="0" applyFont="0" applyFill="0" applyBorder="0" applyAlignment="0" applyProtection="0"/>
    <xf numFmtId="0" fontId="94" fillId="0" borderId="0"/>
    <xf numFmtId="0" fontId="71" fillId="0" borderId="0"/>
    <xf numFmtId="165" fontId="71" fillId="0" borderId="0" applyFont="0" applyFill="0" applyBorder="0" applyAlignment="0" applyProtection="0"/>
    <xf numFmtId="0" fontId="91" fillId="0" borderId="0"/>
    <xf numFmtId="0" fontId="83" fillId="0" borderId="0"/>
    <xf numFmtId="0" fontId="45" fillId="0" borderId="0"/>
    <xf numFmtId="0" fontId="45" fillId="0" borderId="0"/>
    <xf numFmtId="0" fontId="19" fillId="0" borderId="0"/>
    <xf numFmtId="0" fontId="83" fillId="0" borderId="0"/>
    <xf numFmtId="0" fontId="122" fillId="0" borderId="0"/>
    <xf numFmtId="0" fontId="71" fillId="0" borderId="0"/>
    <xf numFmtId="0" fontId="32" fillId="0" borderId="0"/>
    <xf numFmtId="0" fontId="182" fillId="0" borderId="0"/>
  </cellStyleXfs>
  <cellXfs count="2241">
    <xf numFmtId="0" fontId="0" fillId="0" borderId="0" xfId="0"/>
    <xf numFmtId="0" fontId="2" fillId="0" borderId="0" xfId="0" applyFont="1" applyAlignment="1">
      <alignment vertical="center"/>
    </xf>
    <xf numFmtId="0" fontId="2" fillId="0" borderId="4" xfId="0" applyFont="1" applyBorder="1" applyAlignment="1">
      <alignment horizontal="center" vertical="center" wrapText="1"/>
    </xf>
    <xf numFmtId="0" fontId="2" fillId="0" borderId="2" xfId="0" applyFont="1" applyBorder="1" applyAlignment="1">
      <alignment vertical="center" wrapText="1"/>
    </xf>
    <xf numFmtId="0" fontId="3" fillId="0" borderId="2" xfId="0" applyFont="1" applyBorder="1" applyAlignment="1">
      <alignment vertical="center" wrapText="1"/>
    </xf>
    <xf numFmtId="0" fontId="2" fillId="0" borderId="3" xfId="0" applyFont="1" applyBorder="1" applyAlignment="1">
      <alignment vertical="center" wrapText="1"/>
    </xf>
    <xf numFmtId="0" fontId="3" fillId="0" borderId="0" xfId="0" applyFont="1" applyAlignment="1">
      <alignment horizontal="right" vertical="center"/>
    </xf>
    <xf numFmtId="0" fontId="1" fillId="0" borderId="2" xfId="0" applyFont="1" applyBorder="1" applyAlignment="1">
      <alignment vertical="center" wrapText="1"/>
    </xf>
    <xf numFmtId="0" fontId="1" fillId="0" borderId="3" xfId="0" applyFont="1" applyBorder="1" applyAlignment="1">
      <alignment horizontal="center" vertical="center" wrapText="1"/>
    </xf>
    <xf numFmtId="0" fontId="1" fillId="0" borderId="3" xfId="0" applyFont="1" applyBorder="1" applyAlignment="1">
      <alignment vertical="center" wrapText="1"/>
    </xf>
    <xf numFmtId="0" fontId="1" fillId="0" borderId="4" xfId="0" applyFont="1" applyBorder="1" applyAlignment="1">
      <alignment horizontal="center" vertical="center" wrapText="1"/>
    </xf>
    <xf numFmtId="0" fontId="0" fillId="0" borderId="0" xfId="0" applyAlignment="1">
      <alignment horizontal="left"/>
    </xf>
    <xf numFmtId="0" fontId="3" fillId="0" borderId="0" xfId="0" applyFont="1" applyBorder="1" applyAlignment="1">
      <alignment horizontal="center" vertical="center"/>
    </xf>
    <xf numFmtId="0" fontId="1"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1" fillId="0" borderId="2" xfId="0" applyFont="1" applyBorder="1" applyAlignment="1">
      <alignment horizontal="center" vertical="center" wrapText="1"/>
    </xf>
    <xf numFmtId="0" fontId="6" fillId="2" borderId="2" xfId="0" applyFont="1" applyFill="1" applyBorder="1" applyAlignment="1">
      <alignment horizontal="center"/>
    </xf>
    <xf numFmtId="0" fontId="6" fillId="2" borderId="2" xfId="0" applyFont="1" applyFill="1" applyBorder="1"/>
    <xf numFmtId="0" fontId="5" fillId="2" borderId="2" xfId="0" applyFont="1" applyFill="1" applyBorder="1" applyAlignment="1">
      <alignment horizontal="center"/>
    </xf>
    <xf numFmtId="0" fontId="5" fillId="2" borderId="2" xfId="0" applyFont="1" applyFill="1" applyBorder="1" applyAlignment="1">
      <alignment wrapText="1"/>
    </xf>
    <xf numFmtId="0" fontId="5" fillId="2" borderId="2" xfId="0" applyFont="1" applyFill="1" applyBorder="1"/>
    <xf numFmtId="0" fontId="5" fillId="2" borderId="2" xfId="0" applyFont="1" applyFill="1" applyBorder="1" applyAlignment="1">
      <alignment horizontal="left" vertical="center" wrapText="1"/>
    </xf>
    <xf numFmtId="0" fontId="6" fillId="2" borderId="2" xfId="0" applyFont="1" applyFill="1" applyBorder="1" applyAlignment="1">
      <alignment horizontal="center" vertical="center" wrapText="1"/>
    </xf>
    <xf numFmtId="0" fontId="6" fillId="2" borderId="2" xfId="0" applyFont="1" applyFill="1" applyBorder="1" applyAlignment="1">
      <alignment vertical="center" wrapText="1"/>
    </xf>
    <xf numFmtId="0" fontId="6" fillId="2" borderId="2" xfId="0" applyFont="1" applyFill="1" applyBorder="1" applyAlignment="1">
      <alignment wrapText="1"/>
    </xf>
    <xf numFmtId="0" fontId="5" fillId="2" borderId="2" xfId="0" applyFont="1" applyFill="1" applyBorder="1" applyAlignment="1">
      <alignment vertical="center" wrapText="1"/>
    </xf>
    <xf numFmtId="0" fontId="5" fillId="2" borderId="4" xfId="0" applyFont="1" applyFill="1" applyBorder="1" applyAlignment="1">
      <alignment horizontal="center"/>
    </xf>
    <xf numFmtId="0" fontId="1" fillId="0" borderId="4" xfId="0" applyFont="1" applyBorder="1" applyAlignment="1">
      <alignment vertical="center" wrapText="1"/>
    </xf>
    <xf numFmtId="0" fontId="10" fillId="0" borderId="0" xfId="0" applyFont="1"/>
    <xf numFmtId="0" fontId="2" fillId="0" borderId="8" xfId="0" applyFont="1" applyBorder="1" applyAlignment="1">
      <alignment vertical="center" wrapText="1"/>
    </xf>
    <xf numFmtId="0" fontId="1" fillId="0" borderId="2" xfId="0" applyFont="1" applyBorder="1" applyAlignment="1">
      <alignment horizontal="left" vertical="center" wrapText="1"/>
    </xf>
    <xf numFmtId="0" fontId="2" fillId="0" borderId="8" xfId="0" applyFont="1" applyBorder="1" applyAlignment="1">
      <alignment horizontal="center" vertical="center" wrapText="1"/>
    </xf>
    <xf numFmtId="0" fontId="1" fillId="0" borderId="2" xfId="0" applyFont="1" applyBorder="1" applyAlignment="1">
      <alignment horizontal="center"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15" fillId="0" borderId="0" xfId="0" applyFont="1" applyAlignment="1">
      <alignment vertical="center"/>
    </xf>
    <xf numFmtId="0" fontId="15" fillId="3" borderId="1" xfId="0" applyFont="1" applyFill="1" applyBorder="1" applyAlignment="1">
      <alignment horizontal="center" vertical="center" wrapText="1"/>
    </xf>
    <xf numFmtId="0" fontId="15" fillId="0" borderId="0" xfId="0" applyFont="1" applyAlignment="1">
      <alignment vertical="center" wrapText="1"/>
    </xf>
    <xf numFmtId="0" fontId="14" fillId="3" borderId="5" xfId="0" applyFont="1" applyFill="1" applyBorder="1" applyAlignment="1">
      <alignment horizontal="center" vertical="center" wrapText="1"/>
    </xf>
    <xf numFmtId="0" fontId="14" fillId="3" borderId="5" xfId="0" applyFont="1" applyFill="1" applyBorder="1" applyAlignment="1">
      <alignment vertical="center" wrapText="1"/>
    </xf>
    <xf numFmtId="3" fontId="14" fillId="3" borderId="5" xfId="0" applyNumberFormat="1" applyFont="1" applyFill="1" applyBorder="1" applyAlignment="1">
      <alignment horizontal="right" vertical="center" wrapText="1"/>
    </xf>
    <xf numFmtId="0" fontId="14" fillId="3" borderId="2" xfId="0" applyFont="1" applyFill="1" applyBorder="1" applyAlignment="1">
      <alignment horizontal="center" vertical="center" wrapText="1"/>
    </xf>
    <xf numFmtId="0" fontId="14" fillId="3" borderId="2" xfId="0" applyFont="1" applyFill="1" applyBorder="1" applyAlignment="1">
      <alignment vertical="center" wrapText="1"/>
    </xf>
    <xf numFmtId="3" fontId="14" fillId="3" borderId="2" xfId="0" applyNumberFormat="1" applyFont="1" applyFill="1" applyBorder="1" applyAlignment="1">
      <alignment horizontal="right" vertical="center" wrapText="1"/>
    </xf>
    <xf numFmtId="0" fontId="15" fillId="3" borderId="2" xfId="0" applyFont="1" applyFill="1" applyBorder="1" applyAlignment="1">
      <alignment vertical="center" wrapText="1"/>
    </xf>
    <xf numFmtId="3" fontId="15" fillId="3" borderId="2" xfId="0" applyNumberFormat="1" applyFont="1" applyFill="1" applyBorder="1" applyAlignment="1">
      <alignment horizontal="right" vertical="center" wrapText="1"/>
    </xf>
    <xf numFmtId="0" fontId="14" fillId="3" borderId="3" xfId="0" applyFont="1" applyFill="1" applyBorder="1" applyAlignment="1">
      <alignment horizontal="center" vertical="center" wrapText="1"/>
    </xf>
    <xf numFmtId="0" fontId="14" fillId="3" borderId="3" xfId="0" applyFont="1" applyFill="1" applyBorder="1" applyAlignment="1">
      <alignment vertical="center" wrapText="1"/>
    </xf>
    <xf numFmtId="0" fontId="15" fillId="3" borderId="3" xfId="0" applyFont="1" applyFill="1" applyBorder="1" applyAlignment="1">
      <alignment horizontal="center" vertical="center" wrapText="1"/>
    </xf>
    <xf numFmtId="0" fontId="14" fillId="0" borderId="0" xfId="0" applyFont="1" applyAlignment="1">
      <alignment vertical="center"/>
    </xf>
    <xf numFmtId="3" fontId="14" fillId="3" borderId="5" xfId="0" applyNumberFormat="1" applyFont="1" applyFill="1" applyBorder="1" applyAlignment="1">
      <alignment vertical="center" wrapText="1"/>
    </xf>
    <xf numFmtId="3" fontId="15" fillId="3" borderId="3" xfId="0" applyNumberFormat="1" applyFont="1" applyFill="1" applyBorder="1" applyAlignment="1">
      <alignment vertical="center" wrapText="1"/>
    </xf>
    <xf numFmtId="3" fontId="15" fillId="0" borderId="0" xfId="0" applyNumberFormat="1" applyFont="1" applyAlignment="1">
      <alignment vertical="center"/>
    </xf>
    <xf numFmtId="3" fontId="14" fillId="0" borderId="0" xfId="0" applyNumberFormat="1" applyFont="1" applyAlignment="1">
      <alignment vertical="center"/>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1" fillId="0" borderId="4" xfId="0" applyFont="1" applyBorder="1" applyAlignment="1">
      <alignment horizontal="center" vertical="center" wrapText="1"/>
    </xf>
    <xf numFmtId="0" fontId="14" fillId="3" borderId="1" xfId="0" applyFont="1" applyFill="1" applyBorder="1" applyAlignment="1">
      <alignment horizontal="center" vertical="center" wrapText="1"/>
    </xf>
    <xf numFmtId="3" fontId="15" fillId="3" borderId="2" xfId="0" applyNumberFormat="1" applyFont="1" applyFill="1" applyBorder="1" applyAlignment="1">
      <alignment vertical="center" wrapText="1"/>
    </xf>
    <xf numFmtId="0" fontId="15" fillId="3" borderId="2" xfId="0" applyFont="1" applyFill="1" applyBorder="1" applyAlignment="1">
      <alignment horizontal="center" vertical="center" wrapText="1"/>
    </xf>
    <xf numFmtId="0" fontId="18" fillId="0" borderId="0" xfId="0" applyFont="1" applyAlignment="1">
      <alignment vertical="center"/>
    </xf>
    <xf numFmtId="0" fontId="1" fillId="0" borderId="1" xfId="0" applyFont="1" applyBorder="1" applyAlignment="1">
      <alignment vertical="center" wrapText="1"/>
    </xf>
    <xf numFmtId="0" fontId="2" fillId="0" borderId="1" xfId="0" applyFont="1" applyBorder="1" applyAlignment="1">
      <alignment vertical="center" wrapText="1"/>
    </xf>
    <xf numFmtId="0" fontId="3" fillId="0" borderId="1" xfId="0" applyFont="1" applyBorder="1" applyAlignment="1">
      <alignment vertical="center" wrapText="1"/>
    </xf>
    <xf numFmtId="0" fontId="1" fillId="0" borderId="0" xfId="0" applyFont="1" applyAlignment="1">
      <alignment horizontal="right" vertical="center"/>
    </xf>
    <xf numFmtId="0" fontId="24" fillId="0" borderId="1" xfId="0" applyFont="1" applyBorder="1" applyAlignment="1">
      <alignment horizontal="center" vertical="center" wrapText="1"/>
    </xf>
    <xf numFmtId="0" fontId="25" fillId="0" borderId="0" xfId="0" applyFont="1"/>
    <xf numFmtId="0" fontId="0" fillId="0" borderId="1" xfId="0" applyBorder="1" applyAlignment="1">
      <alignment vertical="top" wrapText="1"/>
    </xf>
    <xf numFmtId="0" fontId="0" fillId="0" borderId="0" xfId="0" applyFont="1"/>
    <xf numFmtId="0" fontId="2" fillId="0" borderId="1" xfId="0" applyFont="1" applyBorder="1" applyAlignment="1">
      <alignment vertical="center"/>
    </xf>
    <xf numFmtId="3" fontId="2" fillId="0" borderId="2" xfId="0" applyNumberFormat="1" applyFont="1" applyBorder="1" applyAlignment="1">
      <alignment vertical="center" wrapText="1"/>
    </xf>
    <xf numFmtId="3" fontId="1" fillId="0" borderId="2" xfId="0" applyNumberFormat="1" applyFont="1" applyBorder="1" applyAlignment="1">
      <alignment vertical="center" wrapText="1"/>
    </xf>
    <xf numFmtId="3" fontId="2" fillId="0" borderId="2" xfId="0" applyNumberFormat="1" applyFont="1" applyBorder="1" applyAlignment="1">
      <alignment horizontal="right" vertical="center" wrapText="1"/>
    </xf>
    <xf numFmtId="3" fontId="1" fillId="0" borderId="2" xfId="0" applyNumberFormat="1" applyFont="1" applyBorder="1" applyAlignment="1">
      <alignment horizontal="right" vertical="center" wrapText="1"/>
    </xf>
    <xf numFmtId="0" fontId="15" fillId="3" borderId="3" xfId="0" applyFont="1" applyFill="1" applyBorder="1" applyAlignment="1">
      <alignment vertical="center" wrapText="1"/>
    </xf>
    <xf numFmtId="0" fontId="21" fillId="0" borderId="0" xfId="0" applyFont="1" applyAlignment="1">
      <alignment vertical="center"/>
    </xf>
    <xf numFmtId="0" fontId="26" fillId="3" borderId="5" xfId="0" applyFont="1" applyFill="1" applyBorder="1" applyAlignment="1">
      <alignment horizontal="center" vertical="center" wrapText="1"/>
    </xf>
    <xf numFmtId="0" fontId="26" fillId="3" borderId="5" xfId="0" applyFont="1" applyFill="1" applyBorder="1" applyAlignment="1">
      <alignment vertical="center" wrapText="1"/>
    </xf>
    <xf numFmtId="3" fontId="26" fillId="3" borderId="5" xfId="0" applyNumberFormat="1" applyFont="1" applyFill="1" applyBorder="1" applyAlignment="1">
      <alignment vertical="center" wrapText="1"/>
    </xf>
    <xf numFmtId="0" fontId="26" fillId="0" borderId="0" xfId="0" applyFont="1" applyAlignment="1">
      <alignment vertical="center"/>
    </xf>
    <xf numFmtId="0" fontId="21" fillId="3" borderId="3" xfId="0" applyFont="1" applyFill="1" applyBorder="1" applyAlignment="1">
      <alignment horizontal="center" vertical="center" wrapText="1"/>
    </xf>
    <xf numFmtId="0" fontId="21" fillId="3" borderId="3" xfId="0" applyFont="1" applyFill="1" applyBorder="1" applyAlignment="1">
      <alignment vertical="center" wrapText="1"/>
    </xf>
    <xf numFmtId="3" fontId="21" fillId="3" borderId="3" xfId="0" applyNumberFormat="1" applyFont="1" applyFill="1" applyBorder="1" applyAlignment="1">
      <alignment vertical="center" wrapText="1"/>
    </xf>
    <xf numFmtId="0" fontId="28" fillId="0" borderId="0" xfId="0" applyFont="1" applyAlignment="1">
      <alignment vertical="center"/>
    </xf>
    <xf numFmtId="0" fontId="27" fillId="0" borderId="0" xfId="0" applyFont="1" applyAlignment="1">
      <alignment vertical="center"/>
    </xf>
    <xf numFmtId="0" fontId="1" fillId="0" borderId="5" xfId="0" applyFont="1" applyBorder="1" applyAlignment="1">
      <alignment horizontal="center" vertical="center" wrapText="1"/>
    </xf>
    <xf numFmtId="0" fontId="29" fillId="0" borderId="0" xfId="0" applyFont="1"/>
    <xf numFmtId="3" fontId="0" fillId="0" borderId="0" xfId="0" applyNumberFormat="1"/>
    <xf numFmtId="0" fontId="15" fillId="3" borderId="2" xfId="0" applyFont="1" applyFill="1" applyBorder="1" applyAlignment="1">
      <alignment horizontal="center" vertical="center" wrapText="1"/>
    </xf>
    <xf numFmtId="3" fontId="15" fillId="3" borderId="2" xfId="0" applyNumberFormat="1" applyFont="1" applyFill="1" applyBorder="1" applyAlignment="1">
      <alignment vertical="center" wrapText="1"/>
    </xf>
    <xf numFmtId="3" fontId="14" fillId="3" borderId="3" xfId="0" applyNumberFormat="1" applyFont="1" applyFill="1" applyBorder="1" applyAlignment="1">
      <alignment horizontal="right" vertical="center" wrapText="1"/>
    </xf>
    <xf numFmtId="0" fontId="5" fillId="2" borderId="4" xfId="0" applyFont="1" applyFill="1" applyBorder="1" applyAlignment="1">
      <alignment horizontal="left"/>
    </xf>
    <xf numFmtId="0" fontId="26" fillId="3" borderId="1" xfId="0" applyFont="1" applyFill="1" applyBorder="1" applyAlignment="1">
      <alignment horizontal="center" vertical="center" wrapText="1"/>
    </xf>
    <xf numFmtId="0" fontId="2" fillId="0" borderId="3" xfId="0" applyFont="1" applyBorder="1" applyAlignment="1">
      <alignment horizontal="center" vertical="center" wrapText="1"/>
    </xf>
    <xf numFmtId="0" fontId="40" fillId="2" borderId="2" xfId="0" applyFont="1" applyFill="1" applyBorder="1" applyAlignment="1">
      <alignment horizontal="center"/>
    </xf>
    <xf numFmtId="0" fontId="40" fillId="2" borderId="2" xfId="0" applyFont="1" applyFill="1" applyBorder="1" applyAlignment="1">
      <alignment wrapText="1"/>
    </xf>
    <xf numFmtId="0" fontId="39" fillId="2" borderId="2" xfId="0" applyFont="1" applyFill="1" applyBorder="1" applyAlignment="1">
      <alignment vertical="center" wrapText="1"/>
    </xf>
    <xf numFmtId="3" fontId="15" fillId="2" borderId="2" xfId="0" applyNumberFormat="1" applyFont="1" applyFill="1" applyBorder="1" applyAlignment="1">
      <alignment vertical="center" wrapText="1"/>
    </xf>
    <xf numFmtId="3" fontId="29" fillId="0" borderId="0" xfId="0" applyNumberFormat="1" applyFont="1"/>
    <xf numFmtId="3" fontId="21" fillId="2" borderId="2" xfId="0" applyNumberFormat="1" applyFont="1" applyFill="1" applyBorder="1" applyAlignment="1">
      <alignment vertical="center" wrapText="1"/>
    </xf>
    <xf numFmtId="0" fontId="20" fillId="0" borderId="0" xfId="0" applyFont="1"/>
    <xf numFmtId="0" fontId="23" fillId="0" borderId="0" xfId="0" applyFont="1"/>
    <xf numFmtId="0" fontId="21" fillId="0" borderId="2" xfId="14" applyNumberFormat="1" applyFont="1" applyFill="1" applyBorder="1" applyAlignment="1" applyProtection="1">
      <alignment horizontal="left"/>
    </xf>
    <xf numFmtId="0" fontId="43" fillId="2" borderId="0" xfId="0" applyFont="1" applyFill="1"/>
    <xf numFmtId="169" fontId="14" fillId="3" borderId="5" xfId="0" applyNumberFormat="1" applyFont="1" applyFill="1" applyBorder="1" applyAlignment="1">
      <alignment vertical="center" wrapText="1"/>
    </xf>
    <xf numFmtId="169" fontId="15" fillId="3" borderId="2" xfId="0" applyNumberFormat="1" applyFont="1" applyFill="1" applyBorder="1" applyAlignment="1">
      <alignment vertical="center" wrapText="1"/>
    </xf>
    <xf numFmtId="169" fontId="15" fillId="3" borderId="3" xfId="0" applyNumberFormat="1" applyFont="1" applyFill="1" applyBorder="1" applyAlignment="1">
      <alignment vertical="center" wrapText="1"/>
    </xf>
    <xf numFmtId="0" fontId="21" fillId="2" borderId="2" xfId="0" applyFont="1" applyFill="1" applyBorder="1" applyAlignment="1">
      <alignment horizontal="center" vertical="center" wrapText="1"/>
    </xf>
    <xf numFmtId="0" fontId="21" fillId="2" borderId="2" xfId="0" applyFont="1" applyFill="1" applyBorder="1" applyAlignment="1">
      <alignment vertical="center" wrapText="1"/>
    </xf>
    <xf numFmtId="0" fontId="21" fillId="2" borderId="0" xfId="0" applyFont="1" applyFill="1" applyAlignment="1">
      <alignment vertical="center"/>
    </xf>
    <xf numFmtId="0" fontId="21" fillId="2" borderId="0" xfId="0" applyFont="1" applyFill="1"/>
    <xf numFmtId="0" fontId="32" fillId="2" borderId="2" xfId="0" applyFont="1" applyFill="1" applyBorder="1" applyAlignment="1">
      <alignment vertical="center" wrapText="1"/>
    </xf>
    <xf numFmtId="3" fontId="32" fillId="2" borderId="2" xfId="11" applyNumberFormat="1" applyFont="1" applyFill="1" applyBorder="1" applyAlignment="1">
      <alignment horizontal="left" wrapText="1"/>
    </xf>
    <xf numFmtId="3" fontId="12" fillId="0" borderId="1" xfId="0" applyNumberFormat="1" applyFont="1" applyFill="1" applyBorder="1" applyAlignment="1">
      <alignment horizontal="center" vertical="center"/>
    </xf>
    <xf numFmtId="3" fontId="12" fillId="4" borderId="1" xfId="0" applyNumberFormat="1" applyFont="1" applyFill="1" applyBorder="1" applyAlignment="1">
      <alignment horizontal="center" vertical="center" wrapText="1"/>
    </xf>
    <xf numFmtId="3" fontId="12" fillId="0" borderId="0" xfId="0" applyNumberFormat="1" applyFont="1" applyFill="1" applyAlignment="1">
      <alignment horizontal="center" vertical="center"/>
    </xf>
    <xf numFmtId="3" fontId="14" fillId="0" borderId="1" xfId="0" applyNumberFormat="1" applyFont="1" applyFill="1" applyBorder="1" applyAlignment="1">
      <alignment horizontal="center"/>
    </xf>
    <xf numFmtId="3" fontId="14" fillId="4" borderId="1" xfId="0" applyNumberFormat="1" applyFont="1" applyFill="1" applyBorder="1" applyAlignment="1">
      <alignment wrapText="1"/>
    </xf>
    <xf numFmtId="3" fontId="14" fillId="0" borderId="0" xfId="0" applyNumberFormat="1" applyFont="1" applyFill="1"/>
    <xf numFmtId="0" fontId="14" fillId="0" borderId="4" xfId="3" applyFont="1" applyFill="1" applyBorder="1" applyAlignment="1">
      <alignment horizontal="center" vertical="center"/>
    </xf>
    <xf numFmtId="0" fontId="14" fillId="0" borderId="4" xfId="3" applyNumberFormat="1" applyFont="1" applyFill="1" applyBorder="1" applyAlignment="1">
      <alignment horizontal="left" vertical="center"/>
    </xf>
    <xf numFmtId="3" fontId="14" fillId="0" borderId="4" xfId="0" applyNumberFormat="1" applyFont="1" applyFill="1" applyBorder="1" applyAlignment="1">
      <alignment wrapText="1"/>
    </xf>
    <xf numFmtId="3" fontId="14" fillId="4" borderId="4" xfId="0" applyNumberFormat="1" applyFont="1" applyFill="1" applyBorder="1" applyAlignment="1">
      <alignment wrapText="1"/>
    </xf>
    <xf numFmtId="0" fontId="57" fillId="0" borderId="2" xfId="3" applyFont="1" applyFill="1" applyBorder="1" applyAlignment="1">
      <alignment horizontal="center" vertical="center"/>
    </xf>
    <xf numFmtId="171" fontId="14" fillId="0" borderId="2" xfId="3" applyNumberFormat="1" applyFont="1" applyFill="1" applyBorder="1" applyAlignment="1">
      <alignment vertical="center"/>
    </xf>
    <xf numFmtId="3" fontId="14" fillId="0" borderId="2" xfId="0" applyNumberFormat="1" applyFont="1" applyFill="1" applyBorder="1" applyAlignment="1">
      <alignment wrapText="1"/>
    </xf>
    <xf numFmtId="3" fontId="14" fillId="4" borderId="2" xfId="0" applyNumberFormat="1" applyFont="1" applyFill="1" applyBorder="1" applyAlignment="1">
      <alignment wrapText="1"/>
    </xf>
    <xf numFmtId="0" fontId="58" fillId="0" borderId="2" xfId="3" applyFont="1" applyFill="1" applyBorder="1" applyAlignment="1">
      <alignment horizontal="center" vertical="center"/>
    </xf>
    <xf numFmtId="171" fontId="15" fillId="0" borderId="2" xfId="3" applyNumberFormat="1" applyFont="1" applyFill="1" applyBorder="1" applyAlignment="1">
      <alignment vertical="center"/>
    </xf>
    <xf numFmtId="3" fontId="15" fillId="0" borderId="2" xfId="0" applyNumberFormat="1" applyFont="1" applyFill="1" applyBorder="1" applyAlignment="1"/>
    <xf numFmtId="3" fontId="15" fillId="4" borderId="2" xfId="0" applyNumberFormat="1" applyFont="1" applyFill="1" applyBorder="1" applyAlignment="1">
      <alignment wrapText="1"/>
    </xf>
    <xf numFmtId="3" fontId="15" fillId="0" borderId="0" xfId="0" applyNumberFormat="1" applyFont="1" applyFill="1"/>
    <xf numFmtId="3" fontId="15" fillId="4" borderId="2" xfId="0" applyNumberFormat="1" applyFont="1" applyFill="1" applyBorder="1" applyAlignment="1"/>
    <xf numFmtId="49" fontId="15" fillId="0" borderId="2" xfId="3" applyNumberFormat="1" applyFont="1" applyFill="1" applyBorder="1" applyAlignment="1">
      <alignment vertical="center"/>
    </xf>
    <xf numFmtId="49" fontId="15" fillId="0" borderId="2" xfId="3" applyNumberFormat="1" applyFont="1" applyFill="1" applyBorder="1" applyAlignment="1">
      <alignment vertical="center" wrapText="1"/>
    </xf>
    <xf numFmtId="171" fontId="15" fillId="0" borderId="2" xfId="3" applyNumberFormat="1" applyFont="1" applyFill="1" applyBorder="1" applyAlignment="1">
      <alignment vertical="center" wrapText="1"/>
    </xf>
    <xf numFmtId="3" fontId="14" fillId="0" borderId="2" xfId="0" applyNumberFormat="1" applyFont="1" applyFill="1" applyBorder="1" applyAlignment="1"/>
    <xf numFmtId="171" fontId="14" fillId="0" borderId="2" xfId="3" applyNumberFormat="1" applyFont="1" applyFill="1" applyBorder="1" applyAlignment="1">
      <alignment vertical="center" wrapText="1"/>
    </xf>
    <xf numFmtId="3" fontId="14" fillId="4" borderId="2" xfId="0" applyNumberFormat="1" applyFont="1" applyFill="1" applyBorder="1" applyAlignment="1"/>
    <xf numFmtId="49" fontId="14" fillId="0" borderId="2" xfId="3" applyNumberFormat="1" applyFont="1" applyFill="1" applyBorder="1" applyAlignment="1">
      <alignment vertical="center"/>
    </xf>
    <xf numFmtId="0" fontId="19" fillId="0" borderId="2" xfId="3" applyFont="1" applyFill="1" applyBorder="1" applyAlignment="1">
      <alignment vertical="center"/>
    </xf>
    <xf numFmtId="49" fontId="32" fillId="0" borderId="2" xfId="3" applyNumberFormat="1" applyFont="1" applyFill="1" applyBorder="1" applyAlignment="1">
      <alignment vertical="center"/>
    </xf>
    <xf numFmtId="3" fontId="32" fillId="0" borderId="2" xfId="0" applyNumberFormat="1" applyFont="1" applyFill="1" applyBorder="1" applyAlignment="1"/>
    <xf numFmtId="3" fontId="32" fillId="4" borderId="2" xfId="0" applyNumberFormat="1" applyFont="1" applyFill="1" applyBorder="1" applyAlignment="1">
      <alignment wrapText="1"/>
    </xf>
    <xf numFmtId="3" fontId="32" fillId="4" borderId="2" xfId="0" applyNumberFormat="1" applyFont="1" applyFill="1" applyBorder="1" applyAlignment="1"/>
    <xf numFmtId="3" fontId="32" fillId="0" borderId="0" xfId="0" applyNumberFormat="1" applyFont="1" applyFill="1" applyAlignment="1"/>
    <xf numFmtId="3" fontId="14" fillId="0" borderId="2" xfId="0" applyNumberFormat="1" applyFont="1" applyFill="1" applyBorder="1" applyAlignment="1">
      <alignment horizontal="center"/>
    </xf>
    <xf numFmtId="3" fontId="14" fillId="0" borderId="2" xfId="0" applyNumberFormat="1" applyFont="1" applyFill="1" applyBorder="1"/>
    <xf numFmtId="3" fontId="15" fillId="0" borderId="2" xfId="0" applyNumberFormat="1" applyFont="1" applyFill="1" applyBorder="1" applyAlignment="1">
      <alignment horizontal="center" vertical="center"/>
    </xf>
    <xf numFmtId="3" fontId="15" fillId="0" borderId="2" xfId="3" applyNumberFormat="1" applyFont="1" applyFill="1" applyBorder="1" applyAlignment="1">
      <alignment vertical="center"/>
    </xf>
    <xf numFmtId="49" fontId="14" fillId="0" borderId="2" xfId="3" applyNumberFormat="1" applyFont="1" applyFill="1" applyBorder="1" applyAlignment="1">
      <alignment vertical="center" wrapText="1"/>
    </xf>
    <xf numFmtId="0" fontId="57" fillId="4" borderId="2" xfId="3" applyFont="1" applyFill="1" applyBorder="1" applyAlignment="1">
      <alignment horizontal="center" vertical="center"/>
    </xf>
    <xf numFmtId="49" fontId="14" fillId="4" borderId="2" xfId="3" applyNumberFormat="1" applyFont="1" applyFill="1" applyBorder="1" applyAlignment="1">
      <alignment vertical="center" wrapText="1"/>
    </xf>
    <xf numFmtId="3" fontId="14" fillId="4" borderId="0" xfId="0" applyNumberFormat="1" applyFont="1" applyFill="1"/>
    <xf numFmtId="0" fontId="14" fillId="0" borderId="2" xfId="3" applyFont="1" applyFill="1" applyBorder="1" applyAlignment="1">
      <alignment horizontal="center" vertical="center"/>
    </xf>
    <xf numFmtId="49" fontId="14" fillId="0" borderId="2" xfId="3" applyNumberFormat="1" applyFont="1" applyFill="1" applyBorder="1" applyAlignment="1">
      <alignment horizontal="left" vertical="center"/>
    </xf>
    <xf numFmtId="0" fontId="14" fillId="0" borderId="2" xfId="3" applyNumberFormat="1" applyFont="1" applyFill="1" applyBorder="1" applyAlignment="1">
      <alignment horizontal="left" vertical="center"/>
    </xf>
    <xf numFmtId="0" fontId="15" fillId="0" borderId="2" xfId="3" applyFont="1" applyFill="1" applyBorder="1" applyAlignment="1">
      <alignment horizontal="center" vertical="center"/>
    </xf>
    <xf numFmtId="0" fontId="15" fillId="0" borderId="2" xfId="3" applyNumberFormat="1" applyFont="1" applyFill="1" applyBorder="1" applyAlignment="1">
      <alignment horizontal="left" vertical="center"/>
    </xf>
    <xf numFmtId="0" fontId="15" fillId="0" borderId="2" xfId="3" applyNumberFormat="1" applyFont="1" applyFill="1" applyBorder="1" applyAlignment="1">
      <alignment horizontal="left" vertical="center" wrapText="1"/>
    </xf>
    <xf numFmtId="3" fontId="15" fillId="0" borderId="0" xfId="0" applyNumberFormat="1" applyFont="1" applyFill="1" applyAlignment="1">
      <alignment horizontal="center"/>
    </xf>
    <xf numFmtId="0" fontId="15" fillId="0" borderId="3" xfId="3" applyFont="1" applyFill="1" applyBorder="1" applyAlignment="1">
      <alignment horizontal="center" vertical="center"/>
    </xf>
    <xf numFmtId="0" fontId="15" fillId="0" borderId="3" xfId="3" applyNumberFormat="1" applyFont="1" applyFill="1" applyBorder="1" applyAlignment="1">
      <alignment horizontal="left" vertical="center"/>
    </xf>
    <xf numFmtId="3" fontId="15" fillId="0" borderId="3" xfId="0" applyNumberFormat="1" applyFont="1" applyFill="1" applyBorder="1" applyAlignment="1"/>
    <xf numFmtId="3" fontId="15" fillId="4" borderId="3" xfId="0" applyNumberFormat="1" applyFont="1" applyFill="1" applyBorder="1" applyAlignment="1"/>
    <xf numFmtId="3" fontId="15" fillId="4" borderId="0" xfId="0" applyNumberFormat="1" applyFont="1" applyFill="1"/>
    <xf numFmtId="3" fontId="15" fillId="4" borderId="0" xfId="0" applyNumberFormat="1" applyFont="1" applyFill="1" applyAlignment="1">
      <alignment horizontal="right"/>
    </xf>
    <xf numFmtId="3" fontId="12" fillId="6" borderId="1" xfId="0" applyNumberFormat="1" applyFont="1" applyFill="1" applyBorder="1" applyAlignment="1">
      <alignment horizontal="center" vertical="center" wrapText="1"/>
    </xf>
    <xf numFmtId="3" fontId="15" fillId="0" borderId="0" xfId="0" applyNumberFormat="1" applyFont="1" applyFill="1" applyAlignment="1">
      <alignment horizontal="right"/>
    </xf>
    <xf numFmtId="3" fontId="15" fillId="2" borderId="0" xfId="8" applyNumberFormat="1" applyFont="1" applyFill="1" applyProtection="1">
      <protection locked="0"/>
    </xf>
    <xf numFmtId="3" fontId="22" fillId="2" borderId="0" xfId="11" applyNumberFormat="1" applyFont="1" applyFill="1" applyBorder="1" applyAlignment="1" applyProtection="1">
      <alignment horizontal="left" wrapText="1"/>
      <protection locked="0"/>
    </xf>
    <xf numFmtId="3" fontId="15" fillId="2" borderId="0" xfId="8" applyNumberFormat="1" applyFont="1" applyFill="1" applyBorder="1" applyProtection="1">
      <protection locked="0"/>
    </xf>
    <xf numFmtId="3" fontId="17" fillId="2" borderId="10" xfId="8" applyNumberFormat="1" applyFont="1" applyFill="1" applyBorder="1" applyAlignment="1" applyProtection="1">
      <protection locked="0"/>
    </xf>
    <xf numFmtId="3" fontId="15" fillId="2" borderId="10" xfId="8" applyNumberFormat="1" applyFont="1" applyFill="1" applyBorder="1" applyAlignment="1" applyProtection="1">
      <protection locked="0"/>
    </xf>
    <xf numFmtId="3" fontId="14" fillId="2" borderId="1" xfId="8" applyNumberFormat="1" applyFont="1" applyFill="1" applyBorder="1" applyAlignment="1" applyProtection="1">
      <alignment horizontal="center" vertical="center" wrapText="1"/>
      <protection locked="0"/>
    </xf>
    <xf numFmtId="3" fontId="15" fillId="2" borderId="5" xfId="8" applyNumberFormat="1" applyFont="1" applyFill="1" applyBorder="1" applyAlignment="1" applyProtection="1">
      <alignment horizontal="center" vertical="center" wrapText="1"/>
      <protection locked="0"/>
    </xf>
    <xf numFmtId="3" fontId="15" fillId="2" borderId="5" xfId="8" applyNumberFormat="1" applyFont="1" applyFill="1" applyBorder="1" applyAlignment="1" applyProtection="1">
      <alignment horizontal="left" vertical="center" wrapText="1"/>
      <protection locked="0"/>
    </xf>
    <xf numFmtId="3" fontId="15" fillId="2" borderId="5" xfId="8" applyNumberFormat="1" applyFont="1" applyFill="1" applyBorder="1" applyAlignment="1" applyProtection="1">
      <alignment horizontal="center" vertical="center" wrapText="1"/>
      <protection hidden="1"/>
    </xf>
    <xf numFmtId="3" fontId="15" fillId="0" borderId="2" xfId="8" applyNumberFormat="1" applyFont="1" applyFill="1" applyBorder="1" applyAlignment="1" applyProtection="1">
      <alignment horizontal="center" vertical="top" wrapText="1"/>
      <protection locked="0"/>
    </xf>
    <xf numFmtId="3" fontId="15" fillId="0" borderId="2" xfId="8" applyNumberFormat="1" applyFont="1" applyFill="1" applyBorder="1" applyAlignment="1" applyProtection="1">
      <alignment horizontal="left" vertical="top" wrapText="1"/>
      <protection locked="0"/>
    </xf>
    <xf numFmtId="3" fontId="15" fillId="0" borderId="2" xfId="8" applyNumberFormat="1" applyFont="1" applyFill="1" applyBorder="1" applyAlignment="1" applyProtection="1">
      <alignment horizontal="right" vertical="center" wrapText="1"/>
      <protection hidden="1"/>
    </xf>
    <xf numFmtId="3" fontId="15" fillId="0" borderId="0" xfId="8" applyNumberFormat="1" applyFont="1" applyFill="1" applyProtection="1">
      <protection locked="0"/>
    </xf>
    <xf numFmtId="3" fontId="17" fillId="0" borderId="2" xfId="8" applyNumberFormat="1" applyFont="1" applyFill="1" applyBorder="1" applyAlignment="1" applyProtection="1">
      <alignment horizontal="left" vertical="top" wrapText="1"/>
      <protection locked="0"/>
    </xf>
    <xf numFmtId="3" fontId="15" fillId="0" borderId="2" xfId="8" applyNumberFormat="1" applyFont="1" applyFill="1" applyBorder="1" applyAlignment="1" applyProtection="1">
      <alignment horizontal="right" vertical="top" wrapText="1"/>
      <protection hidden="1"/>
    </xf>
    <xf numFmtId="3" fontId="22" fillId="0" borderId="2" xfId="8" applyNumberFormat="1" applyFont="1" applyFill="1" applyBorder="1" applyAlignment="1" applyProtection="1">
      <alignment horizontal="right" vertical="center" wrapText="1"/>
      <protection hidden="1"/>
    </xf>
    <xf numFmtId="3" fontId="15" fillId="0" borderId="2" xfId="8" applyNumberFormat="1" applyFont="1" applyFill="1" applyBorder="1" applyProtection="1">
      <protection locked="0"/>
    </xf>
    <xf numFmtId="3" fontId="17" fillId="0" borderId="2" xfId="8" applyNumberFormat="1" applyFont="1" applyFill="1" applyBorder="1" applyProtection="1">
      <protection locked="0"/>
    </xf>
    <xf numFmtId="3" fontId="22" fillId="0" borderId="2" xfId="8" applyNumberFormat="1" applyFont="1" applyFill="1" applyBorder="1" applyAlignment="1" applyProtection="1">
      <alignment horizontal="right" vertical="top" wrapText="1"/>
      <protection hidden="1"/>
    </xf>
    <xf numFmtId="3" fontId="15" fillId="0" borderId="3" xfId="8" applyNumberFormat="1" applyFont="1" applyFill="1" applyBorder="1" applyProtection="1">
      <protection locked="0"/>
    </xf>
    <xf numFmtId="3" fontId="15" fillId="0" borderId="3" xfId="8" applyNumberFormat="1" applyFont="1" applyFill="1" applyBorder="1" applyAlignment="1" applyProtection="1">
      <alignment horizontal="right" vertical="center" wrapText="1"/>
      <protection hidden="1"/>
    </xf>
    <xf numFmtId="3" fontId="15" fillId="0" borderId="3" xfId="8" applyNumberFormat="1" applyFont="1" applyFill="1" applyBorder="1" applyAlignment="1" applyProtection="1">
      <alignment horizontal="right" vertical="center"/>
      <protection hidden="1"/>
    </xf>
    <xf numFmtId="0" fontId="14" fillId="0" borderId="0" xfId="0" applyFont="1" applyBorder="1" applyAlignment="1">
      <alignment horizontal="center" vertical="center" wrapText="1"/>
    </xf>
    <xf numFmtId="0" fontId="14" fillId="0" borderId="0" xfId="0" applyFont="1" applyBorder="1" applyAlignment="1">
      <alignment vertical="center" wrapText="1"/>
    </xf>
    <xf numFmtId="3" fontId="15" fillId="6" borderId="0" xfId="0" applyNumberFormat="1" applyFont="1" applyFill="1"/>
    <xf numFmtId="0" fontId="1" fillId="0" borderId="2" xfId="0" applyFont="1" applyBorder="1" applyAlignment="1">
      <alignment vertical="center" wrapText="1"/>
    </xf>
    <xf numFmtId="3" fontId="59" fillId="2" borderId="0" xfId="0" applyNumberFormat="1" applyFont="1" applyFill="1"/>
    <xf numFmtId="0" fontId="61" fillId="2" borderId="0" xfId="0" applyFont="1" applyFill="1" applyAlignment="1"/>
    <xf numFmtId="3" fontId="62" fillId="2" borderId="0" xfId="0" applyNumberFormat="1" applyFont="1" applyFill="1"/>
    <xf numFmtId="3" fontId="63" fillId="2" borderId="0" xfId="0" applyNumberFormat="1" applyFont="1" applyFill="1"/>
    <xf numFmtId="3" fontId="5" fillId="2" borderId="0" xfId="0" applyNumberFormat="1" applyFont="1" applyFill="1"/>
    <xf numFmtId="3" fontId="6" fillId="2" borderId="0" xfId="0" applyNumberFormat="1" applyFont="1" applyFill="1"/>
    <xf numFmtId="3" fontId="5" fillId="2" borderId="1" xfId="0" applyNumberFormat="1" applyFont="1" applyFill="1" applyBorder="1" applyAlignment="1">
      <alignment horizontal="center" vertical="center" wrapText="1"/>
    </xf>
    <xf numFmtId="3" fontId="5" fillId="2" borderId="5" xfId="0" applyNumberFormat="1" applyFont="1" applyFill="1" applyBorder="1" applyAlignment="1">
      <alignment horizontal="left" vertical="center" wrapText="1"/>
    </xf>
    <xf numFmtId="3" fontId="5" fillId="2" borderId="5" xfId="2" applyNumberFormat="1" applyFont="1" applyFill="1" applyBorder="1"/>
    <xf numFmtId="3" fontId="6" fillId="2" borderId="2" xfId="0" applyNumberFormat="1" applyFont="1" applyFill="1" applyBorder="1" applyAlignment="1">
      <alignment vertical="center" wrapText="1"/>
    </xf>
    <xf numFmtId="3" fontId="6" fillId="2" borderId="2" xfId="2" applyNumberFormat="1" applyFont="1" applyFill="1" applyBorder="1"/>
    <xf numFmtId="3" fontId="5" fillId="2" borderId="2" xfId="0" applyNumberFormat="1" applyFont="1" applyFill="1" applyBorder="1" applyAlignment="1">
      <alignment vertical="center" wrapText="1"/>
    </xf>
    <xf numFmtId="3" fontId="5" fillId="2" borderId="2" xfId="2" applyNumberFormat="1" applyFont="1" applyFill="1" applyBorder="1"/>
    <xf numFmtId="3" fontId="64" fillId="2" borderId="2" xfId="2" applyNumberFormat="1" applyFont="1" applyFill="1" applyBorder="1"/>
    <xf numFmtId="3" fontId="5" fillId="2" borderId="2" xfId="2" applyNumberFormat="1" applyFont="1" applyFill="1" applyBorder="1" applyAlignment="1">
      <alignment horizontal="right"/>
    </xf>
    <xf numFmtId="3" fontId="61" fillId="2" borderId="2" xfId="0" applyNumberFormat="1" applyFont="1" applyFill="1" applyBorder="1" applyAlignment="1">
      <alignment vertical="center" wrapText="1"/>
    </xf>
    <xf numFmtId="3" fontId="61" fillId="2" borderId="2" xfId="2" applyNumberFormat="1" applyFont="1" applyFill="1" applyBorder="1"/>
    <xf numFmtId="3" fontId="65" fillId="2" borderId="0" xfId="0" applyNumberFormat="1" applyFont="1" applyFill="1"/>
    <xf numFmtId="3" fontId="66" fillId="2" borderId="2" xfId="2" applyNumberFormat="1" applyFont="1" applyFill="1" applyBorder="1"/>
    <xf numFmtId="3" fontId="6" fillId="2" borderId="9" xfId="0" applyNumberFormat="1" applyFont="1" applyFill="1" applyBorder="1" applyAlignment="1">
      <alignment vertical="center" wrapText="1"/>
    </xf>
    <xf numFmtId="3" fontId="6" fillId="2" borderId="9" xfId="2" applyNumberFormat="1" applyFont="1" applyFill="1" applyBorder="1"/>
    <xf numFmtId="3" fontId="5" fillId="2" borderId="2" xfId="2" applyNumberFormat="1" applyFont="1" applyFill="1" applyBorder="1" applyAlignment="1">
      <alignment horizontal="right" vertical="center"/>
    </xf>
    <xf numFmtId="0" fontId="6" fillId="2" borderId="3" xfId="16" applyFont="1" applyFill="1" applyBorder="1" applyAlignment="1">
      <alignment wrapText="1"/>
    </xf>
    <xf numFmtId="3" fontId="6" fillId="2" borderId="3" xfId="2" applyNumberFormat="1" applyFont="1" applyFill="1" applyBorder="1"/>
    <xf numFmtId="3" fontId="6" fillId="2" borderId="0" xfId="2" applyNumberFormat="1" applyFont="1" applyFill="1"/>
    <xf numFmtId="0" fontId="0" fillId="2" borderId="0" xfId="0" applyFill="1"/>
    <xf numFmtId="0" fontId="53" fillId="2" borderId="0" xfId="0" applyFont="1" applyFill="1"/>
    <xf numFmtId="0" fontId="54" fillId="2" borderId="0" xfId="0" applyFont="1" applyFill="1"/>
    <xf numFmtId="0" fontId="50" fillId="2" borderId="10" xfId="0" applyFont="1" applyFill="1" applyBorder="1" applyAlignment="1">
      <alignment vertical="center"/>
    </xf>
    <xf numFmtId="0" fontId="50" fillId="2" borderId="0" xfId="0" applyFont="1" applyFill="1" applyBorder="1" applyAlignment="1">
      <alignment vertical="center"/>
    </xf>
    <xf numFmtId="0" fontId="12" fillId="2" borderId="1" xfId="0" applyFont="1" applyFill="1" applyBorder="1" applyAlignment="1">
      <alignment horizontal="center" vertical="center" wrapText="1"/>
    </xf>
    <xf numFmtId="164" fontId="12" fillId="2" borderId="11" xfId="2" applyFont="1" applyFill="1" applyBorder="1" applyAlignment="1">
      <alignment vertical="center" wrapText="1"/>
    </xf>
    <xf numFmtId="164" fontId="12" fillId="2" borderId="11" xfId="2" applyFont="1" applyFill="1" applyBorder="1" applyAlignment="1">
      <alignment horizontal="center" vertical="center" wrapText="1"/>
    </xf>
    <xf numFmtId="0" fontId="12" fillId="2" borderId="0" xfId="0" applyFont="1" applyFill="1" applyBorder="1"/>
    <xf numFmtId="164" fontId="12" fillId="2" borderId="0" xfId="0" applyNumberFormat="1" applyFont="1" applyFill="1"/>
    <xf numFmtId="0" fontId="12" fillId="2" borderId="0" xfId="0" applyFont="1" applyFill="1"/>
    <xf numFmtId="0" fontId="12" fillId="2" borderId="7" xfId="0" applyFont="1" applyFill="1" applyBorder="1" applyAlignment="1">
      <alignment horizontal="center" vertical="center" wrapText="1"/>
    </xf>
    <xf numFmtId="0" fontId="55" fillId="2" borderId="5" xfId="0" applyFont="1" applyFill="1" applyBorder="1" applyAlignment="1">
      <alignment horizontal="center"/>
    </xf>
    <xf numFmtId="0" fontId="55" fillId="2" borderId="5" xfId="0" applyFont="1" applyFill="1" applyBorder="1" applyAlignment="1">
      <alignment horizontal="center" vertical="center" wrapText="1"/>
    </xf>
    <xf numFmtId="0" fontId="55" fillId="2" borderId="5" xfId="0" applyFont="1" applyFill="1" applyBorder="1" applyAlignment="1">
      <alignment vertical="center" wrapText="1"/>
    </xf>
    <xf numFmtId="0" fontId="55" fillId="2" borderId="0" xfId="0" applyFont="1" applyFill="1"/>
    <xf numFmtId="0" fontId="12" fillId="2" borderId="2" xfId="0" applyFont="1" applyFill="1" applyBorder="1" applyAlignment="1">
      <alignment horizontal="center" vertical="center"/>
    </xf>
    <xf numFmtId="0" fontId="12" fillId="2" borderId="2" xfId="0" applyFont="1" applyFill="1" applyBorder="1" applyAlignment="1">
      <alignment vertical="center" wrapText="1"/>
    </xf>
    <xf numFmtId="0" fontId="12" fillId="2" borderId="2" xfId="0" applyFont="1" applyFill="1" applyBorder="1" applyAlignment="1">
      <alignment horizontal="center" vertical="center" wrapText="1"/>
    </xf>
    <xf numFmtId="3" fontId="12" fillId="2" borderId="0" xfId="0" applyNumberFormat="1" applyFont="1" applyFill="1"/>
    <xf numFmtId="0" fontId="32" fillId="2" borderId="2" xfId="0" applyFont="1" applyFill="1" applyBorder="1" applyAlignment="1">
      <alignment horizontal="center" vertical="center"/>
    </xf>
    <xf numFmtId="0" fontId="32" fillId="2" borderId="2" xfId="0" applyFont="1" applyFill="1" applyBorder="1" applyAlignment="1">
      <alignment horizontal="center" vertical="center" wrapText="1"/>
    </xf>
    <xf numFmtId="0" fontId="32" fillId="2" borderId="0" xfId="0" applyFont="1" applyFill="1"/>
    <xf numFmtId="3" fontId="32" fillId="2" borderId="0" xfId="0" applyNumberFormat="1" applyFont="1" applyFill="1"/>
    <xf numFmtId="3" fontId="32" fillId="2" borderId="2" xfId="12" applyNumberFormat="1" applyFont="1" applyFill="1" applyBorder="1" applyAlignment="1">
      <alignment wrapText="1"/>
    </xf>
    <xf numFmtId="3" fontId="62" fillId="4" borderId="0" xfId="0" applyNumberFormat="1" applyFont="1" applyFill="1"/>
    <xf numFmtId="167" fontId="14" fillId="4" borderId="2" xfId="0" applyNumberFormat="1" applyFont="1" applyFill="1" applyBorder="1" applyAlignment="1"/>
    <xf numFmtId="167" fontId="14" fillId="0" borderId="0" xfId="0" applyNumberFormat="1" applyFont="1" applyFill="1"/>
    <xf numFmtId="167" fontId="14" fillId="0" borderId="1" xfId="0" applyNumberFormat="1" applyFont="1" applyFill="1" applyBorder="1" applyAlignment="1">
      <alignment wrapText="1"/>
    </xf>
    <xf numFmtId="167" fontId="14" fillId="0" borderId="2" xfId="0" applyNumberFormat="1" applyFont="1" applyFill="1" applyBorder="1" applyAlignment="1"/>
    <xf numFmtId="167" fontId="15" fillId="0" borderId="2" xfId="0" applyNumberFormat="1" applyFont="1" applyFill="1" applyBorder="1" applyAlignment="1"/>
    <xf numFmtId="0" fontId="32" fillId="2" borderId="3" xfId="0" applyFont="1" applyFill="1" applyBorder="1" applyAlignment="1">
      <alignment vertical="center" wrapText="1"/>
    </xf>
    <xf numFmtId="3" fontId="15" fillId="5" borderId="2" xfId="0" applyNumberFormat="1" applyFont="1" applyFill="1" applyBorder="1" applyAlignment="1"/>
    <xf numFmtId="3" fontId="14" fillId="5" borderId="0" xfId="0" applyNumberFormat="1" applyFont="1" applyFill="1"/>
    <xf numFmtId="166" fontId="2" fillId="0" borderId="2" xfId="1" applyNumberFormat="1" applyFont="1" applyBorder="1" applyAlignment="1">
      <alignment vertical="center" wrapText="1"/>
    </xf>
    <xf numFmtId="0" fontId="9" fillId="0" borderId="1" xfId="0" applyFont="1" applyBorder="1" applyAlignment="1">
      <alignment horizontal="center" vertical="center" wrapText="1"/>
    </xf>
    <xf numFmtId="3" fontId="5" fillId="2" borderId="13" xfId="0" applyNumberFormat="1" applyFont="1" applyFill="1" applyBorder="1" applyAlignment="1">
      <alignment vertical="center" wrapText="1"/>
    </xf>
    <xf numFmtId="3" fontId="24" fillId="2" borderId="2" xfId="0" applyNumberFormat="1" applyFont="1" applyFill="1" applyBorder="1" applyAlignment="1">
      <alignment vertical="center" wrapText="1"/>
    </xf>
    <xf numFmtId="3" fontId="1" fillId="0" borderId="4" xfId="0" applyNumberFormat="1" applyFont="1" applyBorder="1" applyAlignment="1">
      <alignment horizontal="right" vertical="center" wrapText="1"/>
    </xf>
    <xf numFmtId="0" fontId="48" fillId="0" borderId="0" xfId="0" applyFont="1" applyAlignment="1">
      <alignment horizontal="right" vertical="center"/>
    </xf>
    <xf numFmtId="0" fontId="9" fillId="0" borderId="4" xfId="0" applyFont="1" applyBorder="1" applyAlignment="1">
      <alignment horizontal="center" vertical="center" wrapText="1"/>
    </xf>
    <xf numFmtId="0" fontId="24" fillId="0" borderId="2" xfId="0" applyFont="1" applyBorder="1" applyAlignment="1">
      <alignment horizontal="center" vertical="center" wrapText="1"/>
    </xf>
    <xf numFmtId="3" fontId="9" fillId="0" borderId="2" xfId="0" applyNumberFormat="1" applyFont="1" applyBorder="1" applyAlignment="1">
      <alignment horizontal="right" vertical="center" wrapText="1"/>
    </xf>
    <xf numFmtId="0" fontId="24" fillId="0" borderId="2" xfId="0" applyFont="1" applyBorder="1" applyAlignment="1">
      <alignment vertical="center" wrapText="1"/>
    </xf>
    <xf numFmtId="3" fontId="24" fillId="0" borderId="2" xfId="0" applyNumberFormat="1" applyFont="1" applyBorder="1" applyAlignment="1">
      <alignment horizontal="right" vertical="center" wrapText="1"/>
    </xf>
    <xf numFmtId="3" fontId="24" fillId="0" borderId="2" xfId="0" applyNumberFormat="1" applyFont="1" applyBorder="1" applyAlignment="1">
      <alignment vertical="center" wrapText="1"/>
    </xf>
    <xf numFmtId="0" fontId="24" fillId="0" borderId="3" xfId="0" applyFont="1" applyBorder="1" applyAlignment="1">
      <alignment horizontal="center" vertical="center" wrapText="1"/>
    </xf>
    <xf numFmtId="0" fontId="24" fillId="0" borderId="3" xfId="0" applyFont="1" applyBorder="1" applyAlignment="1">
      <alignment vertical="center" wrapText="1"/>
    </xf>
    <xf numFmtId="0" fontId="24" fillId="0" borderId="0" xfId="0" applyFont="1" applyAlignment="1">
      <alignment horizontal="justify" vertical="center"/>
    </xf>
    <xf numFmtId="3" fontId="10" fillId="0" borderId="0" xfId="0" applyNumberFormat="1" applyFont="1"/>
    <xf numFmtId="3" fontId="14" fillId="0" borderId="0" xfId="0" applyNumberFormat="1" applyFont="1" applyFill="1" applyAlignment="1">
      <alignment horizontal="center"/>
    </xf>
    <xf numFmtId="3" fontId="32" fillId="0" borderId="0" xfId="0" applyNumberFormat="1" applyFont="1" applyFill="1" applyAlignment="1">
      <alignment horizontal="center"/>
    </xf>
    <xf numFmtId="3" fontId="14" fillId="4" borderId="0" xfId="0" applyNumberFormat="1" applyFont="1" applyFill="1" applyAlignment="1">
      <alignment horizontal="center"/>
    </xf>
    <xf numFmtId="3" fontId="41" fillId="0" borderId="0" xfId="0" applyNumberFormat="1" applyFont="1" applyFill="1"/>
    <xf numFmtId="37" fontId="32" fillId="2" borderId="2" xfId="2" applyNumberFormat="1" applyFont="1" applyFill="1" applyBorder="1"/>
    <xf numFmtId="0" fontId="32" fillId="2" borderId="3" xfId="0" applyFont="1" applyFill="1" applyBorder="1" applyAlignment="1">
      <alignment horizontal="center" vertical="center"/>
    </xf>
    <xf numFmtId="0" fontId="2" fillId="0" borderId="2" xfId="0" applyFont="1" applyBorder="1" applyAlignment="1">
      <alignment horizontal="center" vertical="center" wrapText="1"/>
    </xf>
    <xf numFmtId="0" fontId="1" fillId="0" borderId="2" xfId="0" applyFont="1" applyBorder="1" applyAlignment="1">
      <alignment vertical="center" wrapText="1"/>
    </xf>
    <xf numFmtId="0" fontId="10" fillId="2" borderId="0" xfId="0" applyFont="1" applyFill="1"/>
    <xf numFmtId="0" fontId="48" fillId="2" borderId="0" xfId="0" applyFont="1" applyFill="1" applyAlignment="1">
      <alignment horizontal="right" vertical="center"/>
    </xf>
    <xf numFmtId="166" fontId="10" fillId="2" borderId="0" xfId="0" applyNumberFormat="1" applyFont="1" applyFill="1"/>
    <xf numFmtId="0" fontId="49" fillId="2" borderId="0" xfId="0" applyFont="1" applyFill="1" applyAlignment="1">
      <alignment vertical="center"/>
    </xf>
    <xf numFmtId="166" fontId="1" fillId="0" borderId="2" xfId="1" applyNumberFormat="1" applyFont="1" applyBorder="1" applyAlignment="1">
      <alignment vertical="center" wrapText="1"/>
    </xf>
    <xf numFmtId="3" fontId="15" fillId="2" borderId="2" xfId="8" applyNumberFormat="1" applyFont="1" applyFill="1" applyBorder="1" applyAlignment="1" applyProtection="1">
      <alignment horizontal="center" vertical="top" wrapText="1"/>
      <protection locked="0"/>
    </xf>
    <xf numFmtId="3" fontId="15" fillId="2" borderId="2" xfId="8" applyNumberFormat="1" applyFont="1" applyFill="1" applyBorder="1" applyAlignment="1" applyProtection="1">
      <alignment horizontal="left" vertical="top" wrapText="1"/>
      <protection locked="0"/>
    </xf>
    <xf numFmtId="3" fontId="15" fillId="2" borderId="2" xfId="8" applyNumberFormat="1" applyFont="1" applyFill="1" applyBorder="1" applyAlignment="1" applyProtection="1">
      <alignment horizontal="right" vertical="center" wrapText="1"/>
      <protection hidden="1"/>
    </xf>
    <xf numFmtId="3" fontId="15" fillId="2" borderId="2" xfId="8" applyNumberFormat="1" applyFont="1" applyFill="1" applyBorder="1" applyAlignment="1" applyProtection="1">
      <alignment horizontal="right" vertical="center" wrapText="1"/>
      <protection locked="0"/>
    </xf>
    <xf numFmtId="0" fontId="21" fillId="2" borderId="2" xfId="0" applyFont="1" applyFill="1" applyBorder="1" applyAlignment="1">
      <alignment wrapText="1"/>
    </xf>
    <xf numFmtId="0" fontId="0" fillId="0" borderId="0" xfId="0" applyFill="1"/>
    <xf numFmtId="3" fontId="15" fillId="0" borderId="2" xfId="0" applyNumberFormat="1" applyFont="1" applyFill="1" applyBorder="1" applyAlignment="1">
      <alignment vertical="center" wrapText="1"/>
    </xf>
    <xf numFmtId="0" fontId="1" fillId="0" borderId="1" xfId="0" applyFont="1" applyBorder="1" applyAlignment="1">
      <alignment horizontal="center" vertical="center" wrapText="1"/>
    </xf>
    <xf numFmtId="3" fontId="15" fillId="0" borderId="0" xfId="0" applyNumberFormat="1" applyFont="1" applyFill="1" applyAlignment="1">
      <alignment vertical="center"/>
    </xf>
    <xf numFmtId="3" fontId="14" fillId="0" borderId="5" xfId="0" applyNumberFormat="1" applyFont="1" applyFill="1" applyBorder="1" applyAlignment="1">
      <alignment horizontal="center" vertical="center" wrapText="1"/>
    </xf>
    <xf numFmtId="3" fontId="14" fillId="0" borderId="2" xfId="0" applyNumberFormat="1" applyFont="1" applyFill="1" applyBorder="1" applyAlignment="1">
      <alignment horizontal="center" vertical="center" wrapText="1"/>
    </xf>
    <xf numFmtId="3" fontId="14" fillId="0" borderId="2" xfId="0" applyNumberFormat="1" applyFont="1" applyFill="1" applyBorder="1" applyAlignment="1">
      <alignment vertical="center" wrapText="1"/>
    </xf>
    <xf numFmtId="3" fontId="14" fillId="0" borderId="0" xfId="0" applyNumberFormat="1" applyFont="1" applyFill="1" applyAlignment="1">
      <alignment vertical="center"/>
    </xf>
    <xf numFmtId="3" fontId="15" fillId="0" borderId="2" xfId="0" applyNumberFormat="1" applyFont="1" applyFill="1" applyBorder="1" applyAlignment="1">
      <alignment horizontal="center" vertical="center" wrapText="1"/>
    </xf>
    <xf numFmtId="3" fontId="17" fillId="0" borderId="2" xfId="0" applyNumberFormat="1" applyFont="1" applyFill="1" applyBorder="1" applyAlignment="1">
      <alignment vertical="center" wrapText="1"/>
    </xf>
    <xf numFmtId="3" fontId="17" fillId="0" borderId="2" xfId="0" applyNumberFormat="1" applyFont="1" applyFill="1" applyBorder="1" applyAlignment="1">
      <alignment horizontal="center" vertical="center" wrapText="1"/>
    </xf>
    <xf numFmtId="3" fontId="17" fillId="0" borderId="0" xfId="0" applyNumberFormat="1" applyFont="1" applyFill="1" applyAlignment="1">
      <alignment vertical="center"/>
    </xf>
    <xf numFmtId="3" fontId="17" fillId="0" borderId="2" xfId="4" applyNumberFormat="1" applyFont="1" applyFill="1" applyBorder="1" applyAlignment="1">
      <alignment vertical="center" wrapText="1"/>
    </xf>
    <xf numFmtId="3" fontId="14" fillId="0" borderId="2" xfId="4" applyNumberFormat="1" applyFont="1" applyFill="1" applyBorder="1" applyAlignment="1">
      <alignment vertical="center" wrapText="1"/>
    </xf>
    <xf numFmtId="3" fontId="14" fillId="0" borderId="8" xfId="0" applyNumberFormat="1" applyFont="1" applyFill="1" applyBorder="1" applyAlignment="1">
      <alignment vertical="center" wrapText="1"/>
    </xf>
    <xf numFmtId="3" fontId="15" fillId="0" borderId="8" xfId="0" applyNumberFormat="1" applyFont="1" applyFill="1" applyBorder="1" applyAlignment="1">
      <alignment vertical="center" wrapText="1"/>
    </xf>
    <xf numFmtId="3" fontId="14" fillId="0" borderId="2" xfId="0" applyNumberFormat="1" applyFont="1" applyFill="1" applyBorder="1" applyAlignment="1">
      <alignment horizontal="left" vertical="center" wrapText="1"/>
    </xf>
    <xf numFmtId="0" fontId="6" fillId="0" borderId="0" xfId="0" applyFont="1" applyAlignment="1">
      <alignment vertical="center"/>
    </xf>
    <xf numFmtId="0" fontId="5" fillId="3" borderId="1"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5" xfId="0" applyFont="1" applyFill="1" applyBorder="1" applyAlignment="1">
      <alignment vertical="center" wrapText="1"/>
    </xf>
    <xf numFmtId="3" fontId="5" fillId="3" borderId="5" xfId="0" applyNumberFormat="1" applyFont="1" applyFill="1" applyBorder="1" applyAlignment="1">
      <alignment vertical="center" wrapText="1"/>
    </xf>
    <xf numFmtId="0" fontId="5" fillId="0" borderId="0" xfId="0" applyFont="1" applyAlignment="1">
      <alignment vertical="center"/>
    </xf>
    <xf numFmtId="0" fontId="6" fillId="3" borderId="2" xfId="0" applyFont="1" applyFill="1" applyBorder="1" applyAlignment="1">
      <alignment horizontal="center" vertical="center" wrapText="1"/>
    </xf>
    <xf numFmtId="0" fontId="6" fillId="3" borderId="2" xfId="0" applyFont="1" applyFill="1" applyBorder="1" applyAlignment="1">
      <alignment vertical="center" wrapText="1"/>
    </xf>
    <xf numFmtId="3" fontId="6" fillId="3" borderId="2" xfId="0" applyNumberFormat="1" applyFont="1" applyFill="1" applyBorder="1" applyAlignment="1">
      <alignment vertical="center" wrapText="1"/>
    </xf>
    <xf numFmtId="0" fontId="6" fillId="2" borderId="0" xfId="0" applyFont="1" applyFill="1" applyAlignment="1">
      <alignment vertical="center"/>
    </xf>
    <xf numFmtId="0" fontId="6" fillId="3" borderId="3" xfId="0" applyFont="1" applyFill="1" applyBorder="1" applyAlignment="1">
      <alignment horizontal="center" vertical="center" wrapText="1"/>
    </xf>
    <xf numFmtId="0" fontId="6" fillId="3" borderId="3" xfId="0" applyFont="1" applyFill="1" applyBorder="1" applyAlignment="1">
      <alignment vertical="center" wrapText="1"/>
    </xf>
    <xf numFmtId="3" fontId="6" fillId="3" borderId="3" xfId="0" applyNumberFormat="1" applyFont="1" applyFill="1" applyBorder="1" applyAlignment="1">
      <alignment vertical="center" wrapText="1"/>
    </xf>
    <xf numFmtId="0" fontId="74" fillId="0" borderId="0" xfId="0" applyFont="1" applyAlignment="1">
      <alignment vertical="center"/>
    </xf>
    <xf numFmtId="0" fontId="73" fillId="3" borderId="1" xfId="0" applyFont="1" applyFill="1" applyBorder="1" applyAlignment="1">
      <alignment horizontal="center" vertical="center" wrapText="1"/>
    </xf>
    <xf numFmtId="0" fontId="75" fillId="0" borderId="0" xfId="0" applyFont="1"/>
    <xf numFmtId="0" fontId="76" fillId="0" borderId="0" xfId="0" applyFont="1"/>
    <xf numFmtId="3" fontId="6" fillId="2" borderId="2" xfId="0" applyNumberFormat="1" applyFont="1" applyFill="1" applyBorder="1" applyAlignment="1">
      <alignment horizontal="left" vertical="center" wrapText="1"/>
    </xf>
    <xf numFmtId="3" fontId="39" fillId="2" borderId="4" xfId="0" applyNumberFormat="1" applyFont="1" applyFill="1" applyBorder="1" applyAlignment="1">
      <alignment horizontal="center" vertical="center"/>
    </xf>
    <xf numFmtId="3" fontId="39" fillId="2" borderId="4" xfId="0" applyNumberFormat="1" applyFont="1" applyFill="1" applyBorder="1" applyAlignment="1">
      <alignment horizontal="left" vertical="center"/>
    </xf>
    <xf numFmtId="3" fontId="40" fillId="2" borderId="2" xfId="0" applyNumberFormat="1" applyFont="1" applyFill="1" applyBorder="1" applyAlignment="1">
      <alignment horizontal="center" vertical="center"/>
    </xf>
    <xf numFmtId="3" fontId="40" fillId="2" borderId="2" xfId="0" applyNumberFormat="1" applyFont="1" applyFill="1" applyBorder="1" applyAlignment="1">
      <alignment vertical="center"/>
    </xf>
    <xf numFmtId="3" fontId="40" fillId="2" borderId="9" xfId="0" applyNumberFormat="1" applyFont="1" applyFill="1" applyBorder="1" applyAlignment="1">
      <alignment vertical="center" wrapText="1"/>
    </xf>
    <xf numFmtId="3" fontId="39" fillId="2" borderId="2" xfId="0" applyNumberFormat="1" applyFont="1" applyFill="1" applyBorder="1" applyAlignment="1">
      <alignment horizontal="center" vertical="center"/>
    </xf>
    <xf numFmtId="3" fontId="39" fillId="2" borderId="2" xfId="0" applyNumberFormat="1" applyFont="1" applyFill="1" applyBorder="1" applyAlignment="1">
      <alignment vertical="center" wrapText="1"/>
    </xf>
    <xf numFmtId="3" fontId="39" fillId="2" borderId="2" xfId="0" applyNumberFormat="1" applyFont="1" applyFill="1" applyBorder="1" applyAlignment="1">
      <alignment vertical="center"/>
    </xf>
    <xf numFmtId="3" fontId="39" fillId="2" borderId="2" xfId="0" applyNumberFormat="1" applyFont="1" applyFill="1" applyBorder="1" applyAlignment="1">
      <alignment horizontal="left" vertical="center" wrapText="1"/>
    </xf>
    <xf numFmtId="3" fontId="40" fillId="2" borderId="2" xfId="0" applyNumberFormat="1" applyFont="1" applyFill="1" applyBorder="1" applyAlignment="1">
      <alignment horizontal="center" vertical="center" wrapText="1"/>
    </xf>
    <xf numFmtId="3" fontId="40" fillId="2" borderId="2" xfId="0" applyNumberFormat="1" applyFont="1" applyFill="1" applyBorder="1" applyAlignment="1">
      <alignment vertical="center" wrapText="1"/>
    </xf>
    <xf numFmtId="3" fontId="39" fillId="2" borderId="9" xfId="0" applyNumberFormat="1" applyFont="1" applyFill="1" applyBorder="1" applyAlignment="1">
      <alignment horizontal="center" vertical="center"/>
    </xf>
    <xf numFmtId="3" fontId="39" fillId="2" borderId="9" xfId="0" applyNumberFormat="1" applyFont="1" applyFill="1" applyBorder="1" applyAlignment="1">
      <alignment vertical="center"/>
    </xf>
    <xf numFmtId="0" fontId="40" fillId="2" borderId="2" xfId="0" applyFont="1" applyFill="1" applyBorder="1" applyAlignment="1">
      <alignment vertical="center" wrapText="1"/>
    </xf>
    <xf numFmtId="3" fontId="40" fillId="2" borderId="2" xfId="0" applyNumberFormat="1" applyFont="1" applyFill="1" applyBorder="1"/>
    <xf numFmtId="3" fontId="80" fillId="0" borderId="0" xfId="0" applyNumberFormat="1" applyFont="1" applyFill="1"/>
    <xf numFmtId="3" fontId="79" fillId="0" borderId="11" xfId="0" applyNumberFormat="1" applyFont="1" applyFill="1" applyBorder="1" applyAlignment="1">
      <alignment vertical="center" wrapText="1"/>
    </xf>
    <xf numFmtId="3" fontId="80" fillId="0" borderId="2" xfId="0" applyNumberFormat="1" applyFont="1" applyFill="1" applyBorder="1" applyAlignment="1">
      <alignment horizontal="center" vertical="center" wrapText="1"/>
    </xf>
    <xf numFmtId="3" fontId="80" fillId="0" borderId="2" xfId="0" applyNumberFormat="1" applyFont="1" applyFill="1" applyBorder="1" applyAlignment="1">
      <alignment vertical="center" wrapText="1"/>
    </xf>
    <xf numFmtId="3" fontId="80" fillId="0" borderId="2" xfId="0" applyNumberFormat="1" applyFont="1" applyFill="1" applyBorder="1"/>
    <xf numFmtId="3" fontId="80" fillId="0" borderId="3" xfId="0" applyNumberFormat="1" applyFont="1" applyFill="1" applyBorder="1" applyAlignment="1">
      <alignment horizontal="center" vertical="center" wrapText="1"/>
    </xf>
    <xf numFmtId="3" fontId="80" fillId="0" borderId="3" xfId="0" applyNumberFormat="1" applyFont="1" applyFill="1" applyBorder="1" applyAlignment="1">
      <alignment vertical="center" wrapText="1"/>
    </xf>
    <xf numFmtId="3" fontId="80" fillId="0" borderId="3" xfId="0" applyNumberFormat="1" applyFont="1" applyFill="1" applyBorder="1"/>
    <xf numFmtId="0" fontId="23" fillId="0" borderId="5" xfId="0" applyFont="1" applyBorder="1" applyAlignment="1">
      <alignment horizontal="center" vertical="center" wrapText="1"/>
    </xf>
    <xf numFmtId="0" fontId="23" fillId="2" borderId="5" xfId="0" applyFont="1" applyFill="1" applyBorder="1" applyAlignment="1">
      <alignment horizontal="center" vertical="center" wrapText="1"/>
    </xf>
    <xf numFmtId="0" fontId="23" fillId="0" borderId="2" xfId="0" applyFont="1" applyBorder="1" applyAlignment="1">
      <alignment horizontal="center"/>
    </xf>
    <xf numFmtId="3" fontId="23" fillId="2" borderId="2" xfId="0" applyNumberFormat="1" applyFont="1" applyFill="1" applyBorder="1"/>
    <xf numFmtId="0" fontId="20" fillId="0" borderId="2" xfId="0" applyFont="1" applyBorder="1"/>
    <xf numFmtId="3" fontId="20" fillId="2" borderId="2" xfId="0" applyNumberFormat="1" applyFont="1" applyFill="1" applyBorder="1"/>
    <xf numFmtId="3" fontId="20" fillId="2" borderId="9" xfId="0" applyNumberFormat="1" applyFont="1" applyFill="1" applyBorder="1"/>
    <xf numFmtId="0" fontId="20" fillId="0" borderId="3" xfId="0" applyFont="1" applyBorder="1"/>
    <xf numFmtId="3" fontId="20" fillId="2" borderId="3" xfId="0" applyNumberFormat="1" applyFont="1" applyFill="1" applyBorder="1"/>
    <xf numFmtId="4" fontId="2" fillId="0" borderId="2" xfId="0" applyNumberFormat="1" applyFont="1" applyBorder="1" applyAlignment="1">
      <alignment vertical="center" wrapText="1"/>
    </xf>
    <xf numFmtId="0" fontId="21" fillId="0" borderId="0" xfId="0" applyFont="1" applyFill="1"/>
    <xf numFmtId="9" fontId="15" fillId="3" borderId="3" xfId="0" applyNumberFormat="1" applyFont="1" applyFill="1" applyBorder="1" applyAlignment="1">
      <alignment vertical="center" wrapText="1"/>
    </xf>
    <xf numFmtId="0" fontId="86" fillId="2" borderId="0" xfId="0" applyFont="1" applyFill="1"/>
    <xf numFmtId="0" fontId="85" fillId="2" borderId="4" xfId="0" applyFont="1" applyFill="1" applyBorder="1" applyAlignment="1">
      <alignment horizontal="center" vertical="center" wrapText="1"/>
    </xf>
    <xf numFmtId="166" fontId="87" fillId="2" borderId="4" xfId="1" applyNumberFormat="1" applyFont="1" applyFill="1" applyBorder="1"/>
    <xf numFmtId="37" fontId="87" fillId="2" borderId="4" xfId="1" applyNumberFormat="1" applyFont="1" applyFill="1" applyBorder="1"/>
    <xf numFmtId="0" fontId="87" fillId="2" borderId="0" xfId="0" applyFont="1" applyFill="1"/>
    <xf numFmtId="0" fontId="85" fillId="2" borderId="2" xfId="0" applyFont="1" applyFill="1" applyBorder="1" applyAlignment="1">
      <alignment horizontal="center" vertical="center" wrapText="1"/>
    </xf>
    <xf numFmtId="0" fontId="85" fillId="2" borderId="2" xfId="0" applyFont="1" applyFill="1" applyBorder="1" applyAlignment="1">
      <alignment vertical="center" wrapText="1"/>
    </xf>
    <xf numFmtId="166" fontId="87" fillId="2" borderId="2" xfId="1" applyNumberFormat="1" applyFont="1" applyFill="1" applyBorder="1"/>
    <xf numFmtId="37" fontId="87" fillId="2" borderId="2" xfId="1" applyNumberFormat="1" applyFont="1" applyFill="1" applyBorder="1"/>
    <xf numFmtId="166" fontId="87" fillId="2" borderId="0" xfId="0" applyNumberFormat="1" applyFont="1" applyFill="1"/>
    <xf numFmtId="0" fontId="88" fillId="2" borderId="2" xfId="0" applyFont="1" applyFill="1" applyBorder="1" applyAlignment="1">
      <alignment horizontal="center" vertical="center" wrapText="1"/>
    </xf>
    <xf numFmtId="0" fontId="74" fillId="2" borderId="2" xfId="14" applyNumberFormat="1" applyFont="1" applyFill="1" applyBorder="1" applyAlignment="1" applyProtection="1">
      <alignment horizontal="left"/>
    </xf>
    <xf numFmtId="166" fontId="88" fillId="2" borderId="2" xfId="1" applyNumberFormat="1" applyFont="1" applyFill="1" applyBorder="1" applyAlignment="1">
      <alignment horizontal="center" vertical="center" wrapText="1"/>
    </xf>
    <xf numFmtId="166" fontId="86" fillId="2" borderId="2" xfId="1" applyNumberFormat="1" applyFont="1" applyFill="1" applyBorder="1"/>
    <xf numFmtId="37" fontId="86" fillId="2" borderId="2" xfId="1" applyNumberFormat="1" applyFont="1" applyFill="1" applyBorder="1"/>
    <xf numFmtId="166" fontId="86" fillId="2" borderId="0" xfId="0" applyNumberFormat="1" applyFont="1" applyFill="1"/>
    <xf numFmtId="166" fontId="86" fillId="2" borderId="18" xfId="1" applyNumberFormat="1" applyFont="1" applyFill="1" applyBorder="1"/>
    <xf numFmtId="166" fontId="85" fillId="2" borderId="2" xfId="1" applyNumberFormat="1" applyFont="1" applyFill="1" applyBorder="1" applyAlignment="1">
      <alignment horizontal="center" vertical="center" wrapText="1"/>
    </xf>
    <xf numFmtId="0" fontId="89" fillId="2" borderId="2" xfId="0" applyFont="1" applyFill="1" applyBorder="1" applyAlignment="1">
      <alignment vertical="center" wrapText="1"/>
    </xf>
    <xf numFmtId="0" fontId="88" fillId="2" borderId="2" xfId="0" applyFont="1" applyFill="1" applyBorder="1" applyAlignment="1">
      <alignment vertical="center" wrapText="1"/>
    </xf>
    <xf numFmtId="0" fontId="85" fillId="2" borderId="3" xfId="0" applyFont="1" applyFill="1" applyBorder="1" applyAlignment="1">
      <alignment horizontal="center" vertical="center" wrapText="1"/>
    </xf>
    <xf numFmtId="0" fontId="85" fillId="2" borderId="3" xfId="0" applyFont="1" applyFill="1" applyBorder="1" applyAlignment="1">
      <alignment vertical="center" wrapText="1"/>
    </xf>
    <xf numFmtId="166" fontId="88" fillId="2" borderId="3" xfId="1" applyNumberFormat="1" applyFont="1" applyFill="1" applyBorder="1" applyAlignment="1">
      <alignment horizontal="center" vertical="center" wrapText="1"/>
    </xf>
    <xf numFmtId="166" fontId="86" fillId="2" borderId="3" xfId="1" applyNumberFormat="1" applyFont="1" applyFill="1" applyBorder="1"/>
    <xf numFmtId="3" fontId="15" fillId="0" borderId="2" xfId="8" applyNumberFormat="1" applyFont="1" applyFill="1" applyBorder="1" applyAlignment="1" applyProtection="1">
      <alignment horizontal="left" vertical="center" wrapText="1"/>
      <protection locked="0"/>
    </xf>
    <xf numFmtId="0" fontId="93" fillId="0" borderId="0" xfId="22" applyFont="1" applyFill="1" applyAlignment="1">
      <alignment vertical="center"/>
    </xf>
    <xf numFmtId="0" fontId="12" fillId="0" borderId="1" xfId="22" applyFont="1" applyFill="1" applyBorder="1" applyAlignment="1">
      <alignment horizontal="center" vertical="center" wrapText="1"/>
    </xf>
    <xf numFmtId="0" fontId="93" fillId="0" borderId="0" xfId="22" applyFont="1" applyFill="1" applyAlignment="1">
      <alignment vertical="center" wrapText="1"/>
    </xf>
    <xf numFmtId="0" fontId="32" fillId="0" borderId="2" xfId="22" applyFont="1" applyFill="1" applyBorder="1" applyAlignment="1">
      <alignment vertical="center" wrapText="1"/>
    </xf>
    <xf numFmtId="0" fontId="32" fillId="0" borderId="3" xfId="22" applyFont="1" applyFill="1" applyBorder="1" applyAlignment="1">
      <alignment vertical="center" wrapText="1"/>
    </xf>
    <xf numFmtId="0" fontId="32" fillId="0" borderId="0" xfId="22" applyFont="1" applyFill="1" applyAlignment="1">
      <alignment vertical="center"/>
    </xf>
    <xf numFmtId="0" fontId="32" fillId="0" borderId="9" xfId="22" applyFont="1" applyFill="1" applyBorder="1" applyAlignment="1">
      <alignment vertical="center" wrapText="1"/>
    </xf>
    <xf numFmtId="0" fontId="32" fillId="0" borderId="2" xfId="23" applyFont="1" applyFill="1" applyBorder="1" applyAlignment="1">
      <alignment vertical="center" wrapText="1"/>
    </xf>
    <xf numFmtId="0" fontId="32" fillId="0" borderId="3" xfId="23" applyFont="1" applyFill="1" applyBorder="1" applyAlignment="1">
      <alignment vertical="center" wrapText="1"/>
    </xf>
    <xf numFmtId="0" fontId="93" fillId="0" borderId="0" xfId="22" applyFont="1" applyFill="1" applyAlignment="1">
      <alignment horizontal="center" vertical="center"/>
    </xf>
    <xf numFmtId="0" fontId="32" fillId="0" borderId="2" xfId="23" applyFont="1" applyFill="1" applyBorder="1" applyAlignment="1">
      <alignment horizontal="center" vertical="center" wrapText="1"/>
    </xf>
    <xf numFmtId="0" fontId="32" fillId="0" borderId="9" xfId="23" applyFont="1" applyFill="1" applyBorder="1" applyAlignment="1">
      <alignment horizontal="center" vertical="center" wrapText="1"/>
    </xf>
    <xf numFmtId="0" fontId="32" fillId="0" borderId="3" xfId="23" applyFont="1" applyFill="1" applyBorder="1" applyAlignment="1">
      <alignment horizontal="center" vertical="center" wrapText="1"/>
    </xf>
    <xf numFmtId="0" fontId="17" fillId="0" borderId="0" xfId="0" applyFont="1" applyFill="1" applyAlignment="1">
      <alignment horizontal="right" vertical="center"/>
    </xf>
    <xf numFmtId="0" fontId="32" fillId="0" borderId="8" xfId="22" applyFont="1" applyFill="1" applyBorder="1" applyAlignment="1">
      <alignment vertical="center" wrapText="1"/>
    </xf>
    <xf numFmtId="0" fontId="21" fillId="0" borderId="0" xfId="0" applyFont="1"/>
    <xf numFmtId="49" fontId="17" fillId="0" borderId="0" xfId="0" applyNumberFormat="1" applyFont="1" applyAlignment="1">
      <alignment horizontal="center"/>
    </xf>
    <xf numFmtId="0" fontId="26" fillId="2" borderId="0" xfId="0" applyFont="1" applyFill="1"/>
    <xf numFmtId="0" fontId="14" fillId="2" borderId="2" xfId="0" applyFont="1" applyFill="1" applyBorder="1" applyAlignment="1">
      <alignment vertical="center" wrapText="1"/>
    </xf>
    <xf numFmtId="3" fontId="14" fillId="2" borderId="2" xfId="0" applyNumberFormat="1" applyFont="1" applyFill="1" applyBorder="1"/>
    <xf numFmtId="3" fontId="14" fillId="2" borderId="2" xfId="0" applyNumberFormat="1" applyFont="1" applyFill="1" applyBorder="1" applyAlignment="1">
      <alignment vertical="center" wrapText="1"/>
    </xf>
    <xf numFmtId="0" fontId="26" fillId="2" borderId="0" xfId="0" applyFont="1" applyFill="1" applyAlignment="1">
      <alignment vertical="center" wrapText="1"/>
    </xf>
    <xf numFmtId="49" fontId="15" fillId="2" borderId="2" xfId="0" applyNumberFormat="1" applyFont="1" applyFill="1" applyBorder="1" applyAlignment="1">
      <alignment horizontal="center"/>
    </xf>
    <xf numFmtId="0" fontId="15" fillId="2" borderId="2" xfId="0" applyFont="1" applyFill="1" applyBorder="1"/>
    <xf numFmtId="3" fontId="15" fillId="2" borderId="2" xfId="0" applyNumberFormat="1" applyFont="1" applyFill="1" applyBorder="1"/>
    <xf numFmtId="0" fontId="15" fillId="2" borderId="2" xfId="0" applyFont="1" applyFill="1" applyBorder="1" applyAlignment="1">
      <alignment horizontal="left" vertical="center" wrapText="1"/>
    </xf>
    <xf numFmtId="49" fontId="14" fillId="2" borderId="2" xfId="0" applyNumberFormat="1" applyFont="1" applyFill="1" applyBorder="1" applyAlignment="1">
      <alignment horizontal="center"/>
    </xf>
    <xf numFmtId="0" fontId="14" fillId="2" borderId="2" xfId="0" applyFont="1" applyFill="1" applyBorder="1"/>
    <xf numFmtId="0" fontId="15" fillId="2" borderId="2" xfId="0" applyFont="1" applyFill="1" applyBorder="1" applyAlignment="1">
      <alignment wrapText="1"/>
    </xf>
    <xf numFmtId="3" fontId="15" fillId="2" borderId="2" xfId="0" applyNumberFormat="1" applyFont="1" applyFill="1" applyBorder="1" applyAlignment="1">
      <alignment wrapText="1"/>
    </xf>
    <xf numFmtId="0" fontId="14" fillId="2" borderId="2" xfId="0" applyFont="1" applyFill="1" applyBorder="1" applyAlignment="1">
      <alignment horizontal="center" vertical="center" wrapText="1"/>
    </xf>
    <xf numFmtId="0" fontId="15" fillId="2" borderId="2" xfId="0" applyFont="1" applyFill="1" applyBorder="1" applyAlignment="1">
      <alignment vertical="center" wrapText="1"/>
    </xf>
    <xf numFmtId="0" fontId="14" fillId="2" borderId="2" xfId="0" applyFont="1" applyFill="1" applyBorder="1" applyAlignment="1">
      <alignment horizontal="left" vertical="center" wrapText="1"/>
    </xf>
    <xf numFmtId="0" fontId="14" fillId="2" borderId="9" xfId="0" applyFont="1" applyFill="1" applyBorder="1"/>
    <xf numFmtId="3" fontId="14" fillId="2" borderId="9" xfId="0" applyNumberFormat="1" applyFont="1" applyFill="1" applyBorder="1"/>
    <xf numFmtId="49" fontId="15" fillId="0" borderId="0" xfId="0" applyNumberFormat="1" applyFont="1" applyAlignment="1">
      <alignment horizontal="center"/>
    </xf>
    <xf numFmtId="0" fontId="15" fillId="0" borderId="0" xfId="0" applyFont="1"/>
    <xf numFmtId="49" fontId="21" fillId="0" borderId="0" xfId="0" applyNumberFormat="1" applyFont="1" applyAlignment="1">
      <alignment horizontal="center"/>
    </xf>
    <xf numFmtId="0" fontId="60" fillId="0" borderId="0" xfId="0" applyFont="1" applyAlignment="1">
      <alignment horizontal="center"/>
    </xf>
    <xf numFmtId="49" fontId="14" fillId="2" borderId="4" xfId="0" applyNumberFormat="1" applyFont="1" applyFill="1" applyBorder="1" applyAlignment="1">
      <alignment horizontal="center"/>
    </xf>
    <xf numFmtId="0" fontId="14" fillId="2" borderId="4" xfId="0" applyFont="1" applyFill="1" applyBorder="1" applyAlignment="1">
      <alignment horizontal="left"/>
    </xf>
    <xf numFmtId="3" fontId="14" fillId="2" borderId="4" xfId="0" applyNumberFormat="1" applyFont="1" applyFill="1" applyBorder="1"/>
    <xf numFmtId="3" fontId="14" fillId="0" borderId="5" xfId="0" applyNumberFormat="1" applyFont="1" applyBorder="1" applyAlignment="1">
      <alignment horizontal="right" vertical="center" wrapText="1"/>
    </xf>
    <xf numFmtId="0" fontId="1" fillId="0" borderId="1" xfId="0" applyFont="1" applyBorder="1" applyAlignment="1">
      <alignment horizontal="center" vertical="center" wrapText="1"/>
    </xf>
    <xf numFmtId="0" fontId="2" fillId="0" borderId="5" xfId="0" applyFont="1" applyBorder="1" applyAlignment="1">
      <alignment horizontal="center" vertical="center" wrapText="1"/>
    </xf>
    <xf numFmtId="3" fontId="2" fillId="0" borderId="2" xfId="0" applyNumberFormat="1" applyFont="1" applyBorder="1" applyAlignment="1">
      <alignment horizontal="center" vertical="center" wrapText="1"/>
    </xf>
    <xf numFmtId="3" fontId="2" fillId="0" borderId="3" xfId="0" applyNumberFormat="1" applyFont="1" applyBorder="1" applyAlignment="1">
      <alignment horizontal="right" vertical="center" wrapText="1"/>
    </xf>
    <xf numFmtId="3" fontId="2" fillId="0" borderId="3" xfId="0" applyNumberFormat="1" applyFont="1" applyBorder="1" applyAlignment="1">
      <alignment horizontal="center" vertical="center" wrapText="1"/>
    </xf>
    <xf numFmtId="3" fontId="1" fillId="0" borderId="5" xfId="0" applyNumberFormat="1" applyFont="1" applyBorder="1" applyAlignment="1">
      <alignment horizontal="right" vertical="center" wrapText="1"/>
    </xf>
    <xf numFmtId="3" fontId="1" fillId="0" borderId="5" xfId="0" applyNumberFormat="1" applyFont="1" applyBorder="1" applyAlignment="1">
      <alignment horizontal="center" vertical="center" wrapText="1"/>
    </xf>
    <xf numFmtId="3" fontId="14" fillId="7" borderId="0" xfId="0" applyNumberFormat="1" applyFont="1" applyFill="1" applyAlignment="1">
      <alignment horizontal="center"/>
    </xf>
    <xf numFmtId="3" fontId="15" fillId="7" borderId="0" xfId="0" applyNumberFormat="1" applyFont="1" applyFill="1" applyAlignment="1">
      <alignment horizontal="center"/>
    </xf>
    <xf numFmtId="3" fontId="32" fillId="7" borderId="0" xfId="0" applyNumberFormat="1" applyFont="1" applyFill="1" applyAlignment="1">
      <alignment horizontal="center"/>
    </xf>
    <xf numFmtId="3" fontId="14" fillId="8" borderId="2" xfId="0" applyNumberFormat="1" applyFont="1" applyFill="1" applyBorder="1" applyAlignment="1"/>
    <xf numFmtId="3" fontId="12" fillId="0" borderId="0" xfId="0" applyNumberFormat="1" applyFont="1" applyFill="1" applyAlignment="1">
      <alignment horizontal="right" vertical="center"/>
    </xf>
    <xf numFmtId="3" fontId="14" fillId="4" borderId="0" xfId="8" applyNumberFormat="1" applyFont="1" applyFill="1" applyProtection="1">
      <protection locked="0"/>
    </xf>
    <xf numFmtId="3" fontId="21" fillId="2" borderId="2" xfId="0" applyNumberFormat="1" applyFont="1" applyFill="1" applyBorder="1"/>
    <xf numFmtId="49" fontId="6" fillId="2" borderId="2" xfId="0" applyNumberFormat="1" applyFont="1" applyFill="1" applyBorder="1" applyAlignment="1">
      <alignment horizontal="center"/>
    </xf>
    <xf numFmtId="3" fontId="26" fillId="2" borderId="2" xfId="0" applyNumberFormat="1" applyFont="1" applyFill="1" applyBorder="1" applyAlignment="1">
      <alignment horizontal="center"/>
    </xf>
    <xf numFmtId="3" fontId="26" fillId="2" borderId="2" xfId="0" applyNumberFormat="1" applyFont="1" applyFill="1" applyBorder="1" applyAlignment="1">
      <alignment horizontal="left" wrapText="1"/>
    </xf>
    <xf numFmtId="3" fontId="9" fillId="2" borderId="2" xfId="0" applyNumberFormat="1" applyFont="1" applyFill="1" applyBorder="1" applyAlignment="1">
      <alignment vertical="center" wrapText="1"/>
    </xf>
    <xf numFmtId="3" fontId="21" fillId="2" borderId="0" xfId="0" applyNumberFormat="1" applyFont="1" applyFill="1"/>
    <xf numFmtId="49" fontId="6" fillId="2" borderId="9" xfId="0" applyNumberFormat="1" applyFont="1" applyFill="1" applyBorder="1" applyAlignment="1">
      <alignment horizontal="center"/>
    </xf>
    <xf numFmtId="3" fontId="26" fillId="2" borderId="2" xfId="0" applyNumberFormat="1" applyFont="1" applyFill="1" applyBorder="1" applyAlignment="1">
      <alignment wrapText="1"/>
    </xf>
    <xf numFmtId="3" fontId="26" fillId="2" borderId="2" xfId="0" applyNumberFormat="1" applyFont="1" applyFill="1" applyBorder="1"/>
    <xf numFmtId="3" fontId="26" fillId="2" borderId="2" xfId="0" applyNumberFormat="1" applyFont="1" applyFill="1" applyBorder="1" applyAlignment="1">
      <alignment horizontal="left" vertical="center" wrapText="1"/>
    </xf>
    <xf numFmtId="3" fontId="21" fillId="2" borderId="2" xfId="0" applyNumberFormat="1" applyFont="1" applyFill="1" applyBorder="1" applyAlignment="1">
      <alignment horizontal="center" vertical="center" wrapText="1"/>
    </xf>
    <xf numFmtId="0" fontId="9" fillId="0" borderId="2" xfId="0" applyFont="1" applyBorder="1" applyAlignment="1">
      <alignment horizontal="center" vertical="center" wrapText="1"/>
    </xf>
    <xf numFmtId="3" fontId="15" fillId="2" borderId="2" xfId="0" applyNumberFormat="1" applyFont="1" applyFill="1" applyBorder="1" applyAlignment="1">
      <alignment horizontal="justify" vertical="center"/>
    </xf>
    <xf numFmtId="3" fontId="32" fillId="2" borderId="2" xfId="0" applyNumberFormat="1" applyFont="1" applyFill="1" applyBorder="1" applyAlignment="1">
      <alignment vertical="center" wrapText="1"/>
    </xf>
    <xf numFmtId="3" fontId="17" fillId="0" borderId="2" xfId="0" applyNumberFormat="1" applyFont="1" applyFill="1" applyBorder="1" applyAlignment="1">
      <alignment horizontal="justify" vertical="center"/>
    </xf>
    <xf numFmtId="3" fontId="26" fillId="2" borderId="0" xfId="0" applyNumberFormat="1" applyFont="1" applyFill="1"/>
    <xf numFmtId="0" fontId="17" fillId="3" borderId="2" xfId="0" applyFont="1" applyFill="1" applyBorder="1" applyAlignment="1">
      <alignment horizontal="center" vertical="center" wrapText="1"/>
    </xf>
    <xf numFmtId="0" fontId="17" fillId="3" borderId="2" xfId="0" applyFont="1" applyFill="1" applyBorder="1" applyAlignment="1">
      <alignment vertical="center" wrapText="1"/>
    </xf>
    <xf numFmtId="3" fontId="15" fillId="5" borderId="2" xfId="0" applyNumberFormat="1" applyFont="1" applyFill="1" applyBorder="1" applyAlignment="1">
      <alignment horizontal="right" vertical="center" wrapText="1"/>
    </xf>
    <xf numFmtId="0" fontId="18" fillId="0" borderId="0" xfId="0" applyFont="1" applyAlignment="1"/>
    <xf numFmtId="0" fontId="40" fillId="2" borderId="0" xfId="0" applyFont="1" applyFill="1"/>
    <xf numFmtId="0" fontId="40" fillId="2" borderId="0" xfId="0" applyFont="1" applyFill="1" applyAlignment="1">
      <alignment horizontal="center"/>
    </xf>
    <xf numFmtId="0" fontId="97" fillId="2" borderId="0" xfId="0" applyFont="1" applyFill="1" applyAlignment="1">
      <alignment horizontal="right" vertical="center"/>
    </xf>
    <xf numFmtId="0" fontId="39" fillId="2" borderId="5" xfId="0" applyFont="1" applyFill="1" applyBorder="1" applyAlignment="1">
      <alignment horizontal="center" vertical="center" wrapText="1"/>
    </xf>
    <xf numFmtId="0" fontId="98" fillId="2" borderId="5" xfId="0" applyFont="1" applyFill="1" applyBorder="1" applyAlignment="1">
      <alignment horizontal="center" vertical="center" wrapText="1"/>
    </xf>
    <xf numFmtId="166" fontId="39" fillId="2" borderId="5" xfId="1" applyNumberFormat="1" applyFont="1" applyFill="1" applyBorder="1" applyAlignment="1">
      <alignment vertical="center"/>
    </xf>
    <xf numFmtId="166" fontId="39" fillId="2" borderId="0" xfId="0" applyNumberFormat="1" applyFont="1" applyFill="1"/>
    <xf numFmtId="0" fontId="39" fillId="2" borderId="0" xfId="0" applyFont="1" applyFill="1"/>
    <xf numFmtId="0" fontId="39" fillId="2" borderId="2" xfId="0" applyFont="1" applyFill="1" applyBorder="1" applyAlignment="1">
      <alignment horizontal="center" vertical="center"/>
    </xf>
    <xf numFmtId="0" fontId="39" fillId="2" borderId="2" xfId="0" applyFont="1" applyFill="1" applyBorder="1" applyAlignment="1">
      <alignment vertical="center"/>
    </xf>
    <xf numFmtId="166" fontId="39" fillId="2" borderId="2" xfId="1" applyNumberFormat="1" applyFont="1" applyFill="1" applyBorder="1" applyAlignment="1">
      <alignment vertical="center"/>
    </xf>
    <xf numFmtId="0" fontId="40" fillId="2" borderId="2" xfId="0" applyFont="1" applyFill="1" applyBorder="1" applyAlignment="1">
      <alignment horizontal="center" vertical="center"/>
    </xf>
    <xf numFmtId="0" fontId="40" fillId="2" borderId="2" xfId="0" applyFont="1" applyFill="1" applyBorder="1" applyAlignment="1">
      <alignment vertical="center"/>
    </xf>
    <xf numFmtId="166" fontId="40" fillId="2" borderId="2" xfId="1" applyNumberFormat="1" applyFont="1" applyFill="1" applyBorder="1" applyAlignment="1">
      <alignment vertical="center"/>
    </xf>
    <xf numFmtId="0" fontId="39" fillId="2" borderId="2" xfId="0" applyFont="1" applyFill="1" applyBorder="1" applyAlignment="1">
      <alignment horizontal="left" vertical="center" wrapText="1"/>
    </xf>
    <xf numFmtId="0" fontId="39" fillId="2" borderId="0" xfId="0" applyFont="1" applyFill="1" applyAlignment="1">
      <alignment horizontal="center" vertical="center"/>
    </xf>
    <xf numFmtId="0" fontId="37" fillId="2" borderId="0" xfId="0" applyFont="1" applyFill="1" applyAlignment="1">
      <alignment wrapText="1"/>
    </xf>
    <xf numFmtId="3" fontId="37" fillId="2" borderId="0" xfId="0" applyNumberFormat="1" applyFont="1" applyFill="1" applyAlignment="1">
      <alignment wrapText="1"/>
    </xf>
    <xf numFmtId="0" fontId="96" fillId="2" borderId="0" xfId="0" applyFont="1" applyFill="1"/>
    <xf numFmtId="0" fontId="37" fillId="2" borderId="0" xfId="0" applyFont="1" applyFill="1"/>
    <xf numFmtId="3" fontId="100" fillId="2" borderId="0" xfId="0" applyNumberFormat="1" applyFont="1" applyFill="1" applyAlignment="1">
      <alignment horizontal="center" vertical="center"/>
    </xf>
    <xf numFmtId="3" fontId="100" fillId="2" borderId="0" xfId="0" applyNumberFormat="1" applyFont="1" applyFill="1" applyBorder="1" applyAlignment="1">
      <alignment horizontal="center" vertical="center"/>
    </xf>
    <xf numFmtId="3" fontId="39" fillId="2" borderId="1" xfId="0" applyNumberFormat="1" applyFont="1" applyFill="1" applyBorder="1" applyAlignment="1">
      <alignment horizontal="center" vertical="center" wrapText="1"/>
    </xf>
    <xf numFmtId="3" fontId="38" fillId="2" borderId="4" xfId="0" applyNumberFormat="1" applyFont="1" applyFill="1" applyBorder="1" applyAlignment="1">
      <alignment horizontal="center" vertical="center" wrapText="1"/>
    </xf>
    <xf numFmtId="3" fontId="39" fillId="2" borderId="4" xfId="0" applyNumberFormat="1" applyFont="1" applyFill="1" applyBorder="1" applyAlignment="1">
      <alignment horizontal="center" vertical="center" wrapText="1"/>
    </xf>
    <xf numFmtId="0" fontId="104" fillId="2" borderId="0" xfId="0" applyFont="1" applyFill="1" applyAlignment="1">
      <alignment wrapText="1"/>
    </xf>
    <xf numFmtId="3" fontId="104" fillId="2" borderId="0" xfId="0" applyNumberFormat="1" applyFont="1" applyFill="1" applyAlignment="1">
      <alignment wrapText="1"/>
    </xf>
    <xf numFmtId="0" fontId="105" fillId="2" borderId="0" xfId="0" applyFont="1" applyFill="1"/>
    <xf numFmtId="0" fontId="104" fillId="2" borderId="0" xfId="0" applyFont="1" applyFill="1"/>
    <xf numFmtId="3" fontId="38" fillId="2" borderId="4" xfId="0" applyNumberFormat="1" applyFont="1" applyFill="1" applyBorder="1" applyAlignment="1">
      <alignment vertical="center" wrapText="1"/>
    </xf>
    <xf numFmtId="165" fontId="38" fillId="2" borderId="4" xfId="1" applyFont="1" applyFill="1" applyBorder="1" applyAlignment="1">
      <alignment vertical="center" wrapText="1"/>
    </xf>
    <xf numFmtId="167" fontId="38" fillId="2" borderId="4" xfId="0" applyNumberFormat="1" applyFont="1" applyFill="1" applyBorder="1" applyAlignment="1">
      <alignment vertical="center" wrapText="1"/>
    </xf>
    <xf numFmtId="3" fontId="38" fillId="2" borderId="2" xfId="0" applyNumberFormat="1" applyFont="1" applyFill="1" applyBorder="1" applyAlignment="1">
      <alignment vertical="center" wrapText="1"/>
    </xf>
    <xf numFmtId="3" fontId="38" fillId="2" borderId="2" xfId="0" applyNumberFormat="1" applyFont="1" applyFill="1" applyBorder="1" applyAlignment="1">
      <alignment horizontal="center" vertical="center" wrapText="1"/>
    </xf>
    <xf numFmtId="165" fontId="38" fillId="2" borderId="2" xfId="1" applyFont="1" applyFill="1" applyBorder="1" applyAlignment="1">
      <alignment vertical="center" wrapText="1"/>
    </xf>
    <xf numFmtId="167" fontId="38" fillId="2" borderId="2" xfId="0" applyNumberFormat="1" applyFont="1" applyFill="1" applyBorder="1" applyAlignment="1">
      <alignment vertical="center" wrapText="1"/>
    </xf>
    <xf numFmtId="3" fontId="42" fillId="2" borderId="2" xfId="0" applyNumberFormat="1" applyFont="1" applyFill="1" applyBorder="1" applyAlignment="1">
      <alignment vertical="center" wrapText="1"/>
    </xf>
    <xf numFmtId="3" fontId="106" fillId="2" borderId="2" xfId="0" applyNumberFormat="1" applyFont="1" applyFill="1" applyBorder="1" applyAlignment="1">
      <alignment horizontal="center" vertical="center" wrapText="1"/>
    </xf>
    <xf numFmtId="3" fontId="106" fillId="2" borderId="2" xfId="0" applyNumberFormat="1" applyFont="1" applyFill="1" applyBorder="1" applyAlignment="1">
      <alignment vertical="center" wrapText="1"/>
    </xf>
    <xf numFmtId="3" fontId="100" fillId="2" borderId="2" xfId="0" applyNumberFormat="1" applyFont="1" applyFill="1" applyBorder="1" applyAlignment="1">
      <alignment vertical="center" wrapText="1"/>
    </xf>
    <xf numFmtId="3" fontId="78" fillId="2" borderId="2" xfId="0" applyNumberFormat="1" applyFont="1" applyFill="1" applyBorder="1" applyAlignment="1">
      <alignment vertical="center" wrapText="1"/>
    </xf>
    <xf numFmtId="0" fontId="107" fillId="2" borderId="0" xfId="0" applyFont="1" applyFill="1" applyAlignment="1">
      <alignment wrapText="1"/>
    </xf>
    <xf numFmtId="3" fontId="107" fillId="2" borderId="0" xfId="0" applyNumberFormat="1" applyFont="1" applyFill="1" applyAlignment="1">
      <alignment wrapText="1"/>
    </xf>
    <xf numFmtId="0" fontId="108" fillId="2" borderId="0" xfId="0" applyFont="1" applyFill="1"/>
    <xf numFmtId="0" fontId="107" fillId="2" borderId="0" xfId="0" applyFont="1" applyFill="1"/>
    <xf numFmtId="3" fontId="42" fillId="2" borderId="2" xfId="0" applyNumberFormat="1" applyFont="1" applyFill="1" applyBorder="1" applyAlignment="1">
      <alignment horizontal="center" vertical="center" wrapText="1"/>
    </xf>
    <xf numFmtId="165" fontId="42" fillId="2" borderId="2" xfId="1" applyFont="1" applyFill="1" applyBorder="1" applyAlignment="1">
      <alignment vertical="center" wrapText="1"/>
    </xf>
    <xf numFmtId="167" fontId="42" fillId="2" borderId="2" xfId="0" applyNumberFormat="1" applyFont="1" applyFill="1" applyBorder="1" applyAlignment="1">
      <alignment vertical="center" wrapText="1"/>
    </xf>
    <xf numFmtId="3" fontId="109" fillId="2" borderId="2" xfId="0" applyNumberFormat="1" applyFont="1" applyFill="1" applyBorder="1" applyAlignment="1">
      <alignment vertical="center" wrapText="1"/>
    </xf>
    <xf numFmtId="0" fontId="96" fillId="2" borderId="5" xfId="4" applyFont="1" applyFill="1" applyBorder="1" applyAlignment="1">
      <alignment vertical="center" wrapText="1"/>
    </xf>
    <xf numFmtId="0" fontId="96" fillId="2" borderId="3" xfId="4" applyFont="1" applyFill="1" applyBorder="1" applyAlignment="1">
      <alignment vertical="center" wrapText="1"/>
    </xf>
    <xf numFmtId="3" fontId="109" fillId="2" borderId="2" xfId="0" applyNumberFormat="1" applyFont="1" applyFill="1" applyBorder="1" applyAlignment="1">
      <alignment wrapText="1"/>
    </xf>
    <xf numFmtId="3" fontId="40" fillId="2" borderId="2" xfId="0" applyNumberFormat="1" applyFont="1" applyFill="1" applyBorder="1" applyAlignment="1">
      <alignment wrapText="1"/>
    </xf>
    <xf numFmtId="0" fontId="40" fillId="2" borderId="0" xfId="0" applyFont="1" applyFill="1" applyAlignment="1">
      <alignment wrapText="1"/>
    </xf>
    <xf numFmtId="3" fontId="40" fillId="2" borderId="0" xfId="0" applyNumberFormat="1" applyFont="1" applyFill="1" applyAlignment="1">
      <alignment wrapText="1"/>
    </xf>
    <xf numFmtId="3" fontId="110" fillId="2" borderId="2" xfId="0" applyNumberFormat="1" applyFont="1" applyFill="1" applyBorder="1" applyAlignment="1">
      <alignment vertical="center" wrapText="1"/>
    </xf>
    <xf numFmtId="3" fontId="38" fillId="2" borderId="9" xfId="0" applyNumberFormat="1" applyFont="1" applyFill="1" applyBorder="1" applyAlignment="1">
      <alignment vertical="center" wrapText="1"/>
    </xf>
    <xf numFmtId="3" fontId="111" fillId="2" borderId="2" xfId="0" applyNumberFormat="1" applyFont="1" applyFill="1" applyBorder="1" applyAlignment="1">
      <alignment vertical="center" wrapText="1"/>
    </xf>
    <xf numFmtId="3" fontId="105" fillId="2" borderId="2" xfId="0" applyNumberFormat="1" applyFont="1" applyFill="1" applyBorder="1" applyAlignment="1">
      <alignment vertical="center" wrapText="1"/>
    </xf>
    <xf numFmtId="3" fontId="96" fillId="2" borderId="2" xfId="2" applyNumberFormat="1" applyFont="1" applyFill="1" applyBorder="1" applyAlignment="1">
      <alignment horizontal="right"/>
    </xf>
    <xf numFmtId="3" fontId="40" fillId="2" borderId="2" xfId="11" applyNumberFormat="1" applyFont="1" applyFill="1" applyBorder="1" applyAlignment="1">
      <alignment horizontal="left" wrapText="1"/>
    </xf>
    <xf numFmtId="3" fontId="40" fillId="2" borderId="2" xfId="12" applyNumberFormat="1" applyFont="1" applyFill="1" applyBorder="1" applyAlignment="1">
      <alignment wrapText="1"/>
    </xf>
    <xf numFmtId="0" fontId="40" fillId="2" borderId="2" xfId="0" applyFont="1" applyFill="1" applyBorder="1" applyAlignment="1">
      <alignment horizontal="left" vertical="center" wrapText="1"/>
    </xf>
    <xf numFmtId="3" fontId="40" fillId="2" borderId="2" xfId="4" applyNumberFormat="1" applyFont="1" applyFill="1" applyBorder="1" applyAlignment="1">
      <alignment vertical="center" wrapText="1"/>
    </xf>
    <xf numFmtId="167" fontId="39" fillId="2" borderId="2" xfId="4" applyNumberFormat="1" applyFont="1" applyFill="1" applyBorder="1" applyAlignment="1">
      <alignment vertical="center" wrapText="1"/>
    </xf>
    <xf numFmtId="167" fontId="40" fillId="2" borderId="2" xfId="4" applyNumberFormat="1" applyFont="1" applyFill="1" applyBorder="1" applyAlignment="1">
      <alignment wrapText="1"/>
    </xf>
    <xf numFmtId="167" fontId="109" fillId="2" borderId="2" xfId="0" applyNumberFormat="1" applyFont="1" applyFill="1" applyBorder="1" applyAlignment="1">
      <alignment wrapText="1"/>
    </xf>
    <xf numFmtId="3" fontId="100" fillId="2" borderId="2" xfId="0" applyNumberFormat="1" applyFont="1" applyFill="1" applyBorder="1" applyAlignment="1">
      <alignment horizontal="center" vertical="center" wrapText="1"/>
    </xf>
    <xf numFmtId="3" fontId="78" fillId="2" borderId="2" xfId="4" applyNumberFormat="1" applyFont="1" applyFill="1" applyBorder="1" applyAlignment="1">
      <alignment vertical="center" wrapText="1"/>
    </xf>
    <xf numFmtId="167" fontId="78" fillId="2" borderId="2" xfId="4" applyNumberFormat="1" applyFont="1" applyFill="1" applyBorder="1" applyAlignment="1">
      <alignment wrapText="1"/>
    </xf>
    <xf numFmtId="3" fontId="39" fillId="2" borderId="2" xfId="4" applyNumberFormat="1" applyFont="1" applyFill="1" applyBorder="1" applyAlignment="1">
      <alignment vertical="center" wrapText="1"/>
    </xf>
    <xf numFmtId="0" fontId="96" fillId="2" borderId="2" xfId="0" applyFont="1" applyFill="1" applyBorder="1" applyAlignment="1">
      <alignment vertical="center" wrapText="1"/>
    </xf>
    <xf numFmtId="3" fontId="105" fillId="2" borderId="2" xfId="0" applyNumberFormat="1" applyFont="1" applyFill="1" applyBorder="1" applyAlignment="1">
      <alignment horizontal="center" vertical="center" wrapText="1"/>
    </xf>
    <xf numFmtId="3" fontId="96" fillId="2" borderId="2" xfId="4" applyNumberFormat="1" applyFont="1" applyFill="1" applyBorder="1" applyAlignment="1">
      <alignment vertical="center" wrapText="1"/>
    </xf>
    <xf numFmtId="3" fontId="39" fillId="2" borderId="2" xfId="4" applyNumberFormat="1" applyFont="1" applyFill="1" applyBorder="1" applyAlignment="1">
      <alignment wrapText="1"/>
    </xf>
    <xf numFmtId="3" fontId="108" fillId="2" borderId="2" xfId="4" applyNumberFormat="1" applyFont="1" applyFill="1" applyBorder="1" applyAlignment="1">
      <alignment vertical="center" wrapText="1"/>
    </xf>
    <xf numFmtId="3" fontId="40" fillId="2" borderId="2" xfId="0" applyNumberFormat="1" applyFont="1" applyFill="1" applyBorder="1" applyAlignment="1">
      <alignment horizontal="left" vertical="center" wrapText="1"/>
    </xf>
    <xf numFmtId="3" fontId="40" fillId="2" borderId="3" xfId="0" applyNumberFormat="1" applyFont="1" applyFill="1" applyBorder="1" applyAlignment="1">
      <alignment horizontal="center" vertical="center" wrapText="1"/>
    </xf>
    <xf numFmtId="3" fontId="40" fillId="2" borderId="3" xfId="0" applyNumberFormat="1" applyFont="1" applyFill="1" applyBorder="1" applyAlignment="1">
      <alignment horizontal="left" vertical="center" wrapText="1"/>
    </xf>
    <xf numFmtId="3" fontId="40" fillId="2" borderId="3" xfId="0" applyNumberFormat="1" applyFont="1" applyFill="1" applyBorder="1" applyAlignment="1">
      <alignment vertical="center" wrapText="1"/>
    </xf>
    <xf numFmtId="3" fontId="40" fillId="2" borderId="3" xfId="4" applyNumberFormat="1" applyFont="1" applyFill="1" applyBorder="1" applyAlignment="1">
      <alignment vertical="center" wrapText="1"/>
    </xf>
    <xf numFmtId="0" fontId="37" fillId="2" borderId="0" xfId="0" applyFont="1" applyFill="1" applyAlignment="1">
      <alignment horizontal="right"/>
    </xf>
    <xf numFmtId="0" fontId="40" fillId="2" borderId="0" xfId="0" applyFont="1" applyFill="1" applyAlignment="1">
      <alignment horizontal="right"/>
    </xf>
    <xf numFmtId="3" fontId="110" fillId="2" borderId="2" xfId="0" applyNumberFormat="1" applyFont="1" applyFill="1" applyBorder="1" applyAlignment="1">
      <alignment horizontal="center" wrapText="1"/>
    </xf>
    <xf numFmtId="3" fontId="110" fillId="2" borderId="2" xfId="0" applyNumberFormat="1" applyFont="1" applyFill="1" applyBorder="1" applyAlignment="1">
      <alignment wrapText="1"/>
    </xf>
    <xf numFmtId="167" fontId="110" fillId="2" borderId="2" xfId="0" applyNumberFormat="1" applyFont="1" applyFill="1" applyBorder="1" applyAlignment="1">
      <alignment wrapText="1"/>
    </xf>
    <xf numFmtId="167" fontId="110" fillId="2" borderId="2" xfId="9" applyNumberFormat="1" applyFont="1" applyFill="1" applyBorder="1" applyAlignment="1">
      <alignment wrapText="1"/>
    </xf>
    <xf numFmtId="3" fontId="110" fillId="2" borderId="2" xfId="0" applyNumberFormat="1" applyFont="1" applyFill="1" applyBorder="1" applyAlignment="1">
      <alignment horizontal="justify" wrapText="1"/>
    </xf>
    <xf numFmtId="167" fontId="109" fillId="2" borderId="2" xfId="9" applyNumberFormat="1" applyFont="1" applyFill="1" applyBorder="1" applyAlignment="1"/>
    <xf numFmtId="3" fontId="109" fillId="2" borderId="2" xfId="0" applyNumberFormat="1" applyFont="1" applyFill="1" applyBorder="1" applyAlignment="1">
      <alignment horizontal="center" wrapText="1"/>
    </xf>
    <xf numFmtId="3" fontId="112" fillId="2" borderId="2" xfId="0" applyNumberFormat="1" applyFont="1" applyFill="1" applyBorder="1" applyAlignment="1">
      <alignment horizontal="center" wrapText="1"/>
    </xf>
    <xf numFmtId="3" fontId="112" fillId="2" borderId="2" xfId="0" applyNumberFormat="1" applyFont="1" applyFill="1" applyBorder="1" applyAlignment="1">
      <alignment wrapText="1"/>
    </xf>
    <xf numFmtId="3" fontId="112" fillId="2" borderId="9" xfId="0" applyNumberFormat="1" applyFont="1" applyFill="1" applyBorder="1" applyAlignment="1">
      <alignment horizontal="center" wrapText="1"/>
    </xf>
    <xf numFmtId="3" fontId="112" fillId="2" borderId="9" xfId="0" applyNumberFormat="1" applyFont="1" applyFill="1" applyBorder="1" applyAlignment="1">
      <alignment wrapText="1"/>
    </xf>
    <xf numFmtId="167" fontId="109" fillId="2" borderId="9" xfId="0" applyNumberFormat="1" applyFont="1" applyFill="1" applyBorder="1" applyAlignment="1">
      <alignment wrapText="1"/>
    </xf>
    <xf numFmtId="167" fontId="109" fillId="2" borderId="9" xfId="9" applyNumberFormat="1" applyFont="1" applyFill="1" applyBorder="1" applyAlignment="1"/>
    <xf numFmtId="3" fontId="110" fillId="2" borderId="1" xfId="0" applyNumberFormat="1" applyFont="1" applyFill="1" applyBorder="1" applyAlignment="1">
      <alignment horizontal="center" wrapText="1"/>
    </xf>
    <xf numFmtId="3" fontId="110" fillId="2" borderId="1" xfId="0" applyNumberFormat="1" applyFont="1" applyFill="1" applyBorder="1" applyAlignment="1">
      <alignment wrapText="1"/>
    </xf>
    <xf numFmtId="167" fontId="110" fillId="2" borderId="1" xfId="0" applyNumberFormat="1" applyFont="1" applyFill="1" applyBorder="1" applyAlignment="1">
      <alignment wrapText="1"/>
    </xf>
    <xf numFmtId="167" fontId="110" fillId="2" borderId="1" xfId="9" applyNumberFormat="1" applyFont="1" applyFill="1" applyBorder="1" applyAlignment="1">
      <alignment wrapText="1"/>
    </xf>
    <xf numFmtId="3" fontId="112" fillId="2" borderId="4" xfId="0" applyNumberFormat="1" applyFont="1" applyFill="1" applyBorder="1" applyAlignment="1">
      <alignment horizontal="center" wrapText="1"/>
    </xf>
    <xf numFmtId="3" fontId="112" fillId="2" borderId="4" xfId="0" applyNumberFormat="1" applyFont="1" applyFill="1" applyBorder="1" applyAlignment="1">
      <alignment wrapText="1"/>
    </xf>
    <xf numFmtId="167" fontId="109" fillId="2" borderId="4" xfId="0" applyNumberFormat="1" applyFont="1" applyFill="1" applyBorder="1" applyAlignment="1">
      <alignment wrapText="1"/>
    </xf>
    <xf numFmtId="167" fontId="109" fillId="2" borderId="4" xfId="9" applyNumberFormat="1" applyFont="1" applyFill="1" applyBorder="1" applyAlignment="1"/>
    <xf numFmtId="167" fontId="110" fillId="2" borderId="2" xfId="9" applyNumberFormat="1" applyFont="1" applyFill="1" applyBorder="1" applyAlignment="1"/>
    <xf numFmtId="167" fontId="39" fillId="2" borderId="2" xfId="4" applyNumberFormat="1" applyFont="1" applyFill="1" applyBorder="1" applyAlignment="1">
      <alignment wrapText="1"/>
    </xf>
    <xf numFmtId="167" fontId="39" fillId="2" borderId="2" xfId="9" applyNumberFormat="1" applyFont="1" applyFill="1" applyBorder="1" applyAlignment="1">
      <alignment wrapText="1"/>
    </xf>
    <xf numFmtId="3" fontId="40" fillId="2" borderId="2" xfId="4" applyNumberFormat="1" applyFont="1" applyFill="1" applyBorder="1" applyAlignment="1">
      <alignment wrapText="1"/>
    </xf>
    <xf numFmtId="3" fontId="40" fillId="2" borderId="2" xfId="0" applyNumberFormat="1" applyFont="1" applyFill="1" applyBorder="1" applyAlignment="1">
      <alignment horizontal="left" wrapText="1"/>
    </xf>
    <xf numFmtId="0" fontId="109" fillId="2" borderId="2" xfId="0" applyFont="1" applyFill="1" applyBorder="1" applyAlignment="1">
      <alignment horizontal="justify" wrapText="1"/>
    </xf>
    <xf numFmtId="0" fontId="109" fillId="2" borderId="2" xfId="0" applyFont="1" applyFill="1" applyBorder="1" applyAlignment="1">
      <alignment wrapText="1"/>
    </xf>
    <xf numFmtId="3" fontId="109" fillId="2" borderId="9" xfId="0" applyNumberFormat="1" applyFont="1" applyFill="1" applyBorder="1" applyAlignment="1">
      <alignment horizontal="center" wrapText="1"/>
    </xf>
    <xf numFmtId="0" fontId="109" fillId="2" borderId="9" xfId="0" applyFont="1" applyFill="1" applyBorder="1" applyAlignment="1">
      <alignment horizontal="justify" wrapText="1"/>
    </xf>
    <xf numFmtId="0" fontId="110" fillId="2" borderId="1" xfId="0" applyFont="1" applyFill="1" applyBorder="1" applyAlignment="1">
      <alignment wrapText="1"/>
    </xf>
    <xf numFmtId="3" fontId="110" fillId="2" borderId="4" xfId="0" applyNumberFormat="1" applyFont="1" applyFill="1" applyBorder="1" applyAlignment="1">
      <alignment horizontal="center" wrapText="1"/>
    </xf>
    <xf numFmtId="0" fontId="109" fillId="2" borderId="4" xfId="0" applyFont="1" applyFill="1" applyBorder="1" applyAlignment="1">
      <alignment wrapText="1"/>
    </xf>
    <xf numFmtId="167" fontId="109" fillId="2" borderId="4" xfId="9" applyNumberFormat="1" applyFont="1" applyFill="1" applyBorder="1" applyAlignment="1">
      <alignment wrapText="1"/>
    </xf>
    <xf numFmtId="167" fontId="109" fillId="2" borderId="2" xfId="9" applyNumberFormat="1" applyFont="1" applyFill="1" applyBorder="1" applyAlignment="1">
      <alignment wrapText="1"/>
    </xf>
    <xf numFmtId="0" fontId="112" fillId="2" borderId="2" xfId="0" applyFont="1" applyFill="1" applyBorder="1" applyAlignment="1">
      <alignment wrapText="1"/>
    </xf>
    <xf numFmtId="167" fontId="112" fillId="2" borderId="2" xfId="9" applyNumberFormat="1" applyFont="1" applyFill="1" applyBorder="1" applyAlignment="1">
      <alignment wrapText="1"/>
    </xf>
    <xf numFmtId="3" fontId="110" fillId="2" borderId="9" xfId="0" applyNumberFormat="1" applyFont="1" applyFill="1" applyBorder="1" applyAlignment="1">
      <alignment horizontal="center" wrapText="1"/>
    </xf>
    <xf numFmtId="0" fontId="109" fillId="2" borderId="9" xfId="0" applyFont="1" applyFill="1" applyBorder="1" applyAlignment="1">
      <alignment wrapText="1"/>
    </xf>
    <xf numFmtId="167" fontId="109" fillId="2" borderId="9" xfId="9" applyNumberFormat="1" applyFont="1" applyFill="1" applyBorder="1" applyAlignment="1">
      <alignment wrapText="1"/>
    </xf>
    <xf numFmtId="3" fontId="110" fillId="2" borderId="3" xfId="0" applyNumberFormat="1" applyFont="1" applyFill="1" applyBorder="1" applyAlignment="1">
      <alignment horizontal="center" wrapText="1"/>
    </xf>
    <xf numFmtId="0" fontId="109" fillId="2" borderId="3" xfId="0" applyFont="1" applyFill="1" applyBorder="1" applyAlignment="1">
      <alignment wrapText="1"/>
    </xf>
    <xf numFmtId="167" fontId="109" fillId="2" borderId="3" xfId="9" applyNumberFormat="1" applyFont="1" applyFill="1" applyBorder="1" applyAlignment="1">
      <alignment wrapText="1"/>
    </xf>
    <xf numFmtId="167" fontId="109" fillId="2" borderId="3" xfId="0" applyNumberFormat="1" applyFont="1" applyFill="1" applyBorder="1" applyAlignment="1">
      <alignment wrapText="1"/>
    </xf>
    <xf numFmtId="167" fontId="109" fillId="2" borderId="3" xfId="9" applyNumberFormat="1" applyFont="1" applyFill="1" applyBorder="1" applyAlignment="1"/>
    <xf numFmtId="0" fontId="42" fillId="2" borderId="9" xfId="0" applyFont="1" applyFill="1" applyBorder="1" applyAlignment="1">
      <alignment horizontal="center" vertical="center" wrapText="1"/>
    </xf>
    <xf numFmtId="3" fontId="40" fillId="2" borderId="9" xfId="0" applyNumberFormat="1" applyFont="1" applyFill="1" applyBorder="1" applyAlignment="1">
      <alignment horizontal="left" vertical="center" wrapText="1"/>
    </xf>
    <xf numFmtId="3" fontId="40" fillId="2" borderId="18" xfId="0" applyNumberFormat="1" applyFont="1" applyFill="1" applyBorder="1" applyAlignment="1">
      <alignment wrapText="1"/>
    </xf>
    <xf numFmtId="3" fontId="38" fillId="2" borderId="1" xfId="0" applyNumberFormat="1" applyFont="1" applyFill="1" applyBorder="1" applyAlignment="1">
      <alignment horizontal="center" vertical="center" wrapText="1"/>
    </xf>
    <xf numFmtId="0" fontId="100" fillId="2" borderId="0" xfId="0" applyFont="1" applyFill="1" applyAlignment="1">
      <alignment horizontal="center" vertical="center"/>
    </xf>
    <xf numFmtId="166" fontId="40" fillId="2" borderId="0" xfId="0" applyNumberFormat="1" applyFont="1" applyFill="1"/>
    <xf numFmtId="3" fontId="103" fillId="2" borderId="2" xfId="0" applyNumberFormat="1" applyFont="1" applyFill="1" applyBorder="1" applyAlignment="1">
      <alignment vertical="center" wrapText="1"/>
    </xf>
    <xf numFmtId="3" fontId="101" fillId="2" borderId="2" xfId="0" applyNumberFormat="1" applyFont="1" applyFill="1" applyBorder="1" applyAlignment="1">
      <alignment vertical="center" wrapText="1"/>
    </xf>
    <xf numFmtId="3" fontId="102" fillId="2" borderId="2" xfId="0" applyNumberFormat="1" applyFont="1" applyFill="1" applyBorder="1" applyAlignment="1">
      <alignment vertical="center" wrapText="1"/>
    </xf>
    <xf numFmtId="3" fontId="40" fillId="2" borderId="2" xfId="7" applyNumberFormat="1" applyFont="1" applyFill="1" applyBorder="1" applyAlignment="1">
      <alignment vertical="center" wrapText="1"/>
    </xf>
    <xf numFmtId="3" fontId="37" fillId="2" borderId="2" xfId="0" applyNumberFormat="1" applyFont="1" applyFill="1" applyBorder="1" applyAlignment="1"/>
    <xf numFmtId="3" fontId="37" fillId="2" borderId="0" xfId="0" applyNumberFormat="1" applyFont="1" applyFill="1"/>
    <xf numFmtId="3" fontId="48" fillId="2" borderId="2" xfId="0" applyNumberFormat="1" applyFont="1" applyFill="1" applyBorder="1" applyAlignment="1">
      <alignment vertical="center" wrapText="1"/>
    </xf>
    <xf numFmtId="167" fontId="9" fillId="2" borderId="2" xfId="0" applyNumberFormat="1" applyFont="1" applyFill="1" applyBorder="1" applyAlignment="1">
      <alignment vertical="center" wrapText="1"/>
    </xf>
    <xf numFmtId="0" fontId="78" fillId="2" borderId="0" xfId="0" applyFont="1" applyFill="1" applyAlignment="1">
      <alignment horizontal="right" vertical="center"/>
    </xf>
    <xf numFmtId="0" fontId="101" fillId="2" borderId="0" xfId="0" applyFont="1" applyFill="1" applyAlignment="1">
      <alignment horizontal="right" vertical="center"/>
    </xf>
    <xf numFmtId="0" fontId="102" fillId="2" borderId="0" xfId="0" applyFont="1" applyFill="1"/>
    <xf numFmtId="3" fontId="78" fillId="2" borderId="0" xfId="0" applyNumberFormat="1" applyFont="1" applyFill="1" applyAlignment="1">
      <alignment horizontal="right" vertical="center"/>
    </xf>
    <xf numFmtId="3" fontId="40" fillId="2" borderId="0" xfId="0" applyNumberFormat="1" applyFont="1" applyFill="1"/>
    <xf numFmtId="3" fontId="103" fillId="2" borderId="1" xfId="0" applyNumberFormat="1" applyFont="1" applyFill="1" applyBorder="1" applyAlignment="1">
      <alignment horizontal="center" vertical="center" wrapText="1"/>
    </xf>
    <xf numFmtId="3" fontId="103" fillId="2" borderId="4" xfId="0" applyNumberFormat="1" applyFont="1" applyFill="1" applyBorder="1" applyAlignment="1">
      <alignment horizontal="center" vertical="center" wrapText="1"/>
    </xf>
    <xf numFmtId="3" fontId="102" fillId="2" borderId="2" xfId="7" applyNumberFormat="1" applyFont="1" applyFill="1" applyBorder="1" applyAlignment="1">
      <alignment vertical="center" wrapText="1"/>
    </xf>
    <xf numFmtId="3" fontId="102" fillId="2" borderId="2" xfId="0" applyNumberFormat="1" applyFont="1" applyFill="1" applyBorder="1" applyAlignment="1"/>
    <xf numFmtId="0" fontId="38" fillId="2" borderId="2" xfId="0" applyFont="1" applyFill="1" applyBorder="1" applyAlignment="1">
      <alignment horizontal="center" vertical="center" wrapText="1"/>
    </xf>
    <xf numFmtId="0" fontId="38" fillId="2" borderId="2" xfId="0" applyFont="1" applyFill="1" applyBorder="1" applyAlignment="1">
      <alignment vertical="center" wrapText="1"/>
    </xf>
    <xf numFmtId="3" fontId="105" fillId="2" borderId="2" xfId="0" applyNumberFormat="1" applyFont="1" applyFill="1" applyBorder="1" applyAlignment="1">
      <alignment horizontal="right" vertical="center" wrapText="1"/>
    </xf>
    <xf numFmtId="0" fontId="100" fillId="2" borderId="2" xfId="0" applyFont="1" applyFill="1" applyBorder="1" applyAlignment="1">
      <alignment horizontal="center" vertical="center" wrapText="1"/>
    </xf>
    <xf numFmtId="0" fontId="100" fillId="2" borderId="2" xfId="0" applyFont="1" applyFill="1" applyBorder="1" applyAlignment="1">
      <alignment vertical="center" wrapText="1"/>
    </xf>
    <xf numFmtId="3" fontId="108" fillId="2" borderId="2" xfId="0" applyNumberFormat="1" applyFont="1" applyFill="1" applyBorder="1" applyAlignment="1">
      <alignment horizontal="right" vertical="center" wrapText="1"/>
    </xf>
    <xf numFmtId="3" fontId="39" fillId="2" borderId="2" xfId="0" applyNumberFormat="1" applyFont="1" applyFill="1" applyBorder="1" applyAlignment="1">
      <alignment horizontal="center" vertical="center" wrapText="1"/>
    </xf>
    <xf numFmtId="3" fontId="96" fillId="2" borderId="2" xfId="0" applyNumberFormat="1" applyFont="1" applyFill="1" applyBorder="1" applyAlignment="1">
      <alignment vertical="center" wrapText="1"/>
    </xf>
    <xf numFmtId="3" fontId="42" fillId="2" borderId="2" xfId="0" applyNumberFormat="1" applyFont="1" applyFill="1" applyBorder="1" applyAlignment="1">
      <alignment horizontal="right" vertical="center" wrapText="1"/>
    </xf>
    <xf numFmtId="3" fontId="40" fillId="2" borderId="2" xfId="0" applyNumberFormat="1" applyFont="1" applyFill="1" applyBorder="1" applyAlignment="1">
      <alignment horizontal="justify" vertical="center"/>
    </xf>
    <xf numFmtId="3" fontId="78" fillId="2" borderId="2" xfId="0" applyNumberFormat="1" applyFont="1" applyFill="1" applyBorder="1" applyAlignment="1">
      <alignment horizontal="center" vertical="center" wrapText="1"/>
    </xf>
    <xf numFmtId="3" fontId="78" fillId="2" borderId="2" xfId="0" applyNumberFormat="1" applyFont="1" applyFill="1" applyBorder="1" applyAlignment="1">
      <alignment horizontal="justify" vertical="center"/>
    </xf>
    <xf numFmtId="3" fontId="108" fillId="2" borderId="2" xfId="0" applyNumberFormat="1" applyFont="1" applyFill="1" applyBorder="1" applyAlignment="1">
      <alignment vertical="center" wrapText="1"/>
    </xf>
    <xf numFmtId="3" fontId="106" fillId="2" borderId="2" xfId="0" applyNumberFormat="1" applyFont="1" applyFill="1" applyBorder="1" applyAlignment="1">
      <alignment horizontal="right" vertical="center" wrapText="1"/>
    </xf>
    <xf numFmtId="0" fontId="42" fillId="2" borderId="2" xfId="0" applyFont="1" applyFill="1" applyBorder="1" applyAlignment="1">
      <alignment horizontal="center" vertical="center" wrapText="1"/>
    </xf>
    <xf numFmtId="2" fontId="21" fillId="2" borderId="9" xfId="0" applyNumberFormat="1" applyFont="1" applyFill="1" applyBorder="1" applyAlignment="1">
      <alignment vertical="center" wrapText="1"/>
    </xf>
    <xf numFmtId="166" fontId="102" fillId="2" borderId="2" xfId="7" applyNumberFormat="1" applyFont="1" applyFill="1" applyBorder="1" applyAlignment="1">
      <alignment vertical="center" wrapText="1"/>
    </xf>
    <xf numFmtId="3" fontId="102" fillId="2" borderId="2" xfId="4" applyNumberFormat="1" applyFont="1" applyFill="1" applyBorder="1" applyAlignment="1">
      <alignment vertical="center" wrapText="1"/>
    </xf>
    <xf numFmtId="3" fontId="101" fillId="2" borderId="2" xfId="4" applyNumberFormat="1" applyFont="1" applyFill="1" applyBorder="1" applyAlignment="1">
      <alignment vertical="center" wrapText="1"/>
    </xf>
    <xf numFmtId="167" fontId="112" fillId="2" borderId="2" xfId="9" applyNumberFormat="1" applyFont="1" applyFill="1" applyBorder="1" applyAlignment="1"/>
    <xf numFmtId="166" fontId="101" fillId="2" borderId="2" xfId="7" applyNumberFormat="1" applyFont="1" applyFill="1" applyBorder="1" applyAlignment="1">
      <alignment vertical="center" wrapText="1"/>
    </xf>
    <xf numFmtId="3" fontId="112" fillId="2" borderId="2" xfId="0" applyNumberFormat="1" applyFont="1" applyFill="1" applyBorder="1" applyAlignment="1">
      <alignment vertical="center" wrapText="1"/>
    </xf>
    <xf numFmtId="168" fontId="109" fillId="2" borderId="2" xfId="0" applyNumberFormat="1" applyFont="1" applyFill="1" applyBorder="1" applyAlignment="1">
      <alignment vertical="center" wrapText="1"/>
    </xf>
    <xf numFmtId="168" fontId="112" fillId="2" borderId="2" xfId="0" applyNumberFormat="1" applyFont="1" applyFill="1" applyBorder="1" applyAlignment="1">
      <alignment vertical="center" wrapText="1"/>
    </xf>
    <xf numFmtId="3" fontId="105" fillId="2" borderId="2" xfId="4" applyNumberFormat="1" applyFont="1" applyFill="1" applyBorder="1" applyAlignment="1">
      <alignment vertical="center" wrapText="1"/>
    </xf>
    <xf numFmtId="3" fontId="103" fillId="2" borderId="2" xfId="4" applyNumberFormat="1" applyFont="1" applyFill="1" applyBorder="1" applyAlignment="1">
      <alignment vertical="center" wrapText="1"/>
    </xf>
    <xf numFmtId="9" fontId="100" fillId="2" borderId="2" xfId="10" applyFont="1" applyFill="1" applyBorder="1" applyAlignment="1">
      <alignment vertical="center" wrapText="1"/>
    </xf>
    <xf numFmtId="9" fontId="108" fillId="2" borderId="2" xfId="10" applyFont="1" applyFill="1" applyBorder="1" applyAlignment="1">
      <alignment vertical="center" wrapText="1"/>
    </xf>
    <xf numFmtId="9" fontId="101" fillId="2" borderId="2" xfId="10" applyFont="1" applyFill="1" applyBorder="1" applyAlignment="1">
      <alignment vertical="center" wrapText="1"/>
    </xf>
    <xf numFmtId="9" fontId="78" fillId="2" borderId="2" xfId="10" applyFont="1" applyFill="1" applyBorder="1" applyAlignment="1">
      <alignment vertical="center" wrapText="1"/>
    </xf>
    <xf numFmtId="9" fontId="107" fillId="2" borderId="0" xfId="10" applyFont="1" applyFill="1" applyAlignment="1">
      <alignment wrapText="1"/>
    </xf>
    <xf numFmtId="9" fontId="108" fillId="2" borderId="0" xfId="10" applyFont="1" applyFill="1"/>
    <xf numFmtId="9" fontId="107" fillId="2" borderId="0" xfId="10" applyFont="1" applyFill="1"/>
    <xf numFmtId="3" fontId="102" fillId="2" borderId="3" xfId="4" applyNumberFormat="1" applyFont="1" applyFill="1" applyBorder="1" applyAlignment="1">
      <alignment vertical="center" wrapText="1"/>
    </xf>
    <xf numFmtId="3" fontId="39" fillId="2" borderId="3" xfId="0" applyNumberFormat="1" applyFont="1" applyFill="1" applyBorder="1" applyAlignment="1">
      <alignment vertical="center" wrapText="1"/>
    </xf>
    <xf numFmtId="3" fontId="24" fillId="2" borderId="2" xfId="0" applyNumberFormat="1" applyFont="1" applyFill="1" applyBorder="1" applyAlignment="1">
      <alignment horizontal="center" vertical="center" wrapText="1"/>
    </xf>
    <xf numFmtId="3" fontId="48" fillId="2" borderId="2" xfId="0" applyNumberFormat="1" applyFont="1" applyFill="1" applyBorder="1" applyAlignment="1">
      <alignment horizontal="center" vertical="center" wrapText="1"/>
    </xf>
    <xf numFmtId="0" fontId="40" fillId="2" borderId="9" xfId="0" applyFont="1" applyFill="1" applyBorder="1" applyAlignment="1">
      <alignment vertical="center" wrapText="1"/>
    </xf>
    <xf numFmtId="3" fontId="35" fillId="2" borderId="0" xfId="0" applyNumberFormat="1" applyFont="1" applyFill="1"/>
    <xf numFmtId="0" fontId="35" fillId="2" borderId="0" xfId="0" applyFont="1" applyFill="1" applyAlignment="1">
      <alignment horizontal="center"/>
    </xf>
    <xf numFmtId="0" fontId="35" fillId="2" borderId="0" xfId="0" applyFont="1" applyFill="1"/>
    <xf numFmtId="0" fontId="34" fillId="2" borderId="0" xfId="0" applyFont="1" applyFill="1" applyAlignment="1">
      <alignment horizontal="center" vertical="center"/>
    </xf>
    <xf numFmtId="3" fontId="39" fillId="2" borderId="1" xfId="1" applyNumberFormat="1" applyFont="1" applyFill="1" applyBorder="1" applyAlignment="1">
      <alignment horizontal="center" vertical="center" wrapText="1"/>
    </xf>
    <xf numFmtId="3" fontId="39" fillId="2" borderId="5" xfId="0" applyNumberFormat="1" applyFont="1" applyFill="1" applyBorder="1" applyAlignment="1">
      <alignment horizontal="right" vertical="center" wrapText="1"/>
    </xf>
    <xf numFmtId="0" fontId="39" fillId="2" borderId="2" xfId="0" applyFont="1" applyFill="1" applyBorder="1" applyAlignment="1">
      <alignment horizontal="center"/>
    </xf>
    <xf numFmtId="3" fontId="39" fillId="2" borderId="2" xfId="0" applyNumberFormat="1" applyFont="1" applyFill="1" applyBorder="1" applyAlignment="1">
      <alignment horizontal="center"/>
    </xf>
    <xf numFmtId="3" fontId="39" fillId="2" borderId="2" xfId="0" applyNumberFormat="1" applyFont="1" applyFill="1" applyBorder="1" applyAlignment="1">
      <alignment horizontal="right"/>
    </xf>
    <xf numFmtId="0" fontId="40" fillId="2" borderId="2" xfId="0" applyFont="1" applyFill="1" applyBorder="1"/>
    <xf numFmtId="3" fontId="40" fillId="2" borderId="2" xfId="1" applyNumberFormat="1" applyFont="1" applyFill="1" applyBorder="1"/>
    <xf numFmtId="3" fontId="40" fillId="2" borderId="2" xfId="0" applyNumberFormat="1" applyFont="1" applyFill="1" applyBorder="1" applyAlignment="1">
      <alignment horizontal="center"/>
    </xf>
    <xf numFmtId="3" fontId="40" fillId="2" borderId="0" xfId="1" applyNumberFormat="1" applyFont="1" applyFill="1"/>
    <xf numFmtId="3" fontId="99" fillId="2" borderId="2" xfId="0" applyNumberFormat="1" applyFont="1" applyFill="1" applyBorder="1" applyAlignment="1">
      <alignment vertical="center" wrapText="1"/>
    </xf>
    <xf numFmtId="3" fontId="40" fillId="2" borderId="2" xfId="1" applyNumberFormat="1" applyFont="1" applyFill="1" applyBorder="1" applyAlignment="1">
      <alignment wrapText="1"/>
    </xf>
    <xf numFmtId="0" fontId="39" fillId="2" borderId="2" xfId="0" applyFont="1" applyFill="1" applyBorder="1" applyAlignment="1">
      <alignment wrapText="1"/>
    </xf>
    <xf numFmtId="3" fontId="39" fillId="2" borderId="2" xfId="1" applyNumberFormat="1" applyFont="1" applyFill="1" applyBorder="1" applyAlignment="1">
      <alignment wrapText="1"/>
    </xf>
    <xf numFmtId="0" fontId="39" fillId="2" borderId="2" xfId="0" applyFont="1" applyFill="1" applyBorder="1"/>
    <xf numFmtId="3" fontId="39" fillId="2" borderId="2" xfId="0" applyNumberFormat="1" applyFont="1" applyFill="1" applyBorder="1"/>
    <xf numFmtId="3" fontId="39" fillId="2" borderId="0" xfId="0" applyNumberFormat="1" applyFont="1" applyFill="1"/>
    <xf numFmtId="0" fontId="39" fillId="2" borderId="0" xfId="0" applyFont="1" applyFill="1" applyAlignment="1">
      <alignment horizontal="center"/>
    </xf>
    <xf numFmtId="0" fontId="40" fillId="2" borderId="2" xfId="0" applyFont="1" applyFill="1" applyBorder="1" applyAlignment="1">
      <alignment horizontal="center" vertical="center" wrapText="1"/>
    </xf>
    <xf numFmtId="3" fontId="40" fillId="2" borderId="2" xfId="1" applyNumberFormat="1" applyFont="1" applyFill="1" applyBorder="1" applyAlignment="1">
      <alignment vertical="center" wrapText="1"/>
    </xf>
    <xf numFmtId="0" fontId="99" fillId="2" borderId="2" xfId="0" applyFont="1" applyFill="1" applyBorder="1" applyAlignment="1">
      <alignment vertical="center" wrapText="1"/>
    </xf>
    <xf numFmtId="3" fontId="39" fillId="2" borderId="2" xfId="1" applyNumberFormat="1" applyFont="1" applyFill="1" applyBorder="1"/>
    <xf numFmtId="0" fontId="40" fillId="2" borderId="3" xfId="0" applyFont="1" applyFill="1" applyBorder="1" applyAlignment="1">
      <alignment horizontal="center"/>
    </xf>
    <xf numFmtId="3" fontId="40" fillId="2" borderId="3" xfId="0" applyNumberFormat="1" applyFont="1" applyFill="1" applyBorder="1"/>
    <xf numFmtId="3" fontId="40" fillId="2" borderId="3" xfId="1" applyNumberFormat="1" applyFont="1" applyFill="1" applyBorder="1"/>
    <xf numFmtId="166" fontId="35" fillId="2" borderId="0" xfId="1" applyNumberFormat="1" applyFont="1" applyFill="1"/>
    <xf numFmtId="172" fontId="10" fillId="2" borderId="0" xfId="0" applyNumberFormat="1" applyFont="1" applyFill="1"/>
    <xf numFmtId="0" fontId="5" fillId="2" borderId="2" xfId="0" applyFont="1" applyFill="1" applyBorder="1" applyAlignment="1">
      <alignment horizontal="center" vertical="center" wrapText="1"/>
    </xf>
    <xf numFmtId="3" fontId="6" fillId="2" borderId="2" xfId="0" applyNumberFormat="1" applyFont="1" applyFill="1" applyBorder="1" applyAlignment="1">
      <alignment horizontal="right" vertical="center" wrapText="1"/>
    </xf>
    <xf numFmtId="0" fontId="6" fillId="2" borderId="0" xfId="0" applyFont="1" applyFill="1"/>
    <xf numFmtId="3" fontId="5" fillId="2" borderId="2" xfId="0" applyNumberFormat="1" applyFont="1" applyFill="1" applyBorder="1" applyAlignment="1">
      <alignment horizontal="center" vertical="center" wrapText="1"/>
    </xf>
    <xf numFmtId="3" fontId="6" fillId="2" borderId="2" xfId="0" applyNumberFormat="1" applyFont="1" applyFill="1" applyBorder="1" applyAlignment="1">
      <alignment horizontal="justify" vertical="center"/>
    </xf>
    <xf numFmtId="3" fontId="61" fillId="2" borderId="2" xfId="0" applyNumberFormat="1" applyFont="1" applyFill="1" applyBorder="1" applyAlignment="1">
      <alignment horizontal="center" vertical="center" wrapText="1"/>
    </xf>
    <xf numFmtId="3" fontId="61" fillId="2" borderId="2" xfId="0" applyNumberFormat="1" applyFont="1" applyFill="1" applyBorder="1" applyAlignment="1">
      <alignment horizontal="justify" vertical="center"/>
    </xf>
    <xf numFmtId="3" fontId="18" fillId="0" borderId="2" xfId="0" applyNumberFormat="1" applyFont="1" applyFill="1" applyBorder="1" applyAlignment="1">
      <alignment vertical="center" wrapText="1"/>
    </xf>
    <xf numFmtId="3" fontId="10" fillId="2" borderId="0" xfId="0" applyNumberFormat="1" applyFont="1" applyFill="1" applyAlignment="1">
      <alignment horizontal="right"/>
    </xf>
    <xf numFmtId="3" fontId="85" fillId="2" borderId="1" xfId="0" applyNumberFormat="1" applyFont="1" applyFill="1" applyBorder="1" applyAlignment="1">
      <alignment horizontal="center" vertical="center" wrapText="1"/>
    </xf>
    <xf numFmtId="3" fontId="87" fillId="2" borderId="4" xfId="1" applyNumberFormat="1" applyFont="1" applyFill="1" applyBorder="1" applyAlignment="1">
      <alignment horizontal="right"/>
    </xf>
    <xf numFmtId="3" fontId="87" fillId="2" borderId="2" xfId="1" applyNumberFormat="1" applyFont="1" applyFill="1" applyBorder="1" applyAlignment="1">
      <alignment horizontal="right"/>
    </xf>
    <xf numFmtId="3" fontId="74" fillId="2" borderId="2" xfId="14" applyNumberFormat="1" applyFont="1" applyFill="1" applyBorder="1" applyAlignment="1" applyProtection="1">
      <alignment horizontal="right"/>
    </xf>
    <xf numFmtId="166" fontId="86" fillId="2" borderId="4" xfId="1" applyNumberFormat="1" applyFont="1" applyFill="1" applyBorder="1"/>
    <xf numFmtId="37" fontId="86" fillId="2" borderId="4" xfId="1" applyNumberFormat="1" applyFont="1" applyFill="1" applyBorder="1"/>
    <xf numFmtId="3" fontId="85" fillId="2" borderId="2" xfId="0" applyNumberFormat="1" applyFont="1" applyFill="1" applyBorder="1" applyAlignment="1">
      <alignment horizontal="right" vertical="center" wrapText="1"/>
    </xf>
    <xf numFmtId="0" fontId="113" fillId="2" borderId="2" xfId="0" applyFont="1" applyFill="1" applyBorder="1" applyAlignment="1">
      <alignment vertical="center" wrapText="1"/>
    </xf>
    <xf numFmtId="3" fontId="85" fillId="2" borderId="3" xfId="0" applyNumberFormat="1" applyFont="1" applyFill="1" applyBorder="1" applyAlignment="1">
      <alignment horizontal="right" vertical="center" wrapText="1"/>
    </xf>
    <xf numFmtId="166" fontId="85" fillId="2" borderId="3" xfId="1" applyNumberFormat="1" applyFont="1" applyFill="1" applyBorder="1" applyAlignment="1">
      <alignment horizontal="center" vertical="center" wrapText="1"/>
    </xf>
    <xf numFmtId="166" fontId="87" fillId="2" borderId="3" xfId="1" applyNumberFormat="1" applyFont="1" applyFill="1" applyBorder="1"/>
    <xf numFmtId="37" fontId="87" fillId="2" borderId="3" xfId="1" applyNumberFormat="1" applyFont="1" applyFill="1" applyBorder="1"/>
    <xf numFmtId="0" fontId="88" fillId="2" borderId="4" xfId="0" applyFont="1" applyFill="1" applyBorder="1" applyAlignment="1">
      <alignment horizontal="center" vertical="center" wrapText="1"/>
    </xf>
    <xf numFmtId="0" fontId="88" fillId="2" borderId="4" xfId="0" applyFont="1" applyFill="1" applyBorder="1" applyAlignment="1">
      <alignment vertical="center" wrapText="1"/>
    </xf>
    <xf numFmtId="3" fontId="88" fillId="2" borderId="4" xfId="0" applyNumberFormat="1" applyFont="1" applyFill="1" applyBorder="1" applyAlignment="1">
      <alignment horizontal="right" vertical="center" wrapText="1"/>
    </xf>
    <xf numFmtId="166" fontId="88" fillId="2" borderId="4" xfId="1" applyNumberFormat="1" applyFont="1" applyFill="1" applyBorder="1" applyAlignment="1">
      <alignment horizontal="center" vertical="center" wrapText="1"/>
    </xf>
    <xf numFmtId="166" fontId="86" fillId="2" borderId="0" xfId="1" applyNumberFormat="1" applyFont="1" applyFill="1" applyBorder="1"/>
    <xf numFmtId="3" fontId="88" fillId="2" borderId="2" xfId="0" applyNumberFormat="1" applyFont="1" applyFill="1" applyBorder="1" applyAlignment="1">
      <alignment horizontal="right" vertical="center" wrapText="1"/>
    </xf>
    <xf numFmtId="166" fontId="85" fillId="2" borderId="0" xfId="1" applyNumberFormat="1" applyFont="1" applyFill="1" applyBorder="1" applyAlignment="1">
      <alignment horizontal="center" vertical="center" wrapText="1"/>
    </xf>
    <xf numFmtId="3" fontId="43" fillId="2" borderId="0" xfId="0" applyNumberFormat="1" applyFont="1" applyFill="1" applyAlignment="1">
      <alignment horizontal="right"/>
    </xf>
    <xf numFmtId="166" fontId="43" fillId="2" borderId="0" xfId="0" applyNumberFormat="1" applyFont="1" applyFill="1"/>
    <xf numFmtId="3" fontId="96" fillId="2" borderId="9" xfId="2" applyNumberFormat="1" applyFont="1" applyFill="1" applyBorder="1" applyAlignment="1">
      <alignment horizontal="right"/>
    </xf>
    <xf numFmtId="3" fontId="21" fillId="0" borderId="0" xfId="0" applyNumberFormat="1" applyFont="1" applyAlignment="1">
      <alignment vertical="center"/>
    </xf>
    <xf numFmtId="0" fontId="26" fillId="2" borderId="2" xfId="0" applyFont="1" applyFill="1" applyBorder="1" applyAlignment="1">
      <alignment vertical="center" wrapText="1"/>
    </xf>
    <xf numFmtId="0" fontId="26" fillId="2" borderId="0" xfId="0" applyFont="1" applyFill="1" applyAlignment="1">
      <alignment horizontal="center"/>
    </xf>
    <xf numFmtId="3" fontId="9" fillId="4" borderId="2" xfId="0" applyNumberFormat="1" applyFont="1" applyFill="1" applyBorder="1" applyAlignment="1">
      <alignment horizontal="center" vertical="center" wrapText="1"/>
    </xf>
    <xf numFmtId="3" fontId="9" fillId="4" borderId="2" xfId="0" applyNumberFormat="1" applyFont="1" applyFill="1" applyBorder="1" applyAlignment="1">
      <alignment vertical="center" wrapText="1"/>
    </xf>
    <xf numFmtId="165" fontId="9" fillId="4" borderId="2" xfId="1" applyFont="1" applyFill="1" applyBorder="1" applyAlignment="1">
      <alignment vertical="center" wrapText="1"/>
    </xf>
    <xf numFmtId="167" fontId="9" fillId="4" borderId="2" xfId="0" applyNumberFormat="1" applyFont="1" applyFill="1" applyBorder="1" applyAlignment="1">
      <alignment vertical="center" wrapText="1"/>
    </xf>
    <xf numFmtId="3" fontId="115" fillId="4" borderId="2" xfId="0" applyNumberFormat="1" applyFont="1" applyFill="1" applyBorder="1" applyAlignment="1">
      <alignment wrapText="1"/>
    </xf>
    <xf numFmtId="3" fontId="116" fillId="4" borderId="2" xfId="0" applyNumberFormat="1" applyFont="1" applyFill="1" applyBorder="1" applyAlignment="1">
      <alignment vertical="center" wrapText="1"/>
    </xf>
    <xf numFmtId="3" fontId="116" fillId="4" borderId="2" xfId="7" applyNumberFormat="1" applyFont="1" applyFill="1" applyBorder="1" applyAlignment="1">
      <alignment vertical="center" wrapText="1"/>
    </xf>
    <xf numFmtId="3" fontId="26" fillId="4" borderId="2" xfId="0" applyNumberFormat="1" applyFont="1" applyFill="1" applyBorder="1" applyAlignment="1">
      <alignment vertical="center" wrapText="1"/>
    </xf>
    <xf numFmtId="3" fontId="115" fillId="4" borderId="2" xfId="0" applyNumberFormat="1" applyFont="1" applyFill="1" applyBorder="1" applyAlignment="1">
      <alignment vertical="center" wrapText="1"/>
    </xf>
    <xf numFmtId="3" fontId="43" fillId="4" borderId="0" xfId="0" applyNumberFormat="1" applyFont="1" applyFill="1" applyAlignment="1">
      <alignment wrapText="1"/>
    </xf>
    <xf numFmtId="0" fontId="114" fillId="4" borderId="0" xfId="0" applyFont="1" applyFill="1"/>
    <xf numFmtId="0" fontId="43" fillId="4" borderId="0" xfId="0" applyFont="1" applyFill="1"/>
    <xf numFmtId="167" fontId="15" fillId="0" borderId="0" xfId="0" applyNumberFormat="1" applyFont="1" applyFill="1" applyAlignment="1">
      <alignment vertical="center"/>
    </xf>
    <xf numFmtId="3" fontId="96" fillId="4" borderId="2" xfId="2" applyNumberFormat="1" applyFont="1" applyFill="1" applyBorder="1" applyAlignment="1">
      <alignment horizontal="right"/>
    </xf>
    <xf numFmtId="0" fontId="85" fillId="2" borderId="1" xfId="0" applyFont="1" applyFill="1" applyBorder="1" applyAlignment="1">
      <alignment horizontal="center" vertical="center" wrapText="1"/>
    </xf>
    <xf numFmtId="0" fontId="117" fillId="2" borderId="0" xfId="33" applyFont="1" applyFill="1" applyProtection="1">
      <protection locked="0"/>
    </xf>
    <xf numFmtId="0" fontId="118" fillId="2" borderId="0" xfId="33" applyFont="1" applyFill="1" applyProtection="1">
      <protection locked="0"/>
    </xf>
    <xf numFmtId="0" fontId="119" fillId="2" borderId="0" xfId="33" applyFont="1" applyFill="1" applyAlignment="1" applyProtection="1">
      <alignment horizontal="center"/>
      <protection locked="0"/>
    </xf>
    <xf numFmtId="0" fontId="119" fillId="2" borderId="0" xfId="33" applyFont="1" applyFill="1" applyProtection="1">
      <protection locked="0"/>
    </xf>
    <xf numFmtId="0" fontId="117" fillId="2" borderId="0" xfId="33" applyFont="1" applyFill="1" applyAlignment="1">
      <alignment horizontal="center"/>
    </xf>
    <xf numFmtId="0" fontId="117" fillId="2" borderId="0" xfId="33" applyFont="1" applyFill="1"/>
    <xf numFmtId="166" fontId="85" fillId="2" borderId="2" xfId="1" applyNumberFormat="1" applyFont="1" applyFill="1" applyBorder="1" applyAlignment="1">
      <alignment horizontal="center" wrapText="1"/>
    </xf>
    <xf numFmtId="3" fontId="15" fillId="4" borderId="0" xfId="8" applyNumberFormat="1" applyFont="1" applyFill="1" applyProtection="1">
      <protection locked="0"/>
    </xf>
    <xf numFmtId="3" fontId="17" fillId="0" borderId="2" xfId="8" applyNumberFormat="1" applyFont="1" applyFill="1" applyBorder="1" applyAlignment="1" applyProtection="1">
      <alignment horizontal="right" vertical="center" wrapText="1"/>
      <protection hidden="1"/>
    </xf>
    <xf numFmtId="3" fontId="17" fillId="0" borderId="2" xfId="8" applyNumberFormat="1" applyFont="1" applyFill="1" applyBorder="1" applyAlignment="1" applyProtection="1">
      <alignment horizontal="right" vertical="center" wrapText="1"/>
      <protection locked="0"/>
    </xf>
    <xf numFmtId="165" fontId="15" fillId="0" borderId="3" xfId="1" applyFont="1" applyFill="1" applyBorder="1" applyAlignment="1" applyProtection="1">
      <alignment horizontal="right" vertical="center"/>
      <protection hidden="1"/>
    </xf>
    <xf numFmtId="164" fontId="12" fillId="2" borderId="14" xfId="2" applyFont="1" applyFill="1" applyBorder="1" applyAlignment="1">
      <alignment horizontal="center" vertical="center" wrapText="1"/>
    </xf>
    <xf numFmtId="164" fontId="12" fillId="2" borderId="15" xfId="2" applyFont="1" applyFill="1" applyBorder="1" applyAlignment="1">
      <alignment horizontal="center" vertical="center" wrapText="1"/>
    </xf>
    <xf numFmtId="0" fontId="21" fillId="2" borderId="0" xfId="0" applyFont="1" applyFill="1" applyAlignment="1">
      <alignment horizontal="center"/>
    </xf>
    <xf numFmtId="3" fontId="12" fillId="2" borderId="0" xfId="0" applyNumberFormat="1" applyFont="1" applyFill="1" applyAlignment="1">
      <alignment horizontal="center" vertical="center"/>
    </xf>
    <xf numFmtId="0" fontId="27" fillId="2" borderId="0" xfId="0" applyFont="1" applyFill="1" applyAlignment="1">
      <alignment horizontal="center"/>
    </xf>
    <xf numFmtId="0" fontId="27" fillId="2" borderId="0" xfId="0" applyFont="1" applyFill="1" applyAlignment="1"/>
    <xf numFmtId="0" fontId="27" fillId="2" borderId="0" xfId="0" applyFont="1" applyFill="1"/>
    <xf numFmtId="0" fontId="26" fillId="2" borderId="1" xfId="0" applyFont="1" applyFill="1" applyBorder="1" applyAlignment="1">
      <alignment horizontal="center" vertical="center" wrapText="1"/>
    </xf>
    <xf numFmtId="0" fontId="26" fillId="2" borderId="0" xfId="0" applyFont="1" applyFill="1" applyAlignment="1">
      <alignment horizontal="center" vertical="center" wrapText="1"/>
    </xf>
    <xf numFmtId="3" fontId="26" fillId="2" borderId="0" xfId="0" applyNumberFormat="1" applyFont="1" applyFill="1" applyAlignment="1">
      <alignment horizontal="center" vertical="center" wrapText="1"/>
    </xf>
    <xf numFmtId="3" fontId="26" fillId="2" borderId="5" xfId="0" applyNumberFormat="1" applyFont="1" applyFill="1" applyBorder="1" applyAlignment="1">
      <alignment horizontal="center" vertical="center"/>
    </xf>
    <xf numFmtId="2" fontId="26" fillId="2" borderId="5" xfId="0" applyNumberFormat="1" applyFont="1" applyFill="1" applyBorder="1" applyAlignment="1">
      <alignment horizontal="center" vertical="center" wrapText="1"/>
    </xf>
    <xf numFmtId="3" fontId="21" fillId="2" borderId="4" xfId="0" applyNumberFormat="1" applyFont="1" applyFill="1" applyBorder="1" applyAlignment="1">
      <alignment horizontal="center" vertical="center"/>
    </xf>
    <xf numFmtId="164" fontId="21" fillId="2" borderId="2" xfId="2" applyFont="1" applyFill="1" applyBorder="1" applyAlignment="1">
      <alignment horizontal="right"/>
    </xf>
    <xf numFmtId="164" fontId="26" fillId="2" borderId="0" xfId="0" applyNumberFormat="1" applyFont="1" applyFill="1"/>
    <xf numFmtId="0" fontId="50" fillId="2" borderId="2" xfId="0" applyFont="1" applyFill="1" applyBorder="1" applyAlignment="1">
      <alignment vertical="center" wrapText="1"/>
    </xf>
    <xf numFmtId="3" fontId="27" fillId="2" borderId="4" xfId="2" applyNumberFormat="1" applyFont="1" applyFill="1" applyBorder="1" applyAlignment="1">
      <alignment horizontal="right"/>
    </xf>
    <xf numFmtId="164" fontId="28" fillId="2" borderId="0" xfId="0" applyNumberFormat="1" applyFont="1" applyFill="1"/>
    <xf numFmtId="0" fontId="28" fillId="2" borderId="0" xfId="0" applyFont="1" applyFill="1"/>
    <xf numFmtId="170" fontId="32" fillId="2" borderId="2" xfId="11" applyNumberFormat="1" applyFont="1" applyFill="1" applyBorder="1" applyAlignment="1">
      <alignment horizontal="left" wrapText="1"/>
    </xf>
    <xf numFmtId="3" fontId="21" fillId="2" borderId="2" xfId="2" applyNumberFormat="1" applyFont="1" applyFill="1" applyBorder="1" applyAlignment="1">
      <alignment horizontal="right"/>
    </xf>
    <xf numFmtId="0" fontId="20" fillId="0" borderId="0" xfId="0" applyFont="1" applyAlignment="1">
      <alignment horizontal="center" vertical="center"/>
    </xf>
    <xf numFmtId="0" fontId="20" fillId="0" borderId="0" xfId="0" applyFont="1" applyBorder="1"/>
    <xf numFmtId="0" fontId="23" fillId="0" borderId="5" xfId="0" applyFont="1" applyBorder="1" applyAlignment="1">
      <alignment horizontal="center" vertical="center"/>
    </xf>
    <xf numFmtId="0" fontId="23" fillId="6" borderId="5" xfId="0" applyFont="1" applyFill="1" applyBorder="1" applyAlignment="1">
      <alignment horizontal="center" vertical="center" wrapText="1"/>
    </xf>
    <xf numFmtId="0" fontId="23" fillId="0" borderId="0" xfId="0" applyFont="1" applyBorder="1" applyAlignment="1">
      <alignment vertical="center"/>
    </xf>
    <xf numFmtId="0" fontId="23" fillId="0" borderId="2" xfId="0" applyFont="1" applyBorder="1" applyAlignment="1">
      <alignment horizontal="center" vertical="center"/>
    </xf>
    <xf numFmtId="3" fontId="23" fillId="0" borderId="2" xfId="0" applyNumberFormat="1" applyFont="1" applyBorder="1" applyAlignment="1">
      <alignment horizontal="right" vertical="center"/>
    </xf>
    <xf numFmtId="0" fontId="20" fillId="0" borderId="2" xfId="0" applyFont="1" applyBorder="1" applyAlignment="1">
      <alignment horizontal="center" vertical="center"/>
    </xf>
    <xf numFmtId="3" fontId="20" fillId="0" borderId="2" xfId="0" applyNumberFormat="1" applyFont="1" applyBorder="1" applyAlignment="1">
      <alignment horizontal="right" vertical="center"/>
    </xf>
    <xf numFmtId="0" fontId="20" fillId="0" borderId="3" xfId="0" applyFont="1" applyBorder="1" applyAlignment="1">
      <alignment horizontal="center" vertical="center"/>
    </xf>
    <xf numFmtId="3" fontId="20" fillId="0" borderId="3" xfId="0" applyNumberFormat="1" applyFont="1" applyBorder="1" applyAlignment="1">
      <alignment horizontal="right" vertical="center"/>
    </xf>
    <xf numFmtId="0" fontId="17" fillId="0" borderId="0" xfId="0" applyFont="1" applyBorder="1" applyAlignment="1">
      <alignment horizontal="right" vertical="center" wrapText="1"/>
    </xf>
    <xf numFmtId="3" fontId="14" fillId="6" borderId="0" xfId="8" applyNumberFormat="1" applyFont="1" applyFill="1" applyProtection="1">
      <protection locked="0"/>
    </xf>
    <xf numFmtId="0" fontId="20" fillId="6" borderId="0" xfId="0" applyFont="1" applyFill="1"/>
    <xf numFmtId="0" fontId="14" fillId="6" borderId="0" xfId="0" applyFont="1" applyFill="1" applyBorder="1" applyAlignment="1">
      <alignment vertical="center" wrapText="1"/>
    </xf>
    <xf numFmtId="3" fontId="23" fillId="6" borderId="2" xfId="0" applyNumberFormat="1" applyFont="1" applyFill="1" applyBorder="1" applyAlignment="1">
      <alignment horizontal="right" vertical="center"/>
    </xf>
    <xf numFmtId="3" fontId="20" fillId="6" borderId="2" xfId="0" applyNumberFormat="1" applyFont="1" applyFill="1" applyBorder="1" applyAlignment="1">
      <alignment horizontal="right" vertical="center"/>
    </xf>
    <xf numFmtId="3" fontId="20" fillId="6" borderId="3" xfId="0" applyNumberFormat="1" applyFont="1" applyFill="1" applyBorder="1" applyAlignment="1">
      <alignment horizontal="right" vertical="center"/>
    </xf>
    <xf numFmtId="3" fontId="12" fillId="2" borderId="1" xfId="0" applyNumberFormat="1" applyFont="1" applyFill="1" applyBorder="1" applyAlignment="1">
      <alignment horizontal="center" vertical="center"/>
    </xf>
    <xf numFmtId="3" fontId="12" fillId="2" borderId="1" xfId="0" applyNumberFormat="1" applyFont="1" applyFill="1" applyBorder="1" applyAlignment="1">
      <alignment horizontal="center" vertical="center" wrapText="1"/>
    </xf>
    <xf numFmtId="3" fontId="14" fillId="2" borderId="1" xfId="0" applyNumberFormat="1" applyFont="1" applyFill="1" applyBorder="1" applyAlignment="1">
      <alignment horizontal="center"/>
    </xf>
    <xf numFmtId="3" fontId="14" fillId="2" borderId="1" xfId="0" applyNumberFormat="1" applyFont="1" applyFill="1" applyBorder="1" applyAlignment="1">
      <alignment wrapText="1"/>
    </xf>
    <xf numFmtId="3" fontId="14" fillId="2" borderId="0" xfId="0" applyNumberFormat="1" applyFont="1" applyFill="1"/>
    <xf numFmtId="0" fontId="14" fillId="4" borderId="4" xfId="3" applyFont="1" applyFill="1" applyBorder="1" applyAlignment="1">
      <alignment horizontal="center" vertical="center"/>
    </xf>
    <xf numFmtId="0" fontId="14" fillId="4" borderId="4" xfId="3" applyNumberFormat="1" applyFont="1" applyFill="1" applyBorder="1" applyAlignment="1">
      <alignment horizontal="left" vertical="center"/>
    </xf>
    <xf numFmtId="0" fontId="57" fillId="2" borderId="2" xfId="3" applyFont="1" applyFill="1" applyBorder="1" applyAlignment="1">
      <alignment horizontal="center"/>
    </xf>
    <xf numFmtId="171" fontId="14" fillId="2" borderId="2" xfId="3" applyNumberFormat="1" applyFont="1" applyFill="1" applyBorder="1" applyAlignment="1"/>
    <xf numFmtId="3" fontId="14" fillId="2" borderId="2" xfId="0" applyNumberFormat="1" applyFont="1" applyFill="1" applyBorder="1" applyAlignment="1">
      <alignment wrapText="1"/>
    </xf>
    <xf numFmtId="0" fontId="58" fillId="2" borderId="2" xfId="3" applyFont="1" applyFill="1" applyBorder="1" applyAlignment="1">
      <alignment horizontal="center" vertical="center"/>
    </xf>
    <xf numFmtId="171" fontId="15" fillId="2" borderId="2" xfId="3" applyNumberFormat="1" applyFont="1" applyFill="1" applyBorder="1" applyAlignment="1">
      <alignment vertical="center"/>
    </xf>
    <xf numFmtId="3" fontId="15" fillId="2" borderId="2" xfId="0" applyNumberFormat="1" applyFont="1" applyFill="1" applyBorder="1" applyAlignment="1"/>
    <xf numFmtId="3" fontId="15" fillId="2" borderId="0" xfId="0" applyNumberFormat="1" applyFont="1" applyFill="1"/>
    <xf numFmtId="49" fontId="15" fillId="2" borderId="2" xfId="3" applyNumberFormat="1" applyFont="1" applyFill="1" applyBorder="1" applyAlignment="1">
      <alignment vertical="center"/>
    </xf>
    <xf numFmtId="49" fontId="15" fillId="2" borderId="2" xfId="3" applyNumberFormat="1" applyFont="1" applyFill="1" applyBorder="1" applyAlignment="1">
      <alignment vertical="center" wrapText="1"/>
    </xf>
    <xf numFmtId="171" fontId="15" fillId="2" borderId="2" xfId="3" applyNumberFormat="1" applyFont="1" applyFill="1" applyBorder="1" applyAlignment="1">
      <alignment vertical="center" wrapText="1"/>
    </xf>
    <xf numFmtId="0" fontId="57" fillId="2" borderId="2" xfId="3" applyFont="1" applyFill="1" applyBorder="1" applyAlignment="1">
      <alignment horizontal="center" vertical="center"/>
    </xf>
    <xf numFmtId="171" fontId="14" fillId="2" borderId="2" xfId="3" applyNumberFormat="1" applyFont="1" applyFill="1" applyBorder="1" applyAlignment="1">
      <alignment vertical="center"/>
    </xf>
    <xf numFmtId="3" fontId="14" fillId="2" borderId="2" xfId="0" applyNumberFormat="1" applyFont="1" applyFill="1" applyBorder="1" applyAlignment="1"/>
    <xf numFmtId="171" fontId="14" fillId="2" borderId="2" xfId="3" applyNumberFormat="1" applyFont="1" applyFill="1" applyBorder="1" applyAlignment="1">
      <alignment vertical="center" wrapText="1"/>
    </xf>
    <xf numFmtId="49" fontId="14" fillId="2" borderId="2" xfId="3" applyNumberFormat="1" applyFont="1" applyFill="1" applyBorder="1" applyAlignment="1">
      <alignment vertical="center"/>
    </xf>
    <xf numFmtId="0" fontId="19" fillId="2" borderId="2" xfId="3" applyFont="1" applyFill="1" applyBorder="1" applyAlignment="1">
      <alignment vertical="center"/>
    </xf>
    <xf numFmtId="49" fontId="32" fillId="2" borderId="2" xfId="3" applyNumberFormat="1" applyFont="1" applyFill="1" applyBorder="1" applyAlignment="1">
      <alignment vertical="center"/>
    </xf>
    <xf numFmtId="3" fontId="32" fillId="2" borderId="2" xfId="0" applyNumberFormat="1" applyFont="1" applyFill="1" applyBorder="1" applyAlignment="1"/>
    <xf numFmtId="3" fontId="32" fillId="2" borderId="2" xfId="0" applyNumberFormat="1" applyFont="1" applyFill="1" applyBorder="1" applyAlignment="1">
      <alignment wrapText="1"/>
    </xf>
    <xf numFmtId="3" fontId="32" fillId="2" borderId="0" xfId="0" applyNumberFormat="1" applyFont="1" applyFill="1" applyAlignment="1"/>
    <xf numFmtId="3" fontId="14" fillId="2" borderId="2" xfId="0" applyNumberFormat="1" applyFont="1" applyFill="1" applyBorder="1" applyAlignment="1">
      <alignment horizontal="center"/>
    </xf>
    <xf numFmtId="3" fontId="15" fillId="2" borderId="2" xfId="0" applyNumberFormat="1" applyFont="1" applyFill="1" applyBorder="1" applyAlignment="1">
      <alignment horizontal="center" vertical="center"/>
    </xf>
    <xf numFmtId="3" fontId="15" fillId="2" borderId="2" xfId="3" applyNumberFormat="1" applyFont="1" applyFill="1" applyBorder="1" applyAlignment="1">
      <alignment vertical="center"/>
    </xf>
    <xf numFmtId="165" fontId="14" fillId="2" borderId="2" xfId="6" applyFont="1" applyFill="1" applyBorder="1" applyAlignment="1"/>
    <xf numFmtId="49" fontId="14" fillId="2" borderId="2" xfId="3" applyNumberFormat="1" applyFont="1" applyFill="1" applyBorder="1" applyAlignment="1">
      <alignment vertical="center" wrapText="1"/>
    </xf>
    <xf numFmtId="165" fontId="57" fillId="2" borderId="2" xfId="6" applyFont="1" applyFill="1" applyBorder="1" applyAlignment="1">
      <alignment horizontal="center" vertical="center"/>
    </xf>
    <xf numFmtId="165" fontId="14" fillId="2" borderId="2" xfId="6" applyFont="1" applyFill="1" applyBorder="1" applyAlignment="1">
      <alignment vertical="center" wrapText="1"/>
    </xf>
    <xf numFmtId="165" fontId="14" fillId="4" borderId="2" xfId="6" applyFont="1" applyFill="1" applyBorder="1" applyAlignment="1"/>
    <xf numFmtId="165" fontId="14" fillId="2" borderId="0" xfId="6" applyFont="1" applyFill="1"/>
    <xf numFmtId="0" fontId="14" fillId="2" borderId="2" xfId="3" applyFont="1" applyFill="1" applyBorder="1" applyAlignment="1">
      <alignment horizontal="center" vertical="center"/>
    </xf>
    <xf numFmtId="49" fontId="14" fillId="2" borderId="2" xfId="3" applyNumberFormat="1" applyFont="1" applyFill="1" applyBorder="1" applyAlignment="1">
      <alignment horizontal="left" vertical="center"/>
    </xf>
    <xf numFmtId="3" fontId="14" fillId="2" borderId="2" xfId="0" applyNumberFormat="1" applyFont="1" applyFill="1" applyBorder="1" applyAlignment="1">
      <alignment vertical="center"/>
    </xf>
    <xf numFmtId="3" fontId="14" fillId="4" borderId="2" xfId="0" applyNumberFormat="1" applyFont="1" applyFill="1" applyBorder="1" applyAlignment="1">
      <alignment vertical="center"/>
    </xf>
    <xf numFmtId="165" fontId="14" fillId="4" borderId="2" xfId="6" applyFont="1" applyFill="1" applyBorder="1" applyAlignment="1">
      <alignment vertical="center"/>
    </xf>
    <xf numFmtId="49" fontId="14" fillId="2" borderId="2" xfId="3" applyNumberFormat="1" applyFont="1" applyFill="1" applyBorder="1" applyAlignment="1">
      <alignment horizontal="center" vertical="center"/>
    </xf>
    <xf numFmtId="0" fontId="15" fillId="2" borderId="2" xfId="3" applyFont="1" applyFill="1" applyBorder="1" applyAlignment="1">
      <alignment horizontal="center" vertical="center"/>
    </xf>
    <xf numFmtId="0" fontId="15" fillId="2" borderId="2" xfId="3" applyNumberFormat="1" applyFont="1" applyFill="1" applyBorder="1" applyAlignment="1">
      <alignment horizontal="left" vertical="center"/>
    </xf>
    <xf numFmtId="0" fontId="15" fillId="2" borderId="2" xfId="3" applyNumberFormat="1" applyFont="1" applyFill="1" applyBorder="1" applyAlignment="1">
      <alignment horizontal="left" vertical="center" wrapText="1"/>
    </xf>
    <xf numFmtId="0" fontId="14" fillId="2" borderId="2" xfId="3" applyNumberFormat="1" applyFont="1" applyFill="1" applyBorder="1" applyAlignment="1">
      <alignment horizontal="left" vertical="center"/>
    </xf>
    <xf numFmtId="165" fontId="15" fillId="4" borderId="2" xfId="6" applyFont="1" applyFill="1" applyBorder="1" applyAlignment="1"/>
    <xf numFmtId="168" fontId="15" fillId="2" borderId="0" xfId="0" applyNumberFormat="1" applyFont="1" applyFill="1"/>
    <xf numFmtId="3" fontId="15" fillId="2" borderId="0" xfId="0" applyNumberFormat="1" applyFont="1" applyFill="1" applyAlignment="1">
      <alignment horizontal="center"/>
    </xf>
    <xf numFmtId="3" fontId="15" fillId="2" borderId="0" xfId="0" applyNumberFormat="1" applyFont="1" applyFill="1" applyAlignment="1">
      <alignment horizontal="right"/>
    </xf>
    <xf numFmtId="0" fontId="15" fillId="2" borderId="3" xfId="3" applyFont="1" applyFill="1" applyBorder="1" applyAlignment="1">
      <alignment horizontal="center" vertical="center"/>
    </xf>
    <xf numFmtId="0" fontId="15" fillId="2" borderId="3" xfId="3" applyNumberFormat="1" applyFont="1" applyFill="1" applyBorder="1" applyAlignment="1">
      <alignment horizontal="left" vertical="center"/>
    </xf>
    <xf numFmtId="3" fontId="15" fillId="2" borderId="3" xfId="0" applyNumberFormat="1" applyFont="1" applyFill="1" applyBorder="1" applyAlignment="1"/>
    <xf numFmtId="165" fontId="15" fillId="4" borderId="3" xfId="6" applyFont="1" applyFill="1" applyBorder="1" applyAlignment="1"/>
    <xf numFmtId="3" fontId="12" fillId="2" borderId="0" xfId="0" applyNumberFormat="1" applyFont="1" applyFill="1" applyBorder="1" applyAlignment="1">
      <alignment horizontal="center" vertical="center" wrapText="1"/>
    </xf>
    <xf numFmtId="3" fontId="14" fillId="2" borderId="0" xfId="0" applyNumberFormat="1" applyFont="1" applyFill="1" applyBorder="1" applyAlignment="1">
      <alignment wrapText="1"/>
    </xf>
    <xf numFmtId="3" fontId="14" fillId="4" borderId="0" xfId="0" applyNumberFormat="1" applyFont="1" applyFill="1" applyBorder="1" applyAlignment="1">
      <alignment wrapText="1"/>
    </xf>
    <xf numFmtId="3" fontId="15" fillId="2" borderId="0" xfId="0" applyNumberFormat="1" applyFont="1" applyFill="1" applyBorder="1" applyAlignment="1">
      <alignment wrapText="1"/>
    </xf>
    <xf numFmtId="3" fontId="15" fillId="2" borderId="0" xfId="0" applyNumberFormat="1" applyFont="1" applyFill="1" applyBorder="1" applyAlignment="1"/>
    <xf numFmtId="3" fontId="14" fillId="2" borderId="0" xfId="0" applyNumberFormat="1" applyFont="1" applyFill="1" applyBorder="1" applyAlignment="1"/>
    <xf numFmtId="3" fontId="32" fillId="2" borderId="0" xfId="0" applyNumberFormat="1" applyFont="1" applyFill="1" applyBorder="1" applyAlignment="1"/>
    <xf numFmtId="165" fontId="14" fillId="2" borderId="0" xfId="6" applyFont="1" applyFill="1" applyBorder="1" applyAlignment="1"/>
    <xf numFmtId="3" fontId="14" fillId="2" borderId="0" xfId="0" applyNumberFormat="1" applyFont="1" applyFill="1" applyBorder="1" applyAlignment="1">
      <alignment vertical="center"/>
    </xf>
    <xf numFmtId="3" fontId="14" fillId="4" borderId="0" xfId="0" applyNumberFormat="1" applyFont="1" applyFill="1" applyBorder="1" applyAlignment="1">
      <alignment vertical="center"/>
    </xf>
    <xf numFmtId="3" fontId="15" fillId="2" borderId="20" xfId="0" applyNumberFormat="1" applyFont="1" applyFill="1" applyBorder="1" applyAlignment="1"/>
    <xf numFmtId="3" fontId="14" fillId="2" borderId="20" xfId="0" applyNumberFormat="1" applyFont="1" applyFill="1" applyBorder="1" applyAlignment="1"/>
    <xf numFmtId="3" fontId="14" fillId="6" borderId="0" xfId="0" applyNumberFormat="1" applyFont="1" applyFill="1" applyBorder="1" applyAlignment="1"/>
    <xf numFmtId="3" fontId="15" fillId="6" borderId="0" xfId="0" applyNumberFormat="1" applyFont="1" applyFill="1" applyBorder="1" applyAlignment="1"/>
    <xf numFmtId="0" fontId="15" fillId="6" borderId="2" xfId="3" applyFont="1" applyFill="1" applyBorder="1" applyAlignment="1">
      <alignment horizontal="center" vertical="center"/>
    </xf>
    <xf numFmtId="0" fontId="15" fillId="6" borderId="2" xfId="3" applyNumberFormat="1" applyFont="1" applyFill="1" applyBorder="1" applyAlignment="1">
      <alignment horizontal="left" vertical="center"/>
    </xf>
    <xf numFmtId="3" fontId="15" fillId="6" borderId="2" xfId="0" applyNumberFormat="1" applyFont="1" applyFill="1" applyBorder="1" applyAlignment="1"/>
    <xf numFmtId="165" fontId="15" fillId="6" borderId="2" xfId="6" applyFont="1" applyFill="1" applyBorder="1" applyAlignment="1"/>
    <xf numFmtId="0" fontId="15" fillId="6" borderId="2" xfId="3" applyNumberFormat="1" applyFont="1" applyFill="1" applyBorder="1" applyAlignment="1">
      <alignment horizontal="left" vertical="center" wrapText="1"/>
    </xf>
    <xf numFmtId="3" fontId="23" fillId="2" borderId="0" xfId="0" applyNumberFormat="1" applyFont="1" applyFill="1" applyBorder="1"/>
    <xf numFmtId="3" fontId="0" fillId="2" borderId="0" xfId="0" applyNumberFormat="1" applyFill="1"/>
    <xf numFmtId="3" fontId="14" fillId="2" borderId="0" xfId="0" applyNumberFormat="1" applyFont="1" applyFill="1" applyBorder="1" applyAlignment="1">
      <alignment horizontal="center" wrapText="1"/>
    </xf>
    <xf numFmtId="3" fontId="5" fillId="2" borderId="0" xfId="0" applyNumberFormat="1" applyFont="1" applyFill="1" applyBorder="1" applyAlignment="1">
      <alignment vertical="center" wrapText="1"/>
    </xf>
    <xf numFmtId="167" fontId="14" fillId="6" borderId="0" xfId="0" applyNumberFormat="1" applyFont="1" applyFill="1" applyBorder="1" applyAlignment="1"/>
    <xf numFmtId="167" fontId="15" fillId="6" borderId="0" xfId="0" applyNumberFormat="1" applyFont="1" applyFill="1" applyBorder="1" applyAlignment="1"/>
    <xf numFmtId="167" fontId="0" fillId="2" borderId="0" xfId="0" applyNumberFormat="1" applyFill="1"/>
    <xf numFmtId="164" fontId="32" fillId="2" borderId="2" xfId="2" applyFont="1" applyFill="1" applyBorder="1" applyAlignment="1">
      <alignment horizontal="right"/>
    </xf>
    <xf numFmtId="3" fontId="32" fillId="2" borderId="3" xfId="2" applyNumberFormat="1" applyFont="1" applyFill="1" applyBorder="1" applyAlignment="1">
      <alignment horizontal="right"/>
    </xf>
    <xf numFmtId="3" fontId="62" fillId="2" borderId="0" xfId="0" applyNumberFormat="1" applyFont="1" applyFill="1" applyAlignment="1">
      <alignment horizontal="center"/>
    </xf>
    <xf numFmtId="0" fontId="16" fillId="2" borderId="0" xfId="0" applyFont="1" applyFill="1" applyAlignment="1">
      <alignment horizontal="left"/>
    </xf>
    <xf numFmtId="0" fontId="53" fillId="2" borderId="0" xfId="0" applyFont="1" applyFill="1" applyAlignment="1">
      <alignment horizontal="left"/>
    </xf>
    <xf numFmtId="173" fontId="53" fillId="2" borderId="0" xfId="0" applyNumberFormat="1" applyFont="1" applyFill="1" applyBorder="1"/>
    <xf numFmtId="0" fontId="120" fillId="2" borderId="0" xfId="0" applyNumberFormat="1" applyFont="1" applyFill="1" applyAlignment="1" applyProtection="1">
      <alignment horizontal="center"/>
    </xf>
    <xf numFmtId="0" fontId="16" fillId="2" borderId="0" xfId="0" applyNumberFormat="1" applyFont="1" applyFill="1" applyAlignment="1">
      <alignment horizontal="center"/>
    </xf>
    <xf numFmtId="0" fontId="53" fillId="2" borderId="0" xfId="0" applyFont="1" applyFill="1" applyBorder="1" applyAlignment="1">
      <alignment horizontal="center"/>
    </xf>
    <xf numFmtId="0" fontId="121" fillId="2" borderId="0" xfId="0" applyFont="1" applyFill="1" applyBorder="1" applyAlignment="1" applyProtection="1">
      <alignment horizontal="left"/>
    </xf>
    <xf numFmtId="3" fontId="53" fillId="2" borderId="0" xfId="0" applyNumberFormat="1" applyFont="1" applyFill="1"/>
    <xf numFmtId="0" fontId="121" fillId="2" borderId="0" xfId="0" applyNumberFormat="1" applyFont="1" applyFill="1" applyBorder="1" applyAlignment="1"/>
    <xf numFmtId="173" fontId="53" fillId="2" borderId="0" xfId="0" applyNumberFormat="1" applyFont="1" applyFill="1"/>
    <xf numFmtId="0" fontId="26" fillId="2" borderId="1" xfId="0" applyNumberFormat="1" applyFont="1" applyFill="1" applyBorder="1" applyAlignment="1">
      <alignment horizontal="center" vertical="center"/>
    </xf>
    <xf numFmtId="0" fontId="26" fillId="2" borderId="1" xfId="0" applyNumberFormat="1" applyFont="1" applyFill="1" applyBorder="1" applyAlignment="1" applyProtection="1">
      <alignment horizontal="center" vertical="center"/>
    </xf>
    <xf numFmtId="0" fontId="26" fillId="2" borderId="12" xfId="0" applyNumberFormat="1" applyFont="1" applyFill="1" applyBorder="1" applyAlignment="1">
      <alignment horizontal="center" vertical="center"/>
    </xf>
    <xf numFmtId="0" fontId="14" fillId="2" borderId="0" xfId="0" applyFont="1" applyFill="1" applyAlignment="1">
      <alignment horizontal="center" vertical="center"/>
    </xf>
    <xf numFmtId="0" fontId="26" fillId="2" borderId="1" xfId="0" applyNumberFormat="1" applyFont="1" applyFill="1" applyBorder="1" applyAlignment="1">
      <alignment horizontal="center" vertical="center" wrapText="1"/>
    </xf>
    <xf numFmtId="0" fontId="26" fillId="2" borderId="1" xfId="0" applyNumberFormat="1" applyFont="1" applyFill="1" applyBorder="1" applyAlignment="1" applyProtection="1">
      <alignment horizontal="center" vertical="center" wrapText="1"/>
    </xf>
    <xf numFmtId="0" fontId="26" fillId="2" borderId="13" xfId="0" applyNumberFormat="1" applyFont="1" applyFill="1" applyBorder="1" applyAlignment="1">
      <alignment vertical="center" wrapText="1"/>
    </xf>
    <xf numFmtId="0" fontId="26" fillId="2" borderId="1" xfId="13" applyNumberFormat="1" applyFont="1" applyFill="1" applyBorder="1" applyAlignment="1">
      <alignment horizontal="center" vertical="center" wrapText="1"/>
    </xf>
    <xf numFmtId="0" fontId="14" fillId="2" borderId="0" xfId="0" applyFont="1" applyFill="1" applyAlignment="1">
      <alignment horizontal="center" vertical="center" wrapText="1"/>
    </xf>
    <xf numFmtId="0" fontId="21" fillId="2" borderId="1" xfId="0" applyFont="1" applyFill="1" applyBorder="1" applyAlignment="1">
      <alignment horizontal="center"/>
    </xf>
    <xf numFmtId="0" fontId="21" fillId="2" borderId="1" xfId="0" applyFont="1" applyFill="1" applyBorder="1" applyAlignment="1" applyProtection="1">
      <alignment horizontal="center"/>
    </xf>
    <xf numFmtId="0" fontId="55" fillId="2" borderId="1" xfId="0" applyFont="1" applyFill="1" applyBorder="1" applyAlignment="1">
      <alignment horizontal="center"/>
    </xf>
    <xf numFmtId="0" fontId="123" fillId="2" borderId="1" xfId="0" applyFont="1" applyFill="1" applyBorder="1" applyAlignment="1" applyProtection="1">
      <alignment horizontal="center" wrapText="1"/>
    </xf>
    <xf numFmtId="173" fontId="123" fillId="2" borderId="1" xfId="0" applyNumberFormat="1" applyFont="1" applyFill="1" applyBorder="1" applyAlignment="1" applyProtection="1">
      <alignment horizontal="right"/>
    </xf>
    <xf numFmtId="0" fontId="123" fillId="2" borderId="1" xfId="0" applyFont="1" applyFill="1" applyBorder="1" applyAlignment="1">
      <alignment horizontal="center"/>
    </xf>
    <xf numFmtId="0" fontId="123" fillId="2" borderId="1" xfId="0" applyFont="1" applyFill="1" applyBorder="1" applyAlignment="1" applyProtection="1">
      <alignment horizontal="left" wrapText="1"/>
    </xf>
    <xf numFmtId="174" fontId="60" fillId="2" borderId="1" xfId="0" applyNumberFormat="1" applyFont="1" applyFill="1" applyBorder="1" applyAlignment="1" applyProtection="1">
      <alignment horizontal="center"/>
    </xf>
    <xf numFmtId="0" fontId="60" fillId="2" borderId="1" xfId="0" applyNumberFormat="1" applyFont="1" applyFill="1" applyBorder="1" applyAlignment="1" applyProtection="1">
      <alignment horizontal="left" wrapText="1"/>
    </xf>
    <xf numFmtId="173" fontId="60" fillId="2" borderId="1" xfId="0" applyNumberFormat="1" applyFont="1" applyFill="1" applyBorder="1" applyAlignment="1" applyProtection="1">
      <alignment horizontal="right"/>
    </xf>
    <xf numFmtId="0" fontId="16" fillId="2" borderId="0" xfId="0" applyFont="1" applyFill="1"/>
    <xf numFmtId="174" fontId="124" fillId="2" borderId="1" xfId="0" applyNumberFormat="1" applyFont="1" applyFill="1" applyBorder="1" applyAlignment="1" applyProtection="1">
      <alignment horizontal="center"/>
    </xf>
    <xf numFmtId="0" fontId="124" fillId="2" borderId="1" xfId="0" applyNumberFormat="1" applyFont="1" applyFill="1" applyBorder="1" applyAlignment="1" applyProtection="1">
      <alignment horizontal="left" wrapText="1"/>
    </xf>
    <xf numFmtId="173" fontId="124" fillId="2" borderId="1" xfId="0" applyNumberFormat="1" applyFont="1" applyFill="1" applyBorder="1" applyAlignment="1" applyProtection="1">
      <alignment horizontal="right"/>
    </xf>
    <xf numFmtId="0" fontId="121" fillId="2" borderId="0" xfId="0" applyFont="1" applyFill="1"/>
    <xf numFmtId="174" fontId="90" fillId="2" borderId="1" xfId="0" applyNumberFormat="1" applyFont="1" applyFill="1" applyBorder="1" applyAlignment="1" applyProtection="1">
      <alignment horizontal="center"/>
    </xf>
    <xf numFmtId="0" fontId="90" fillId="2" borderId="1" xfId="0" applyNumberFormat="1" applyFont="1" applyFill="1" applyBorder="1" applyAlignment="1" applyProtection="1">
      <alignment horizontal="left" wrapText="1"/>
    </xf>
    <xf numFmtId="173" fontId="90" fillId="2" borderId="1" xfId="0" applyNumberFormat="1" applyFont="1" applyFill="1" applyBorder="1" applyAlignment="1" applyProtection="1">
      <alignment horizontal="right"/>
    </xf>
    <xf numFmtId="173" fontId="125" fillId="2" borderId="1" xfId="0" applyNumberFormat="1" applyFont="1" applyFill="1" applyBorder="1" applyAlignment="1" applyProtection="1">
      <alignment horizontal="right"/>
    </xf>
    <xf numFmtId="173" fontId="126" fillId="2" borderId="1" xfId="0" applyNumberFormat="1" applyFont="1" applyFill="1" applyBorder="1" applyAlignment="1" applyProtection="1">
      <alignment horizontal="right"/>
    </xf>
    <xf numFmtId="173" fontId="46" fillId="2" borderId="1" xfId="0" applyNumberFormat="1" applyFont="1" applyFill="1" applyBorder="1" applyAlignment="1" applyProtection="1">
      <alignment horizontal="right"/>
    </xf>
    <xf numFmtId="0" fontId="60" fillId="2" borderId="1" xfId="34" applyNumberFormat="1" applyFont="1" applyFill="1" applyBorder="1" applyAlignment="1" applyProtection="1">
      <alignment horizontal="left" wrapText="1"/>
    </xf>
    <xf numFmtId="173" fontId="60" fillId="2" borderId="1" xfId="34" applyNumberFormat="1" applyFont="1" applyFill="1" applyBorder="1" applyAlignment="1" applyProtection="1">
      <alignment horizontal="right"/>
    </xf>
    <xf numFmtId="174" fontId="46" fillId="2" borderId="1" xfId="0" applyNumberFormat="1" applyFont="1" applyFill="1" applyBorder="1" applyAlignment="1" applyProtection="1">
      <alignment horizontal="center"/>
    </xf>
    <xf numFmtId="0" fontId="46" fillId="2" borderId="2" xfId="0" applyNumberFormat="1" applyFont="1" applyFill="1" applyBorder="1" applyAlignment="1" applyProtection="1">
      <alignment horizontal="left"/>
    </xf>
    <xf numFmtId="173" fontId="46" fillId="2" borderId="1" xfId="34" applyNumberFormat="1" applyFont="1" applyFill="1" applyBorder="1" applyAlignment="1" applyProtection="1">
      <alignment horizontal="right"/>
    </xf>
    <xf numFmtId="174" fontId="127" fillId="2" borderId="1" xfId="0" applyNumberFormat="1" applyFont="1" applyFill="1" applyBorder="1" applyAlignment="1" applyProtection="1">
      <alignment horizontal="center"/>
    </xf>
    <xf numFmtId="0" fontId="127" fillId="2" borderId="2" xfId="0" applyNumberFormat="1" applyFont="1" applyFill="1" applyBorder="1" applyAlignment="1" applyProtection="1">
      <alignment horizontal="left"/>
    </xf>
    <xf numFmtId="173" fontId="127" fillId="2" borderId="1" xfId="0" applyNumberFormat="1" applyFont="1" applyFill="1" applyBorder="1" applyAlignment="1" applyProtection="1">
      <alignment horizontal="right"/>
    </xf>
    <xf numFmtId="0" fontId="128" fillId="2" borderId="0" xfId="0" applyFont="1" applyFill="1"/>
    <xf numFmtId="0" fontId="46" fillId="2" borderId="2" xfId="35" applyNumberFormat="1" applyFont="1" applyFill="1" applyBorder="1" applyAlignment="1" applyProtection="1">
      <alignment horizontal="left"/>
    </xf>
    <xf numFmtId="174" fontId="129" fillId="2" borderId="1" xfId="0" applyNumberFormat="1" applyFont="1" applyFill="1" applyBorder="1" applyAlignment="1" applyProtection="1">
      <alignment horizontal="center"/>
    </xf>
    <xf numFmtId="0" fontId="129" fillId="2" borderId="1" xfId="0" applyNumberFormat="1" applyFont="1" applyFill="1" applyBorder="1" applyAlignment="1" applyProtection="1">
      <alignment horizontal="left" wrapText="1"/>
    </xf>
    <xf numFmtId="0" fontId="46" fillId="2" borderId="1" xfId="36" applyNumberFormat="1" applyFont="1" applyFill="1" applyBorder="1" applyAlignment="1" applyProtection="1">
      <alignment horizontal="left" wrapText="1"/>
    </xf>
    <xf numFmtId="173" fontId="46" fillId="2" borderId="1" xfId="36" applyNumberFormat="1" applyFont="1" applyFill="1" applyBorder="1" applyAlignment="1" applyProtection="1">
      <alignment horizontal="right"/>
    </xf>
    <xf numFmtId="0" fontId="127" fillId="2" borderId="1" xfId="36" applyNumberFormat="1" applyFont="1" applyFill="1" applyBorder="1" applyAlignment="1" applyProtection="1">
      <alignment horizontal="left" wrapText="1"/>
    </xf>
    <xf numFmtId="173" fontId="127" fillId="2" borderId="1" xfId="36" applyNumberFormat="1" applyFont="1" applyFill="1" applyBorder="1" applyAlignment="1" applyProtection="1">
      <alignment horizontal="right"/>
    </xf>
    <xf numFmtId="173" fontId="46" fillId="2" borderId="1" xfId="35" applyNumberFormat="1" applyFont="1" applyFill="1" applyBorder="1" applyAlignment="1" applyProtection="1">
      <alignment horizontal="right"/>
    </xf>
    <xf numFmtId="0" fontId="46" fillId="2" borderId="1" xfId="0" applyNumberFormat="1" applyFont="1" applyFill="1" applyBorder="1" applyAlignment="1" applyProtection="1">
      <alignment horizontal="left" wrapText="1"/>
    </xf>
    <xf numFmtId="0" fontId="130" fillId="2" borderId="1" xfId="0" applyNumberFormat="1" applyFont="1" applyFill="1" applyBorder="1" applyAlignment="1" applyProtection="1">
      <alignment horizontal="left" wrapText="1"/>
    </xf>
    <xf numFmtId="173" fontId="130" fillId="2" borderId="1" xfId="35" applyNumberFormat="1" applyFont="1" applyFill="1" applyBorder="1" applyAlignment="1" applyProtection="1">
      <alignment horizontal="right"/>
    </xf>
    <xf numFmtId="173" fontId="126" fillId="2" borderId="1" xfId="36" applyNumberFormat="1" applyFont="1" applyFill="1" applyBorder="1" applyAlignment="1" applyProtection="1">
      <alignment horizontal="right"/>
    </xf>
    <xf numFmtId="0" fontId="126" fillId="2" borderId="1" xfId="36" applyNumberFormat="1" applyFont="1" applyFill="1" applyBorder="1" applyAlignment="1" applyProtection="1">
      <alignment horizontal="left" wrapText="1"/>
    </xf>
    <xf numFmtId="0" fontId="127" fillId="2" borderId="1" xfId="0" applyNumberFormat="1" applyFont="1" applyFill="1" applyBorder="1" applyAlignment="1" applyProtection="1">
      <alignment horizontal="left" wrapText="1"/>
    </xf>
    <xf numFmtId="173" fontId="127" fillId="2" borderId="1" xfId="35" applyNumberFormat="1" applyFont="1" applyFill="1" applyBorder="1" applyAlignment="1" applyProtection="1">
      <alignment horizontal="right"/>
    </xf>
    <xf numFmtId="173" fontId="53" fillId="2" borderId="1" xfId="36" applyNumberFormat="1" applyFont="1" applyFill="1" applyBorder="1" applyAlignment="1" applyProtection="1">
      <alignment horizontal="right"/>
    </xf>
    <xf numFmtId="0" fontId="53" fillId="2" borderId="0" xfId="0" applyFont="1" applyFill="1" applyAlignment="1">
      <alignment horizontal="center"/>
    </xf>
    <xf numFmtId="0" fontId="16" fillId="2" borderId="0" xfId="0" applyFont="1" applyFill="1" applyAlignment="1">
      <alignment horizontal="center"/>
    </xf>
    <xf numFmtId="0" fontId="53" fillId="2" borderId="0" xfId="0" applyFont="1" applyFill="1" applyBorder="1"/>
    <xf numFmtId="173" fontId="53" fillId="4" borderId="0" xfId="0" applyNumberFormat="1" applyFont="1" applyFill="1" applyBorder="1"/>
    <xf numFmtId="0" fontId="121" fillId="4" borderId="0" xfId="0" applyNumberFormat="1" applyFont="1" applyFill="1" applyBorder="1" applyAlignment="1"/>
    <xf numFmtId="0" fontId="26" fillId="4" borderId="1" xfId="13" applyNumberFormat="1" applyFont="1" applyFill="1" applyBorder="1" applyAlignment="1">
      <alignment horizontal="center" vertical="center" wrapText="1"/>
    </xf>
    <xf numFmtId="0" fontId="21" fillId="4" borderId="1" xfId="0" applyFont="1" applyFill="1" applyBorder="1" applyAlignment="1" applyProtection="1">
      <alignment horizontal="center"/>
    </xf>
    <xf numFmtId="173" fontId="123" fillId="4" borderId="1" xfId="0" applyNumberFormat="1" applyFont="1" applyFill="1" applyBorder="1" applyAlignment="1" applyProtection="1">
      <alignment horizontal="right"/>
    </xf>
    <xf numFmtId="173" fontId="60" fillId="4" borderId="1" xfId="0" applyNumberFormat="1" applyFont="1" applyFill="1" applyBorder="1" applyAlignment="1" applyProtection="1">
      <alignment horizontal="right"/>
    </xf>
    <xf numFmtId="173" fontId="124" fillId="4" borderId="1" xfId="0" applyNumberFormat="1" applyFont="1" applyFill="1" applyBorder="1" applyAlignment="1" applyProtection="1">
      <alignment horizontal="right"/>
    </xf>
    <xf numFmtId="173" fontId="90" fillId="4" borderId="1" xfId="0" applyNumberFormat="1" applyFont="1" applyFill="1" applyBorder="1" applyAlignment="1" applyProtection="1">
      <alignment horizontal="right"/>
    </xf>
    <xf numFmtId="173" fontId="46" fillId="4" borderId="1" xfId="0" applyNumberFormat="1" applyFont="1" applyFill="1" applyBorder="1" applyAlignment="1" applyProtection="1">
      <alignment horizontal="right"/>
    </xf>
    <xf numFmtId="173" fontId="60" fillId="4" borderId="1" xfId="34" applyNumberFormat="1" applyFont="1" applyFill="1" applyBorder="1" applyAlignment="1" applyProtection="1">
      <alignment horizontal="right"/>
    </xf>
    <xf numFmtId="173" fontId="46" fillId="4" borderId="1" xfId="34" applyNumberFormat="1" applyFont="1" applyFill="1" applyBorder="1" applyAlignment="1" applyProtection="1">
      <alignment horizontal="right"/>
    </xf>
    <xf numFmtId="173" fontId="127" fillId="4" borderId="1" xfId="0" applyNumberFormat="1" applyFont="1" applyFill="1" applyBorder="1" applyAlignment="1" applyProtection="1">
      <alignment horizontal="right"/>
    </xf>
    <xf numFmtId="173" fontId="46" fillId="4" borderId="1" xfId="36" applyNumberFormat="1" applyFont="1" applyFill="1" applyBorder="1" applyAlignment="1" applyProtection="1">
      <alignment horizontal="right"/>
    </xf>
    <xf numFmtId="173" fontId="127" fillId="4" borderId="1" xfId="36" applyNumberFormat="1" applyFont="1" applyFill="1" applyBorder="1" applyAlignment="1" applyProtection="1">
      <alignment horizontal="right"/>
    </xf>
    <xf numFmtId="173" fontId="46" fillId="4" borderId="1" xfId="35" applyNumberFormat="1" applyFont="1" applyFill="1" applyBorder="1" applyAlignment="1" applyProtection="1">
      <alignment horizontal="right"/>
    </xf>
    <xf numFmtId="173" fontId="130" fillId="4" borderId="1" xfId="35" applyNumberFormat="1" applyFont="1" applyFill="1" applyBorder="1" applyAlignment="1" applyProtection="1">
      <alignment horizontal="right"/>
    </xf>
    <xf numFmtId="173" fontId="126" fillId="4" borderId="1" xfId="36" applyNumberFormat="1" applyFont="1" applyFill="1" applyBorder="1" applyAlignment="1" applyProtection="1">
      <alignment horizontal="right"/>
    </xf>
    <xf numFmtId="173" fontId="53" fillId="4" borderId="1" xfId="36" applyNumberFormat="1" applyFont="1" applyFill="1" applyBorder="1" applyAlignment="1" applyProtection="1">
      <alignment horizontal="right"/>
    </xf>
    <xf numFmtId="0" fontId="53" fillId="4" borderId="0" xfId="0" applyFont="1" applyFill="1" applyBorder="1"/>
    <xf numFmtId="0" fontId="20" fillId="2" borderId="2" xfId="0" applyFont="1" applyFill="1" applyBorder="1" applyAlignment="1">
      <alignment horizontal="center"/>
    </xf>
    <xf numFmtId="0" fontId="20" fillId="2" borderId="2" xfId="0" applyFont="1" applyFill="1" applyBorder="1"/>
    <xf numFmtId="3" fontId="20" fillId="2" borderId="0" xfId="0" applyNumberFormat="1" applyFont="1" applyFill="1"/>
    <xf numFmtId="0" fontId="20" fillId="2" borderId="0" xfId="0" applyFont="1" applyFill="1"/>
    <xf numFmtId="0" fontId="23" fillId="2" borderId="2" xfId="0" applyFont="1" applyFill="1" applyBorder="1" applyAlignment="1">
      <alignment horizontal="center"/>
    </xf>
    <xf numFmtId="0" fontId="23" fillId="2" borderId="2" xfId="0" applyFont="1" applyFill="1" applyBorder="1"/>
    <xf numFmtId="3" fontId="23" fillId="2" borderId="0" xfId="0" applyNumberFormat="1" applyFont="1" applyFill="1"/>
    <xf numFmtId="0" fontId="23" fillId="2" borderId="0" xfId="0" applyFont="1" applyFill="1"/>
    <xf numFmtId="0" fontId="23" fillId="2" borderId="0" xfId="0" applyFont="1" applyFill="1" applyAlignment="1">
      <alignment wrapText="1"/>
    </xf>
    <xf numFmtId="0" fontId="27" fillId="2" borderId="0" xfId="0" applyFont="1" applyFill="1" applyBorder="1" applyAlignment="1">
      <alignment horizontal="center" vertical="center"/>
    </xf>
    <xf numFmtId="164" fontId="95" fillId="2" borderId="2" xfId="2" applyFont="1" applyFill="1" applyBorder="1" applyAlignment="1">
      <alignment horizontal="right"/>
    </xf>
    <xf numFmtId="164" fontId="27" fillId="2" borderId="2" xfId="2" applyFont="1" applyFill="1" applyBorder="1" applyAlignment="1">
      <alignment horizontal="right"/>
    </xf>
    <xf numFmtId="0" fontId="27" fillId="2" borderId="0" xfId="0" applyFont="1" applyFill="1" applyBorder="1" applyAlignment="1">
      <alignment horizontal="left" vertical="center" wrapText="1"/>
    </xf>
    <xf numFmtId="164" fontId="32" fillId="2" borderId="9" xfId="2" applyFont="1" applyFill="1" applyBorder="1" applyAlignment="1"/>
    <xf numFmtId="3" fontId="62" fillId="6" borderId="0" xfId="0" applyNumberFormat="1" applyFont="1" applyFill="1"/>
    <xf numFmtId="0" fontId="0" fillId="0" borderId="0" xfId="0"/>
    <xf numFmtId="3" fontId="21" fillId="2" borderId="2" xfId="0" applyNumberFormat="1" applyFont="1" applyFill="1" applyBorder="1" applyAlignment="1">
      <alignment vertical="center" wrapText="1"/>
    </xf>
    <xf numFmtId="164" fontId="32" fillId="2" borderId="2" xfId="2" applyFont="1" applyFill="1" applyBorder="1"/>
    <xf numFmtId="3" fontId="63" fillId="2" borderId="0" xfId="0" applyNumberFormat="1" applyFont="1" applyFill="1"/>
    <xf numFmtId="164" fontId="32" fillId="2" borderId="0" xfId="2" applyFont="1" applyFill="1"/>
    <xf numFmtId="164" fontId="12" fillId="2" borderId="1" xfId="2" applyFont="1" applyFill="1" applyBorder="1" applyAlignment="1">
      <alignment horizontal="center" vertical="center" wrapText="1"/>
    </xf>
    <xf numFmtId="164" fontId="12" fillId="2" borderId="7" xfId="2" applyFont="1" applyFill="1" applyBorder="1" applyAlignment="1">
      <alignment horizontal="center" vertical="center" wrapText="1"/>
    </xf>
    <xf numFmtId="164" fontId="12" fillId="2" borderId="5" xfId="2" applyFont="1" applyFill="1" applyBorder="1"/>
    <xf numFmtId="164" fontId="12" fillId="2" borderId="2" xfId="2" applyFont="1" applyFill="1" applyBorder="1"/>
    <xf numFmtId="3" fontId="32" fillId="2" borderId="3" xfId="2" applyNumberFormat="1" applyFont="1" applyFill="1" applyBorder="1" applyAlignment="1"/>
    <xf numFmtId="3" fontId="21" fillId="2" borderId="2" xfId="0" applyNumberFormat="1" applyFont="1" applyFill="1" applyBorder="1" applyAlignment="1">
      <alignment horizontal="center"/>
    </xf>
    <xf numFmtId="3" fontId="21" fillId="2" borderId="2" xfId="0" applyNumberFormat="1" applyFont="1" applyFill="1" applyBorder="1" applyAlignment="1">
      <alignment wrapText="1"/>
    </xf>
    <xf numFmtId="3" fontId="26" fillId="2" borderId="2" xfId="0" applyNumberFormat="1" applyFont="1" applyFill="1" applyBorder="1" applyAlignment="1">
      <alignment vertical="center" wrapText="1"/>
    </xf>
    <xf numFmtId="3" fontId="21" fillId="2" borderId="3" xfId="0" applyNumberFormat="1" applyFont="1" applyFill="1" applyBorder="1" applyAlignment="1">
      <alignment horizontal="center"/>
    </xf>
    <xf numFmtId="0" fontId="1" fillId="0" borderId="1" xfId="0" applyFont="1" applyBorder="1" applyAlignment="1">
      <alignment horizontal="center" vertical="center" wrapText="1"/>
    </xf>
    <xf numFmtId="0" fontId="3" fillId="0" borderId="10" xfId="0" applyFont="1" applyBorder="1" applyAlignment="1">
      <alignment horizontal="center" vertical="center"/>
    </xf>
    <xf numFmtId="0" fontId="85" fillId="2" borderId="1" xfId="0" applyFont="1" applyFill="1" applyBorder="1" applyAlignment="1">
      <alignment horizontal="center" vertical="center" wrapText="1"/>
    </xf>
    <xf numFmtId="166" fontId="1" fillId="0" borderId="2" xfId="0" applyNumberFormat="1" applyFont="1" applyBorder="1" applyAlignment="1">
      <alignment vertical="center" wrapText="1"/>
    </xf>
    <xf numFmtId="166" fontId="1" fillId="0" borderId="2" xfId="1" applyNumberFormat="1" applyFont="1" applyBorder="1" applyAlignment="1">
      <alignment horizontal="right" vertical="center" wrapText="1"/>
    </xf>
    <xf numFmtId="166" fontId="1" fillId="0" borderId="2" xfId="0" applyNumberFormat="1" applyFont="1" applyBorder="1" applyAlignment="1">
      <alignment horizontal="right" vertical="center" wrapText="1"/>
    </xf>
    <xf numFmtId="166" fontId="0" fillId="0" borderId="0" xfId="0" applyNumberFormat="1"/>
    <xf numFmtId="166" fontId="21" fillId="2" borderId="2" xfId="1" applyNumberFormat="1" applyFont="1" applyFill="1" applyBorder="1" applyAlignment="1">
      <alignment vertical="center"/>
    </xf>
    <xf numFmtId="0" fontId="40" fillId="2" borderId="9" xfId="0" applyFont="1" applyFill="1" applyBorder="1" applyAlignment="1">
      <alignment horizontal="center" vertical="center"/>
    </xf>
    <xf numFmtId="0" fontId="40" fillId="2" borderId="9" xfId="0" applyFont="1" applyFill="1" applyBorder="1" applyAlignment="1">
      <alignment vertical="center"/>
    </xf>
    <xf numFmtId="166" fontId="40" fillId="2" borderId="9" xfId="1" applyNumberFormat="1" applyFont="1" applyFill="1" applyBorder="1" applyAlignment="1">
      <alignment vertical="center"/>
    </xf>
    <xf numFmtId="3" fontId="5" fillId="2" borderId="3" xfId="0" applyNumberFormat="1" applyFont="1" applyFill="1" applyBorder="1" applyAlignment="1">
      <alignment vertical="center" wrapText="1"/>
    </xf>
    <xf numFmtId="0" fontId="39" fillId="2" borderId="3" xfId="0" applyFont="1" applyFill="1" applyBorder="1" applyAlignment="1">
      <alignment horizontal="center" vertical="center"/>
    </xf>
    <xf numFmtId="3" fontId="21" fillId="2" borderId="2" xfId="0" applyNumberFormat="1" applyFont="1" applyFill="1" applyBorder="1" applyAlignment="1">
      <alignment horizontal="center" wrapText="1"/>
    </xf>
    <xf numFmtId="3" fontId="5" fillId="2" borderId="9" xfId="0" applyNumberFormat="1" applyFont="1" applyFill="1" applyBorder="1" applyAlignment="1">
      <alignment vertical="center" wrapText="1"/>
    </xf>
    <xf numFmtId="3" fontId="14" fillId="0" borderId="1" xfId="0" applyNumberFormat="1" applyFont="1" applyFill="1" applyBorder="1" applyAlignment="1">
      <alignment horizontal="center" vertical="center" wrapText="1"/>
    </xf>
    <xf numFmtId="0" fontId="26" fillId="0" borderId="1" xfId="13" applyFont="1" applyFill="1" applyBorder="1" applyAlignment="1">
      <alignment horizontal="center" vertical="center" wrapText="1"/>
    </xf>
    <xf numFmtId="0" fontId="36" fillId="2" borderId="2" xfId="0" applyFont="1" applyFill="1" applyBorder="1" applyAlignment="1">
      <alignment horizontal="center"/>
    </xf>
    <xf numFmtId="0" fontId="36" fillId="2" borderId="2" xfId="0" applyFont="1" applyFill="1" applyBorder="1" applyAlignment="1">
      <alignment wrapText="1"/>
    </xf>
    <xf numFmtId="0" fontId="36" fillId="2" borderId="0" xfId="0" applyFont="1" applyFill="1"/>
    <xf numFmtId="3" fontId="36" fillId="2" borderId="0" xfId="0" applyNumberFormat="1" applyFont="1" applyFill="1"/>
    <xf numFmtId="3" fontId="36" fillId="2" borderId="2" xfId="0" applyNumberFormat="1" applyFont="1" applyFill="1" applyBorder="1" applyAlignment="1">
      <alignment vertical="center"/>
    </xf>
    <xf numFmtId="3" fontId="14" fillId="2" borderId="2" xfId="0" applyNumberFormat="1" applyFont="1" applyFill="1" applyBorder="1" applyAlignment="1">
      <alignment horizontal="center" vertical="center" wrapText="1"/>
    </xf>
    <xf numFmtId="3" fontId="17" fillId="2" borderId="2" xfId="0" applyNumberFormat="1" applyFont="1" applyFill="1" applyBorder="1" applyAlignment="1">
      <alignment horizontal="center" vertical="center" wrapText="1"/>
    </xf>
    <xf numFmtId="3" fontId="17" fillId="2" borderId="2" xfId="0" applyNumberFormat="1" applyFont="1" applyFill="1" applyBorder="1" applyAlignment="1">
      <alignment horizontal="justify" vertical="center"/>
    </xf>
    <xf numFmtId="3" fontId="15" fillId="2" borderId="2" xfId="11" applyNumberFormat="1" applyFont="1" applyFill="1" applyBorder="1" applyAlignment="1">
      <alignment horizontal="left" wrapText="1"/>
    </xf>
    <xf numFmtId="3" fontId="15" fillId="2" borderId="2" xfId="12" applyNumberFormat="1" applyFont="1" applyFill="1" applyBorder="1" applyAlignment="1">
      <alignment wrapText="1"/>
    </xf>
    <xf numFmtId="3" fontId="15" fillId="2" borderId="2" xfId="0" applyNumberFormat="1" applyFont="1" applyFill="1" applyBorder="1" applyAlignment="1">
      <alignment horizontal="left" vertical="center" wrapText="1"/>
    </xf>
    <xf numFmtId="3" fontId="15" fillId="2" borderId="9" xfId="0" applyNumberFormat="1" applyFont="1" applyFill="1" applyBorder="1" applyAlignment="1">
      <alignment horizontal="left" vertical="center" wrapText="1"/>
    </xf>
    <xf numFmtId="3" fontId="15" fillId="2" borderId="9" xfId="0" applyNumberFormat="1" applyFont="1" applyFill="1" applyBorder="1" applyAlignment="1">
      <alignment vertical="center" wrapText="1"/>
    </xf>
    <xf numFmtId="2" fontId="15" fillId="2" borderId="9" xfId="0" applyNumberFormat="1" applyFont="1" applyFill="1" applyBorder="1" applyAlignment="1">
      <alignment vertical="center" wrapText="1"/>
    </xf>
    <xf numFmtId="0" fontId="15" fillId="2" borderId="9" xfId="0" applyFont="1" applyFill="1" applyBorder="1" applyAlignment="1">
      <alignment vertical="center" wrapText="1"/>
    </xf>
    <xf numFmtId="0" fontId="15" fillId="2" borderId="3" xfId="0" applyFont="1" applyFill="1" applyBorder="1" applyAlignment="1">
      <alignment vertical="center" wrapText="1"/>
    </xf>
    <xf numFmtId="37" fontId="87" fillId="2" borderId="0" xfId="0" applyNumberFormat="1" applyFont="1" applyFill="1"/>
    <xf numFmtId="0" fontId="15" fillId="2" borderId="0" xfId="0" applyFont="1" applyFill="1"/>
    <xf numFmtId="0" fontId="17" fillId="2" borderId="0" xfId="0" applyFont="1" applyFill="1" applyAlignment="1">
      <alignment horizontal="right" vertical="center"/>
    </xf>
    <xf numFmtId="0" fontId="14" fillId="2" borderId="7" xfId="0" applyFont="1" applyFill="1" applyBorder="1" applyAlignment="1">
      <alignment horizontal="center" vertical="center" wrapText="1"/>
    </xf>
    <xf numFmtId="0" fontId="14" fillId="2" borderId="1" xfId="0" applyFont="1" applyFill="1" applyBorder="1" applyAlignment="1">
      <alignment horizontal="center" vertical="center" wrapText="1"/>
    </xf>
    <xf numFmtId="0" fontId="14" fillId="2" borderId="4" xfId="0" applyFont="1" applyFill="1" applyBorder="1" applyAlignment="1">
      <alignment horizontal="center" vertical="center" wrapText="1"/>
    </xf>
    <xf numFmtId="0" fontId="15" fillId="2" borderId="2" xfId="0" applyFont="1" applyFill="1" applyBorder="1" applyAlignment="1">
      <alignment horizontal="center" vertical="center" wrapText="1"/>
    </xf>
    <xf numFmtId="0" fontId="14" fillId="2" borderId="3" xfId="0" applyFont="1" applyFill="1" applyBorder="1" applyAlignment="1">
      <alignment horizontal="center" vertical="center" wrapText="1"/>
    </xf>
    <xf numFmtId="0" fontId="14" fillId="2" borderId="3" xfId="0" applyFont="1" applyFill="1" applyBorder="1" applyAlignment="1">
      <alignment vertical="center" wrapText="1"/>
    </xf>
    <xf numFmtId="3" fontId="14" fillId="2" borderId="3" xfId="0" applyNumberFormat="1" applyFont="1" applyFill="1" applyBorder="1" applyAlignment="1">
      <alignment vertical="center" wrapText="1"/>
    </xf>
    <xf numFmtId="0" fontId="15" fillId="2" borderId="4" xfId="0" applyFont="1" applyFill="1" applyBorder="1" applyAlignment="1">
      <alignment horizontal="center" vertical="center" wrapText="1"/>
    </xf>
    <xf numFmtId="0" fontId="15" fillId="2" borderId="4" xfId="0" applyFont="1" applyFill="1" applyBorder="1" applyAlignment="1">
      <alignment vertical="center" wrapText="1"/>
    </xf>
    <xf numFmtId="0" fontId="15" fillId="2" borderId="3"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14" fillId="2" borderId="1" xfId="0" applyFont="1" applyFill="1" applyBorder="1" applyAlignment="1">
      <alignment horizontal="center" vertical="center" wrapText="1"/>
    </xf>
    <xf numFmtId="0" fontId="39" fillId="2" borderId="1" xfId="0" applyFont="1" applyFill="1" applyBorder="1" applyAlignment="1">
      <alignment horizontal="center" vertical="center" wrapText="1"/>
    </xf>
    <xf numFmtId="0" fontId="39" fillId="2" borderId="7" xfId="0" applyFont="1" applyFill="1" applyBorder="1" applyAlignment="1">
      <alignment horizontal="center" vertical="center" wrapText="1"/>
    </xf>
    <xf numFmtId="0" fontId="39" fillId="2" borderId="8" xfId="0" applyFont="1" applyFill="1" applyBorder="1" applyAlignment="1">
      <alignment horizontal="center" vertical="center" wrapText="1"/>
    </xf>
    <xf numFmtId="166" fontId="39" fillId="2" borderId="7" xfId="1" applyNumberFormat="1" applyFont="1" applyFill="1" applyBorder="1" applyAlignment="1">
      <alignment horizontal="center" vertical="center" wrapText="1"/>
    </xf>
    <xf numFmtId="166" fontId="39" fillId="2" borderId="8" xfId="1" applyNumberFormat="1" applyFont="1" applyFill="1" applyBorder="1" applyAlignment="1">
      <alignment horizontal="center" vertical="center" wrapText="1"/>
    </xf>
    <xf numFmtId="3" fontId="15" fillId="2" borderId="2" xfId="17" applyNumberFormat="1" applyFont="1" applyFill="1" applyBorder="1" applyAlignment="1">
      <alignment horizontal="center" vertical="center" wrapText="1"/>
    </xf>
    <xf numFmtId="3" fontId="14" fillId="2" borderId="2" xfId="17" quotePrefix="1" applyNumberFormat="1" applyFont="1" applyFill="1" applyBorder="1" applyAlignment="1">
      <alignment horizontal="center" vertical="center" wrapText="1"/>
    </xf>
    <xf numFmtId="3" fontId="14" fillId="2" borderId="2" xfId="17" quotePrefix="1" applyNumberFormat="1" applyFont="1" applyFill="1" applyBorder="1" applyAlignment="1">
      <alignment vertical="center" wrapText="1"/>
    </xf>
    <xf numFmtId="3" fontId="15" fillId="2" borderId="2" xfId="0" applyNumberFormat="1" applyFont="1" applyFill="1" applyBorder="1" applyAlignment="1">
      <alignment horizontal="center" vertical="center" wrapText="1"/>
    </xf>
    <xf numFmtId="3" fontId="15" fillId="2" borderId="2" xfId="17" applyNumberFormat="1" applyFont="1" applyFill="1" applyBorder="1" applyAlignment="1">
      <alignment vertical="center" wrapText="1"/>
    </xf>
    <xf numFmtId="3" fontId="14" fillId="2" borderId="2" xfId="0" applyNumberFormat="1" applyFont="1" applyFill="1" applyBorder="1" applyAlignment="1">
      <alignment horizontal="left" vertical="center" wrapText="1"/>
    </xf>
    <xf numFmtId="3" fontId="14" fillId="2" borderId="2" xfId="17" applyNumberFormat="1" applyFont="1" applyFill="1" applyBorder="1" applyAlignment="1">
      <alignment vertical="center" wrapText="1"/>
    </xf>
    <xf numFmtId="3" fontId="14" fillId="2" borderId="2" xfId="17" applyNumberFormat="1" applyFont="1" applyFill="1" applyBorder="1" applyAlignment="1">
      <alignment horizontal="center" vertical="center" wrapText="1"/>
    </xf>
    <xf numFmtId="3" fontId="15" fillId="2" borderId="2" xfId="24" applyNumberFormat="1" applyFont="1" applyFill="1" applyBorder="1" applyAlignment="1">
      <alignment vertical="center" wrapText="1"/>
    </xf>
    <xf numFmtId="3" fontId="15" fillId="2" borderId="2" xfId="17" applyNumberFormat="1" applyFont="1" applyFill="1" applyBorder="1" applyAlignment="1">
      <alignment vertical="center"/>
    </xf>
    <xf numFmtId="3" fontId="15" fillId="2" borderId="2" xfId="17" quotePrefix="1" applyNumberFormat="1" applyFont="1" applyFill="1" applyBorder="1" applyAlignment="1">
      <alignment vertical="center" wrapText="1"/>
    </xf>
    <xf numFmtId="1" fontId="15" fillId="2" borderId="2" xfId="17" applyNumberFormat="1" applyFont="1" applyFill="1" applyBorder="1" applyAlignment="1">
      <alignment vertical="center" wrapText="1"/>
    </xf>
    <xf numFmtId="1" fontId="14" fillId="2" borderId="2" xfId="17" applyNumberFormat="1" applyFont="1" applyFill="1" applyBorder="1" applyAlignment="1">
      <alignment vertical="center" wrapText="1"/>
    </xf>
    <xf numFmtId="4" fontId="15" fillId="2" borderId="2" xfId="0" applyNumberFormat="1" applyFont="1" applyFill="1" applyBorder="1" applyAlignment="1">
      <alignment vertical="center" wrapText="1"/>
    </xf>
    <xf numFmtId="4" fontId="14" fillId="2" borderId="2" xfId="0" applyNumberFormat="1" applyFont="1" applyFill="1" applyBorder="1" applyAlignment="1">
      <alignment vertical="center" wrapText="1"/>
    </xf>
    <xf numFmtId="3" fontId="14" fillId="2" borderId="2" xfId="20" applyNumberFormat="1" applyFont="1" applyFill="1" applyBorder="1" applyAlignment="1">
      <alignment vertical="center" wrapText="1"/>
    </xf>
    <xf numFmtId="3" fontId="15" fillId="2" borderId="2" xfId="4" applyNumberFormat="1" applyFont="1" applyFill="1" applyBorder="1" applyAlignment="1">
      <alignment vertical="center" wrapText="1"/>
    </xf>
    <xf numFmtId="3" fontId="15" fillId="2" borderId="2" xfId="27" applyNumberFormat="1" applyFont="1" applyFill="1" applyBorder="1" applyAlignment="1">
      <alignment vertical="center" wrapText="1"/>
    </xf>
    <xf numFmtId="3" fontId="15" fillId="2" borderId="2" xfId="18" applyNumberFormat="1" applyFont="1" applyFill="1" applyBorder="1" applyAlignment="1">
      <alignment vertical="center" wrapText="1"/>
    </xf>
    <xf numFmtId="3" fontId="15" fillId="2" borderId="2" xfId="17" applyNumberFormat="1" applyFont="1" applyFill="1" applyBorder="1" applyAlignment="1">
      <alignment horizontal="left" vertical="center" wrapText="1"/>
    </xf>
    <xf numFmtId="3" fontId="15" fillId="2" borderId="2" xfId="20" applyNumberFormat="1" applyFont="1" applyFill="1" applyBorder="1" applyAlignment="1">
      <alignment vertical="center" wrapText="1"/>
    </xf>
    <xf numFmtId="3" fontId="15" fillId="2" borderId="2" xfId="0" applyNumberFormat="1" applyFont="1" applyFill="1" applyBorder="1" applyAlignment="1">
      <alignment vertical="center"/>
    </xf>
    <xf numFmtId="3" fontId="14" fillId="2" borderId="2" xfId="17" applyNumberFormat="1" applyFont="1" applyFill="1" applyBorder="1" applyAlignment="1">
      <alignment horizontal="left" vertical="center" wrapText="1"/>
    </xf>
    <xf numFmtId="3" fontId="14" fillId="2" borderId="2" xfId="18" applyNumberFormat="1" applyFont="1" applyFill="1" applyBorder="1" applyAlignment="1">
      <alignment vertical="center" wrapText="1"/>
    </xf>
    <xf numFmtId="3" fontId="14" fillId="2" borderId="2" xfId="4" applyNumberFormat="1" applyFont="1" applyFill="1" applyBorder="1" applyAlignment="1">
      <alignment vertical="center" wrapText="1"/>
    </xf>
    <xf numFmtId="3" fontId="14" fillId="2" borderId="2" xfId="27" applyNumberFormat="1" applyFont="1" applyFill="1" applyBorder="1" applyAlignment="1">
      <alignment vertical="center" wrapText="1"/>
    </xf>
    <xf numFmtId="3" fontId="15" fillId="2" borderId="2" xfId="19" applyNumberFormat="1" applyFont="1" applyFill="1" applyBorder="1" applyAlignment="1">
      <alignment vertical="center" wrapText="1"/>
    </xf>
    <xf numFmtId="168" fontId="15" fillId="2" borderId="2" xfId="0" applyNumberFormat="1" applyFont="1" applyFill="1" applyBorder="1" applyAlignment="1">
      <alignment vertical="center" wrapText="1"/>
    </xf>
    <xf numFmtId="168" fontId="14" fillId="2" borderId="2" xfId="0" applyNumberFormat="1" applyFont="1" applyFill="1" applyBorder="1" applyAlignment="1">
      <alignment vertical="center" wrapText="1"/>
    </xf>
    <xf numFmtId="3" fontId="14" fillId="2" borderId="2" xfId="19" applyNumberFormat="1" applyFont="1" applyFill="1" applyBorder="1" applyAlignment="1">
      <alignment vertical="center" wrapText="1"/>
    </xf>
    <xf numFmtId="0" fontId="15" fillId="2" borderId="2" xfId="0" applyFont="1" applyFill="1" applyBorder="1" applyAlignment="1">
      <alignment vertical="center"/>
    </xf>
    <xf numFmtId="0" fontId="14" fillId="2" borderId="2" xfId="0" applyFont="1" applyFill="1" applyBorder="1" applyAlignment="1">
      <alignment vertical="center"/>
    </xf>
    <xf numFmtId="3" fontId="14" fillId="2" borderId="3" xfId="17" applyNumberFormat="1" applyFont="1" applyFill="1" applyBorder="1" applyAlignment="1">
      <alignment vertical="center" wrapText="1"/>
    </xf>
    <xf numFmtId="3" fontId="21" fillId="2" borderId="2" xfId="0" applyNumberFormat="1" applyFont="1" applyFill="1" applyBorder="1" applyAlignment="1">
      <alignment horizontal="left" vertical="center" wrapText="1"/>
    </xf>
    <xf numFmtId="0" fontId="21" fillId="2" borderId="2" xfId="0" applyFont="1" applyFill="1" applyBorder="1" applyAlignment="1">
      <alignment horizontal="left" vertical="center" wrapText="1"/>
    </xf>
    <xf numFmtId="0" fontId="15" fillId="2" borderId="0" xfId="0" applyFont="1" applyFill="1" applyAlignment="1">
      <alignment vertical="center"/>
    </xf>
    <xf numFmtId="0" fontId="14" fillId="2" borderId="5" xfId="0" applyFont="1" applyFill="1" applyBorder="1" applyAlignment="1">
      <alignment horizontal="center" vertical="center" wrapText="1"/>
    </xf>
    <xf numFmtId="0" fontId="14" fillId="2" borderId="5" xfId="0" applyFont="1" applyFill="1" applyBorder="1" applyAlignment="1">
      <alignment vertical="center" wrapText="1"/>
    </xf>
    <xf numFmtId="3" fontId="14" fillId="2" borderId="5" xfId="0" applyNumberFormat="1" applyFont="1" applyFill="1" applyBorder="1" applyAlignment="1">
      <alignment horizontal="right" vertical="center" wrapText="1"/>
    </xf>
    <xf numFmtId="3" fontId="15" fillId="2" borderId="0" xfId="0" applyNumberFormat="1" applyFont="1" applyFill="1" applyAlignment="1">
      <alignment vertical="center"/>
    </xf>
    <xf numFmtId="3" fontId="14" fillId="2" borderId="2" xfId="0" applyNumberFormat="1" applyFont="1" applyFill="1" applyBorder="1" applyAlignment="1">
      <alignment horizontal="right" vertical="center" wrapText="1"/>
    </xf>
    <xf numFmtId="3" fontId="15" fillId="2" borderId="2" xfId="0" applyNumberFormat="1" applyFont="1" applyFill="1" applyBorder="1" applyAlignment="1">
      <alignment horizontal="right" vertical="center" wrapText="1"/>
    </xf>
    <xf numFmtId="0" fontId="14" fillId="2" borderId="3" xfId="0" applyFont="1" applyFill="1" applyBorder="1" applyAlignment="1">
      <alignment horizontal="right" vertical="center" wrapText="1"/>
    </xf>
    <xf numFmtId="0" fontId="17" fillId="2" borderId="0" xfId="21" applyFont="1" applyFill="1" applyAlignment="1">
      <alignment vertical="center" wrapText="1"/>
    </xf>
    <xf numFmtId="0" fontId="15" fillId="2" borderId="2" xfId="0" applyFont="1" applyFill="1" applyBorder="1" applyAlignment="1">
      <alignment horizontal="right" vertical="center" wrapText="1"/>
    </xf>
    <xf numFmtId="3" fontId="14" fillId="2" borderId="3" xfId="0" applyNumberFormat="1" applyFont="1" applyFill="1" applyBorder="1" applyAlignment="1">
      <alignment horizontal="right" vertical="center" wrapText="1"/>
    </xf>
    <xf numFmtId="3" fontId="18" fillId="0" borderId="2" xfId="4" applyNumberFormat="1" applyFont="1" applyFill="1" applyBorder="1" applyAlignment="1">
      <alignment vertical="center" wrapText="1"/>
    </xf>
    <xf numFmtId="0" fontId="15" fillId="2" borderId="9" xfId="0" applyFont="1" applyFill="1" applyBorder="1" applyAlignment="1">
      <alignment horizontal="center" vertical="center" wrapText="1"/>
    </xf>
    <xf numFmtId="0" fontId="17" fillId="2" borderId="2" xfId="0" applyFont="1" applyFill="1" applyBorder="1" applyAlignment="1">
      <alignment vertical="center" wrapText="1"/>
    </xf>
    <xf numFmtId="0" fontId="27" fillId="0" borderId="0" xfId="0" applyFont="1" applyFill="1" applyAlignment="1">
      <alignment horizontal="right" vertical="center"/>
    </xf>
    <xf numFmtId="0" fontId="26" fillId="0" borderId="1" xfId="0" applyFont="1" applyFill="1" applyBorder="1" applyAlignment="1">
      <alignment horizontal="center" vertical="center" wrapText="1"/>
    </xf>
    <xf numFmtId="0" fontId="26" fillId="0" borderId="4" xfId="0" applyFont="1" applyFill="1" applyBorder="1" applyAlignment="1">
      <alignment horizontal="center" vertical="center" wrapText="1"/>
    </xf>
    <xf numFmtId="166" fontId="26" fillId="0" borderId="4" xfId="1" applyNumberFormat="1" applyFont="1" applyFill="1" applyBorder="1" applyAlignment="1">
      <alignment vertical="center"/>
    </xf>
    <xf numFmtId="166" fontId="26" fillId="0" borderId="4" xfId="1" applyNumberFormat="1" applyFont="1" applyFill="1" applyBorder="1" applyAlignment="1">
      <alignment horizontal="right" vertical="center"/>
    </xf>
    <xf numFmtId="9" fontId="26" fillId="0" borderId="4" xfId="1" applyNumberFormat="1" applyFont="1" applyFill="1" applyBorder="1" applyAlignment="1">
      <alignment vertical="center"/>
    </xf>
    <xf numFmtId="166" fontId="26" fillId="0" borderId="4" xfId="1" applyNumberFormat="1" applyFont="1" applyFill="1" applyBorder="1"/>
    <xf numFmtId="0" fontId="26" fillId="0" borderId="0" xfId="0" applyFont="1" applyFill="1"/>
    <xf numFmtId="0" fontId="26" fillId="0" borderId="2" xfId="0" applyFont="1" applyFill="1" applyBorder="1" applyAlignment="1">
      <alignment horizontal="center" vertical="center" wrapText="1"/>
    </xf>
    <xf numFmtId="0" fontId="26" fillId="0" borderId="2" xfId="0" applyFont="1" applyFill="1" applyBorder="1" applyAlignment="1">
      <alignment vertical="center" wrapText="1"/>
    </xf>
    <xf numFmtId="166" fontId="26" fillId="0" borderId="2" xfId="1" applyNumberFormat="1" applyFont="1" applyFill="1" applyBorder="1" applyAlignment="1"/>
    <xf numFmtId="166" fontId="26" fillId="0" borderId="2" xfId="1" applyNumberFormat="1" applyFont="1" applyFill="1" applyBorder="1" applyAlignment="1">
      <alignment horizontal="right"/>
    </xf>
    <xf numFmtId="166" fontId="26" fillId="0" borderId="2" xfId="1" applyNumberFormat="1" applyFont="1" applyFill="1" applyBorder="1"/>
    <xf numFmtId="9" fontId="26" fillId="0" borderId="4" xfId="1" applyNumberFormat="1" applyFont="1" applyFill="1" applyBorder="1"/>
    <xf numFmtId="166" fontId="26" fillId="0" borderId="0" xfId="0" applyNumberFormat="1" applyFont="1" applyFill="1"/>
    <xf numFmtId="0" fontId="21" fillId="0" borderId="2" xfId="0" applyFont="1" applyFill="1" applyBorder="1" applyAlignment="1">
      <alignment horizontal="center" vertical="center" wrapText="1"/>
    </xf>
    <xf numFmtId="166" fontId="21" fillId="0" borderId="2" xfId="1" applyNumberFormat="1" applyFont="1" applyFill="1" applyBorder="1" applyAlignment="1">
      <alignment horizontal="center" vertical="center" wrapText="1"/>
    </xf>
    <xf numFmtId="9" fontId="21" fillId="0" borderId="4" xfId="1" applyNumberFormat="1" applyFont="1" applyFill="1" applyBorder="1"/>
    <xf numFmtId="166" fontId="21" fillId="0" borderId="2" xfId="1" applyNumberFormat="1" applyFont="1" applyFill="1" applyBorder="1"/>
    <xf numFmtId="166" fontId="21" fillId="0" borderId="0" xfId="0" applyNumberFormat="1" applyFont="1" applyFill="1"/>
    <xf numFmtId="166" fontId="21" fillId="0" borderId="18" xfId="1" applyNumberFormat="1" applyFont="1" applyFill="1" applyBorder="1"/>
    <xf numFmtId="166" fontId="26" fillId="0" borderId="2" xfId="1" applyNumberFormat="1" applyFont="1" applyFill="1" applyBorder="1" applyAlignment="1">
      <alignment horizontal="center" vertical="center" wrapText="1"/>
    </xf>
    <xf numFmtId="0" fontId="27" fillId="0" borderId="2" xfId="0" applyFont="1" applyFill="1" applyBorder="1" applyAlignment="1">
      <alignment vertical="center" wrapText="1"/>
    </xf>
    <xf numFmtId="166" fontId="27" fillId="0" borderId="2" xfId="1" applyNumberFormat="1" applyFont="1" applyFill="1" applyBorder="1" applyAlignment="1">
      <alignment horizontal="center" vertical="center" wrapText="1"/>
    </xf>
    <xf numFmtId="0" fontId="27" fillId="0" borderId="2" xfId="0" applyFont="1" applyFill="1" applyBorder="1" applyAlignment="1">
      <alignment horizontal="center" vertical="center" wrapText="1"/>
    </xf>
    <xf numFmtId="166" fontId="27" fillId="0" borderId="2" xfId="1" applyNumberFormat="1" applyFont="1" applyFill="1" applyBorder="1"/>
    <xf numFmtId="166" fontId="28" fillId="0" borderId="2" xfId="1" applyNumberFormat="1" applyFont="1" applyFill="1" applyBorder="1"/>
    <xf numFmtId="0" fontId="27" fillId="0" borderId="0" xfId="0" applyFont="1" applyFill="1"/>
    <xf numFmtId="0" fontId="26" fillId="2" borderId="2" xfId="0" applyFont="1" applyFill="1" applyBorder="1" applyAlignment="1">
      <alignment horizontal="center" vertical="center" wrapText="1"/>
    </xf>
    <xf numFmtId="166" fontId="26" fillId="2" borderId="2" xfId="1" applyNumberFormat="1" applyFont="1" applyFill="1" applyBorder="1" applyAlignment="1">
      <alignment horizontal="center" vertical="center" wrapText="1"/>
    </xf>
    <xf numFmtId="166" fontId="26" fillId="2" borderId="2" xfId="1" applyNumberFormat="1" applyFont="1" applyFill="1" applyBorder="1"/>
    <xf numFmtId="0" fontId="26" fillId="0" borderId="3" xfId="0" applyFont="1" applyFill="1" applyBorder="1" applyAlignment="1">
      <alignment horizontal="center" vertical="center" wrapText="1"/>
    </xf>
    <xf numFmtId="0" fontId="26" fillId="0" borderId="3" xfId="0" applyFont="1" applyFill="1" applyBorder="1" applyAlignment="1">
      <alignment vertical="center" wrapText="1"/>
    </xf>
    <xf numFmtId="166" fontId="26" fillId="0" borderId="3" xfId="1" applyNumberFormat="1" applyFont="1" applyFill="1" applyBorder="1" applyAlignment="1">
      <alignment horizontal="center" vertical="center" wrapText="1"/>
    </xf>
    <xf numFmtId="166" fontId="21" fillId="0" borderId="3" xfId="1" applyNumberFormat="1" applyFont="1" applyFill="1" applyBorder="1" applyAlignment="1">
      <alignment horizontal="center" vertical="center" wrapText="1"/>
    </xf>
    <xf numFmtId="9" fontId="26" fillId="0" borderId="3" xfId="1" applyNumberFormat="1" applyFont="1" applyFill="1" applyBorder="1"/>
    <xf numFmtId="0" fontId="21" fillId="0" borderId="4" xfId="0" applyFont="1" applyFill="1" applyBorder="1" applyAlignment="1">
      <alignment horizontal="center" vertical="center" wrapText="1"/>
    </xf>
    <xf numFmtId="0" fontId="21" fillId="0" borderId="4" xfId="0" applyFont="1" applyFill="1" applyBorder="1" applyAlignment="1">
      <alignment vertical="center" wrapText="1"/>
    </xf>
    <xf numFmtId="166" fontId="21" fillId="0" borderId="4" xfId="1" applyNumberFormat="1" applyFont="1" applyFill="1" applyBorder="1" applyAlignment="1">
      <alignment horizontal="center" vertical="center" wrapText="1"/>
    </xf>
    <xf numFmtId="0" fontId="21" fillId="0" borderId="2" xfId="0" applyFont="1" applyFill="1" applyBorder="1" applyAlignment="1">
      <alignment vertical="center" wrapText="1"/>
    </xf>
    <xf numFmtId="166" fontId="21" fillId="0" borderId="3" xfId="1" applyNumberFormat="1" applyFont="1" applyFill="1" applyBorder="1"/>
    <xf numFmtId="0" fontId="28" fillId="0" borderId="0" xfId="0" applyFont="1" applyFill="1" applyAlignment="1">
      <alignment vertical="center"/>
    </xf>
    <xf numFmtId="3" fontId="14" fillId="0" borderId="3" xfId="0" applyNumberFormat="1" applyFont="1" applyFill="1" applyBorder="1" applyAlignment="1">
      <alignment horizontal="center" vertical="center" wrapText="1"/>
    </xf>
    <xf numFmtId="3" fontId="14" fillId="0" borderId="3" xfId="0" applyNumberFormat="1" applyFont="1" applyFill="1" applyBorder="1" applyAlignment="1">
      <alignment vertical="center" wrapText="1"/>
    </xf>
    <xf numFmtId="0" fontId="32" fillId="2" borderId="0" xfId="0" applyFont="1" applyFill="1" applyAlignment="1">
      <alignment horizontal="center"/>
    </xf>
    <xf numFmtId="1" fontId="32" fillId="2" borderId="2" xfId="1" applyNumberFormat="1" applyFont="1" applyFill="1" applyBorder="1"/>
    <xf numFmtId="164" fontId="32" fillId="2" borderId="2" xfId="2" applyFont="1" applyFill="1" applyBorder="1" applyAlignment="1"/>
    <xf numFmtId="0" fontId="32" fillId="2" borderId="3" xfId="0" applyFont="1" applyFill="1" applyBorder="1" applyAlignment="1">
      <alignment horizontal="center" vertical="center" wrapText="1"/>
    </xf>
    <xf numFmtId="0" fontId="15" fillId="2" borderId="5" xfId="0" applyFont="1" applyFill="1" applyBorder="1" applyAlignment="1">
      <alignment horizontal="center" vertical="center" wrapText="1"/>
    </xf>
    <xf numFmtId="0" fontId="18" fillId="2" borderId="0" xfId="0" applyFont="1" applyFill="1" applyAlignment="1">
      <alignment vertical="center"/>
    </xf>
    <xf numFmtId="0" fontId="17" fillId="2" borderId="0" xfId="0" applyFont="1" applyFill="1" applyAlignment="1">
      <alignment vertical="center" wrapText="1"/>
    </xf>
    <xf numFmtId="0" fontId="61" fillId="2" borderId="0" xfId="0" applyFont="1" applyFill="1" applyAlignment="1">
      <alignment horizontal="right" vertical="center"/>
    </xf>
    <xf numFmtId="0" fontId="5" fillId="2" borderId="0" xfId="0" applyFont="1" applyFill="1"/>
    <xf numFmtId="0" fontId="5" fillId="2" borderId="1"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5" fillId="2" borderId="5" xfId="0" applyFont="1" applyFill="1" applyBorder="1" applyAlignment="1">
      <alignment vertical="center" wrapText="1"/>
    </xf>
    <xf numFmtId="3" fontId="5" fillId="2" borderId="5" xfId="0" applyNumberFormat="1" applyFont="1" applyFill="1" applyBorder="1" applyAlignment="1">
      <alignment horizontal="right" vertical="center" wrapText="1"/>
    </xf>
    <xf numFmtId="3" fontId="6" fillId="2" borderId="5" xfId="0" applyNumberFormat="1" applyFont="1" applyFill="1" applyBorder="1" applyAlignment="1">
      <alignment horizontal="right" vertical="center" wrapText="1"/>
    </xf>
    <xf numFmtId="3" fontId="5" fillId="2" borderId="2" xfId="0" applyNumberFormat="1" applyFont="1" applyFill="1" applyBorder="1" applyAlignment="1">
      <alignment horizontal="right" vertical="center" wrapText="1"/>
    </xf>
    <xf numFmtId="0" fontId="61" fillId="2" borderId="2" xfId="0" applyFont="1" applyFill="1" applyBorder="1" applyAlignment="1">
      <alignment vertical="center" wrapText="1"/>
    </xf>
    <xf numFmtId="0" fontId="61" fillId="2" borderId="2" xfId="0" applyFont="1" applyFill="1" applyBorder="1" applyAlignment="1">
      <alignment horizontal="center" vertical="center" wrapText="1"/>
    </xf>
    <xf numFmtId="3" fontId="61" fillId="2" borderId="2" xfId="0" applyNumberFormat="1" applyFont="1" applyFill="1" applyBorder="1" applyAlignment="1">
      <alignment horizontal="right" vertical="center" wrapText="1"/>
    </xf>
    <xf numFmtId="0" fontId="61" fillId="2" borderId="0" xfId="0" applyFont="1" applyFill="1"/>
    <xf numFmtId="3" fontId="61" fillId="2" borderId="0" xfId="0" applyNumberFormat="1" applyFont="1" applyFill="1"/>
    <xf numFmtId="0" fontId="135" fillId="2" borderId="2" xfId="0" applyFont="1" applyFill="1" applyBorder="1" applyAlignment="1">
      <alignment horizontal="center" vertical="center" wrapText="1"/>
    </xf>
    <xf numFmtId="3" fontId="135" fillId="2" borderId="2" xfId="0" applyNumberFormat="1" applyFont="1" applyFill="1" applyBorder="1" applyAlignment="1">
      <alignment horizontal="right" vertical="center" wrapText="1"/>
    </xf>
    <xf numFmtId="3" fontId="27" fillId="2" borderId="2" xfId="0" applyNumberFormat="1" applyFont="1" applyFill="1" applyBorder="1" applyAlignment="1">
      <alignment horizontal="center" vertical="center" wrapText="1"/>
    </xf>
    <xf numFmtId="3" fontId="21" fillId="2" borderId="2" xfId="11" applyNumberFormat="1" applyFont="1" applyFill="1" applyBorder="1" applyAlignment="1">
      <alignment horizontal="left" wrapText="1"/>
    </xf>
    <xf numFmtId="3" fontId="21" fillId="2" borderId="2" xfId="12" applyNumberFormat="1" applyFont="1" applyFill="1" applyBorder="1" applyAlignment="1">
      <alignment wrapText="1"/>
    </xf>
    <xf numFmtId="0" fontId="21" fillId="2" borderId="9" xfId="0" applyFont="1" applyFill="1" applyBorder="1" applyAlignment="1">
      <alignment horizontal="center" vertical="center" wrapText="1"/>
    </xf>
    <xf numFmtId="3" fontId="21" fillId="2" borderId="9" xfId="0" applyNumberFormat="1" applyFont="1" applyFill="1" applyBorder="1" applyAlignment="1">
      <alignment horizontal="left" vertical="center" wrapText="1"/>
    </xf>
    <xf numFmtId="3" fontId="21" fillId="2" borderId="9" xfId="0" applyNumberFormat="1" applyFont="1" applyFill="1" applyBorder="1" applyAlignment="1">
      <alignment vertical="center" wrapText="1"/>
    </xf>
    <xf numFmtId="3" fontId="21" fillId="2" borderId="18" xfId="0" applyNumberFormat="1" applyFont="1" applyFill="1" applyBorder="1" applyAlignment="1">
      <alignment wrapText="1"/>
    </xf>
    <xf numFmtId="0" fontId="21" fillId="2" borderId="9" xfId="0" applyFont="1" applyFill="1" applyBorder="1" applyAlignment="1">
      <alignment vertical="center" wrapText="1"/>
    </xf>
    <xf numFmtId="3" fontId="6" fillId="2" borderId="9" xfId="0" applyNumberFormat="1" applyFont="1" applyFill="1" applyBorder="1" applyAlignment="1">
      <alignment horizontal="right" vertical="center" wrapText="1"/>
    </xf>
    <xf numFmtId="0" fontId="5" fillId="2" borderId="3" xfId="0" applyFont="1" applyFill="1" applyBorder="1" applyAlignment="1">
      <alignment vertical="center" wrapText="1"/>
    </xf>
    <xf numFmtId="0" fontId="135" fillId="2" borderId="3" xfId="0" applyFont="1" applyFill="1" applyBorder="1" applyAlignment="1">
      <alignment vertical="center" wrapText="1"/>
    </xf>
    <xf numFmtId="0" fontId="50" fillId="2" borderId="0" xfId="0" applyFont="1" applyFill="1" applyAlignment="1">
      <alignment horizontal="right" vertical="center"/>
    </xf>
    <xf numFmtId="0" fontId="14" fillId="2" borderId="0" xfId="0" applyFont="1" applyFill="1"/>
    <xf numFmtId="166" fontId="15" fillId="2" borderId="2" xfId="1" applyNumberFormat="1" applyFont="1" applyFill="1" applyBorder="1" applyAlignment="1">
      <alignment horizontal="center" vertical="center" wrapText="1"/>
    </xf>
    <xf numFmtId="3" fontId="15" fillId="2" borderId="3" xfId="0" applyNumberFormat="1" applyFont="1" applyFill="1" applyBorder="1" applyAlignment="1">
      <alignment horizontal="right" vertical="center" wrapText="1"/>
    </xf>
    <xf numFmtId="3" fontId="35" fillId="2" borderId="0" xfId="0" applyNumberFormat="1" applyFont="1" applyFill="1" applyAlignment="1">
      <alignment vertical="center"/>
    </xf>
    <xf numFmtId="3" fontId="136" fillId="2" borderId="0" xfId="0" applyNumberFormat="1" applyFont="1" applyFill="1" applyAlignment="1">
      <alignment horizontal="right" vertical="center"/>
    </xf>
    <xf numFmtId="3" fontId="40" fillId="2" borderId="0" xfId="0" applyNumberFormat="1" applyFont="1" applyFill="1" applyAlignment="1">
      <alignment vertical="center"/>
    </xf>
    <xf numFmtId="3" fontId="39" fillId="2" borderId="1" xfId="0" applyNumberFormat="1" applyFont="1" applyFill="1" applyBorder="1" applyAlignment="1">
      <alignment vertical="center" wrapText="1"/>
    </xf>
    <xf numFmtId="3" fontId="137" fillId="2" borderId="0" xfId="0" applyNumberFormat="1" applyFont="1" applyFill="1" applyAlignment="1">
      <alignment horizontal="left" vertical="center"/>
    </xf>
    <xf numFmtId="3" fontId="136" fillId="2" borderId="0" xfId="0" applyNumberFormat="1" applyFont="1" applyFill="1" applyAlignment="1">
      <alignment vertical="center" wrapText="1"/>
    </xf>
    <xf numFmtId="3" fontId="136" fillId="2" borderId="0" xfId="0" applyNumberFormat="1" applyFont="1" applyFill="1" applyAlignment="1">
      <alignment vertical="center"/>
    </xf>
    <xf numFmtId="0" fontId="40" fillId="2" borderId="1" xfId="0" applyFont="1" applyFill="1" applyBorder="1" applyAlignment="1">
      <alignment horizontal="center" vertical="center" wrapText="1"/>
    </xf>
    <xf numFmtId="0" fontId="79" fillId="2" borderId="1" xfId="0" applyFont="1" applyFill="1" applyBorder="1" applyAlignment="1">
      <alignment horizontal="center" vertical="center" wrapText="1"/>
    </xf>
    <xf numFmtId="3" fontId="138" fillId="2" borderId="2" xfId="0" applyNumberFormat="1" applyFont="1" applyFill="1" applyBorder="1" applyAlignment="1">
      <alignment vertical="center" wrapText="1"/>
    </xf>
    <xf numFmtId="4" fontId="138" fillId="2" borderId="2" xfId="0" applyNumberFormat="1" applyFont="1" applyFill="1" applyBorder="1" applyAlignment="1">
      <alignment vertical="center" wrapText="1"/>
    </xf>
    <xf numFmtId="3" fontId="39" fillId="2" borderId="2" xfId="1" applyNumberFormat="1" applyFont="1" applyFill="1" applyBorder="1" applyAlignment="1">
      <alignment vertical="center" wrapText="1"/>
    </xf>
    <xf numFmtId="0" fontId="14" fillId="2" borderId="4" xfId="0" applyFont="1" applyFill="1" applyBorder="1" applyAlignment="1">
      <alignment vertical="center" wrapText="1"/>
    </xf>
    <xf numFmtId="0" fontId="0" fillId="2" borderId="0" xfId="0" applyFill="1" applyAlignment="1">
      <alignment horizontal="center"/>
    </xf>
    <xf numFmtId="0" fontId="23" fillId="2" borderId="9" xfId="0" applyFont="1" applyFill="1" applyBorder="1" applyAlignment="1">
      <alignment horizontal="center"/>
    </xf>
    <xf numFmtId="0" fontId="20" fillId="2" borderId="9" xfId="0" applyFont="1" applyFill="1" applyBorder="1"/>
    <xf numFmtId="0" fontId="20" fillId="2" borderId="3" xfId="0" applyFont="1" applyFill="1" applyBorder="1" applyAlignment="1">
      <alignment horizontal="center"/>
    </xf>
    <xf numFmtId="0" fontId="20" fillId="2" borderId="3" xfId="0" applyFont="1" applyFill="1" applyBorder="1"/>
    <xf numFmtId="3" fontId="21" fillId="2" borderId="3" xfId="0" applyNumberFormat="1" applyFont="1" applyFill="1" applyBorder="1" applyAlignment="1">
      <alignment horizontal="center" vertical="center"/>
    </xf>
    <xf numFmtId="3" fontId="21" fillId="2" borderId="3" xfId="2" applyNumberFormat="1" applyFont="1" applyFill="1" applyBorder="1" applyAlignment="1">
      <alignment horizontal="right"/>
    </xf>
    <xf numFmtId="167" fontId="23" fillId="2" borderId="0" xfId="0" applyNumberFormat="1" applyFont="1" applyFill="1"/>
    <xf numFmtId="0" fontId="15" fillId="4" borderId="2" xfId="3" applyFont="1" applyFill="1" applyBorder="1" applyAlignment="1">
      <alignment horizontal="center" vertical="center"/>
    </xf>
    <xf numFmtId="0" fontId="15" fillId="4" borderId="2" xfId="3" applyNumberFormat="1" applyFont="1" applyFill="1" applyBorder="1" applyAlignment="1">
      <alignment horizontal="left" vertical="center"/>
    </xf>
    <xf numFmtId="3" fontId="15" fillId="4" borderId="0" xfId="0" applyNumberFormat="1" applyFont="1" applyFill="1" applyBorder="1" applyAlignment="1"/>
    <xf numFmtId="49" fontId="15" fillId="2" borderId="2" xfId="0" quotePrefix="1" applyNumberFormat="1" applyFont="1" applyFill="1" applyBorder="1" applyAlignment="1">
      <alignment horizontal="center"/>
    </xf>
    <xf numFmtId="3" fontId="26" fillId="4" borderId="0" xfId="0" applyNumberFormat="1" applyFont="1" applyFill="1"/>
    <xf numFmtId="0" fontId="14" fillId="2" borderId="1" xfId="0" applyFont="1" applyFill="1" applyBorder="1" applyAlignment="1">
      <alignment horizontal="center" vertical="center" wrapText="1"/>
    </xf>
    <xf numFmtId="0" fontId="48" fillId="2" borderId="0" xfId="0" applyFont="1" applyFill="1" applyBorder="1" applyAlignment="1">
      <alignment horizontal="center" vertical="center"/>
    </xf>
    <xf numFmtId="0" fontId="85" fillId="2" borderId="1" xfId="0" applyFont="1" applyFill="1" applyBorder="1" applyAlignment="1">
      <alignment horizontal="center" vertical="center" wrapText="1"/>
    </xf>
    <xf numFmtId="0" fontId="73" fillId="2" borderId="1" xfId="13" applyFont="1" applyFill="1" applyBorder="1" applyAlignment="1">
      <alignment horizontal="center" vertical="center" wrapText="1"/>
    </xf>
    <xf numFmtId="0" fontId="14" fillId="3" borderId="1" xfId="0" applyFont="1" applyFill="1" applyBorder="1" applyAlignment="1">
      <alignment horizontal="center" vertical="center" wrapText="1"/>
    </xf>
    <xf numFmtId="3" fontId="79" fillId="0" borderId="1" xfId="0" applyNumberFormat="1" applyFont="1" applyFill="1" applyBorder="1" applyAlignment="1">
      <alignment horizontal="center" vertical="center" wrapText="1"/>
    </xf>
    <xf numFmtId="3" fontId="79" fillId="0" borderId="11" xfId="0" applyNumberFormat="1" applyFont="1" applyFill="1" applyBorder="1" applyAlignment="1">
      <alignment horizontal="center" vertical="center" wrapText="1"/>
    </xf>
    <xf numFmtId="3" fontId="79" fillId="0" borderId="7" xfId="0" applyNumberFormat="1" applyFont="1" applyFill="1" applyBorder="1" applyAlignment="1">
      <alignment horizontal="center" vertical="center" wrapText="1"/>
    </xf>
    <xf numFmtId="0" fontId="14" fillId="0" borderId="1" xfId="0" applyFont="1" applyBorder="1" applyAlignment="1">
      <alignment horizontal="center" vertical="center" wrapText="1"/>
    </xf>
    <xf numFmtId="0" fontId="14" fillId="0" borderId="1" xfId="0" applyFont="1" applyFill="1" applyBorder="1" applyAlignment="1">
      <alignment horizontal="center" vertical="center" wrapText="1"/>
    </xf>
    <xf numFmtId="0" fontId="20" fillId="2" borderId="0" xfId="0" applyFont="1" applyFill="1" applyAlignment="1">
      <alignment horizontal="center"/>
    </xf>
    <xf numFmtId="167" fontId="15" fillId="2" borderId="0" xfId="0" applyNumberFormat="1" applyFont="1" applyFill="1"/>
    <xf numFmtId="166" fontId="14" fillId="2" borderId="4" xfId="1" applyNumberFormat="1" applyFont="1" applyFill="1" applyBorder="1" applyAlignment="1">
      <alignment horizontal="center" vertical="center" wrapText="1"/>
    </xf>
    <xf numFmtId="166" fontId="14" fillId="2" borderId="2" xfId="1" applyNumberFormat="1" applyFont="1" applyFill="1" applyBorder="1" applyAlignment="1">
      <alignment horizontal="center" vertical="center" wrapText="1"/>
    </xf>
    <xf numFmtId="166" fontId="14" fillId="2" borderId="0" xfId="0" applyNumberFormat="1" applyFont="1" applyFill="1"/>
    <xf numFmtId="166" fontId="15" fillId="2" borderId="0" xfId="0" applyNumberFormat="1" applyFont="1" applyFill="1"/>
    <xf numFmtId="0" fontId="18" fillId="2" borderId="6" xfId="0" applyFont="1" applyFill="1" applyBorder="1" applyAlignment="1">
      <alignment vertical="center" wrapText="1"/>
    </xf>
    <xf numFmtId="166" fontId="18" fillId="2" borderId="6" xfId="0" applyNumberFormat="1" applyFont="1" applyFill="1" applyBorder="1" applyAlignment="1">
      <alignment vertical="center" wrapText="1"/>
    </xf>
    <xf numFmtId="167" fontId="18" fillId="2" borderId="6" xfId="0" applyNumberFormat="1" applyFont="1" applyFill="1" applyBorder="1" applyAlignment="1">
      <alignment vertical="center" wrapText="1"/>
    </xf>
    <xf numFmtId="167" fontId="17" fillId="2" borderId="0" xfId="0" applyNumberFormat="1" applyFont="1" applyFill="1" applyAlignment="1">
      <alignment vertical="center" wrapText="1"/>
    </xf>
    <xf numFmtId="0" fontId="17" fillId="0" borderId="0" xfId="0" applyFont="1" applyAlignment="1">
      <alignment horizontal="right" vertical="center"/>
    </xf>
    <xf numFmtId="0" fontId="14" fillId="0" borderId="4" xfId="0" applyFont="1" applyBorder="1" applyAlignment="1">
      <alignment horizontal="center" vertical="center" wrapText="1"/>
    </xf>
    <xf numFmtId="0" fontId="14" fillId="0" borderId="2" xfId="0" applyFont="1" applyBorder="1" applyAlignment="1">
      <alignment horizontal="center" vertical="center" wrapText="1"/>
    </xf>
    <xf numFmtId="0" fontId="14" fillId="0" borderId="2" xfId="0" applyFont="1" applyBorder="1" applyAlignment="1">
      <alignment vertical="center" wrapText="1"/>
    </xf>
    <xf numFmtId="166" fontId="14" fillId="0" borderId="2" xfId="1" applyNumberFormat="1" applyFont="1" applyBorder="1" applyAlignment="1">
      <alignment horizontal="center" vertical="center" wrapText="1"/>
    </xf>
    <xf numFmtId="1" fontId="14" fillId="0" borderId="2" xfId="0" applyNumberFormat="1" applyFont="1" applyBorder="1" applyAlignment="1">
      <alignment horizontal="right" vertical="center" wrapText="1"/>
    </xf>
    <xf numFmtId="0" fontId="14" fillId="0" borderId="0" xfId="0" applyFont="1"/>
    <xf numFmtId="0" fontId="15" fillId="0" borderId="2" xfId="0" applyFont="1" applyBorder="1" applyAlignment="1">
      <alignment horizontal="center" vertical="center" wrapText="1"/>
    </xf>
    <xf numFmtId="0" fontId="17" fillId="0" borderId="2" xfId="0" applyFont="1" applyBorder="1" applyAlignment="1">
      <alignment vertical="center" wrapText="1"/>
    </xf>
    <xf numFmtId="166" fontId="15" fillId="0" borderId="2" xfId="1" applyNumberFormat="1" applyFont="1" applyBorder="1" applyAlignment="1">
      <alignment horizontal="center" vertical="center" wrapText="1"/>
    </xf>
    <xf numFmtId="1" fontId="15" fillId="0" borderId="2" xfId="0" applyNumberFormat="1" applyFont="1" applyBorder="1" applyAlignment="1">
      <alignment horizontal="right" vertical="center" wrapText="1"/>
    </xf>
    <xf numFmtId="0" fontId="15" fillId="0" borderId="2" xfId="0" applyFont="1" applyBorder="1" applyAlignment="1">
      <alignment vertical="center" wrapText="1"/>
    </xf>
    <xf numFmtId="0" fontId="15" fillId="0" borderId="3" xfId="0" applyFont="1" applyBorder="1" applyAlignment="1">
      <alignment horizontal="center" vertical="center" wrapText="1"/>
    </xf>
    <xf numFmtId="0" fontId="17" fillId="0" borderId="3" xfId="0" applyFont="1" applyBorder="1" applyAlignment="1">
      <alignment vertical="center" wrapText="1"/>
    </xf>
    <xf numFmtId="166" fontId="15" fillId="0" borderId="3" xfId="1" applyNumberFormat="1" applyFont="1" applyBorder="1" applyAlignment="1">
      <alignment horizontal="center" vertical="center" wrapText="1"/>
    </xf>
    <xf numFmtId="0" fontId="15" fillId="0" borderId="3" xfId="0" applyFont="1" applyBorder="1" applyAlignment="1">
      <alignment horizontal="right" vertical="center" wrapText="1"/>
    </xf>
    <xf numFmtId="0" fontId="15" fillId="0" borderId="0" xfId="0" applyFont="1" applyAlignment="1">
      <alignment horizontal="left"/>
    </xf>
    <xf numFmtId="166" fontId="14" fillId="2" borderId="2" xfId="1" applyNumberFormat="1" applyFont="1" applyFill="1" applyBorder="1" applyAlignment="1">
      <alignment horizontal="right" vertical="center" wrapText="1"/>
    </xf>
    <xf numFmtId="166" fontId="15" fillId="2" borderId="3" xfId="1" applyNumberFormat="1" applyFont="1" applyFill="1" applyBorder="1" applyAlignment="1">
      <alignment horizontal="center" vertical="center" wrapText="1"/>
    </xf>
    <xf numFmtId="3" fontId="15" fillId="0" borderId="0" xfId="0" applyNumberFormat="1" applyFont="1"/>
    <xf numFmtId="3" fontId="17" fillId="0" borderId="0" xfId="0" applyNumberFormat="1" applyFont="1" applyAlignment="1">
      <alignment horizontal="right" vertical="center"/>
    </xf>
    <xf numFmtId="3" fontId="14" fillId="0" borderId="1" xfId="0" applyNumberFormat="1" applyFont="1" applyBorder="1" applyAlignment="1">
      <alignment horizontal="center" vertical="center" wrapText="1"/>
    </xf>
    <xf numFmtId="3" fontId="15" fillId="0" borderId="4" xfId="0" applyNumberFormat="1" applyFont="1" applyBorder="1" applyAlignment="1">
      <alignment horizontal="center" vertical="center" wrapText="1"/>
    </xf>
    <xf numFmtId="3" fontId="14" fillId="0" borderId="4" xfId="0" applyNumberFormat="1" applyFont="1" applyBorder="1" applyAlignment="1">
      <alignment vertical="center" wrapText="1"/>
    </xf>
    <xf numFmtId="3" fontId="14" fillId="0" borderId="4" xfId="0" applyNumberFormat="1" applyFont="1" applyBorder="1" applyAlignment="1">
      <alignment horizontal="right" vertical="center" wrapText="1"/>
    </xf>
    <xf numFmtId="3" fontId="15" fillId="0" borderId="2" xfId="0" applyNumberFormat="1" applyFont="1" applyBorder="1" applyAlignment="1">
      <alignment horizontal="center" vertical="center" wrapText="1"/>
    </xf>
    <xf numFmtId="3" fontId="17" fillId="0" borderId="2" xfId="0" applyNumberFormat="1" applyFont="1" applyBorder="1" applyAlignment="1">
      <alignment vertical="center" wrapText="1"/>
    </xf>
    <xf numFmtId="3" fontId="14" fillId="0" borderId="2" xfId="0" applyNumberFormat="1" applyFont="1" applyBorder="1" applyAlignment="1">
      <alignment horizontal="center" vertical="center" wrapText="1"/>
    </xf>
    <xf numFmtId="3" fontId="14" fillId="0" borderId="2" xfId="0" applyNumberFormat="1" applyFont="1" applyBorder="1" applyAlignment="1">
      <alignment vertical="center" wrapText="1"/>
    </xf>
    <xf numFmtId="3" fontId="14" fillId="0" borderId="2" xfId="0" applyNumberFormat="1" applyFont="1" applyBorder="1" applyAlignment="1">
      <alignment horizontal="right" vertical="center" wrapText="1"/>
    </xf>
    <xf numFmtId="3" fontId="14" fillId="0" borderId="0" xfId="0" applyNumberFormat="1" applyFont="1"/>
    <xf numFmtId="3" fontId="17" fillId="0" borderId="2" xfId="0" applyNumberFormat="1" applyFont="1" applyBorder="1" applyAlignment="1">
      <alignment horizontal="right" vertical="center" wrapText="1"/>
    </xf>
    <xf numFmtId="3" fontId="17" fillId="0" borderId="2" xfId="0" applyNumberFormat="1" applyFont="1" applyBorder="1" applyAlignment="1">
      <alignment horizontal="center" vertical="center" wrapText="1"/>
    </xf>
    <xf numFmtId="3" fontId="17" fillId="0" borderId="0" xfId="0" applyNumberFormat="1" applyFont="1"/>
    <xf numFmtId="3" fontId="15" fillId="0" borderId="2" xfId="0" applyNumberFormat="1" applyFont="1" applyBorder="1" applyAlignment="1">
      <alignment horizontal="right" vertical="center" wrapText="1"/>
    </xf>
    <xf numFmtId="3" fontId="15" fillId="0" borderId="2" xfId="0" applyNumberFormat="1" applyFont="1" applyBorder="1" applyAlignment="1">
      <alignment vertical="center" wrapText="1"/>
    </xf>
    <xf numFmtId="3" fontId="15" fillId="0" borderId="2" xfId="0" quotePrefix="1" applyNumberFormat="1" applyFont="1" applyBorder="1" applyAlignment="1">
      <alignment vertical="center" wrapText="1"/>
    </xf>
    <xf numFmtId="3" fontId="15" fillId="0" borderId="3" xfId="0" applyNumberFormat="1" applyFont="1" applyBorder="1" applyAlignment="1">
      <alignment horizontal="center" vertical="center" wrapText="1"/>
    </xf>
    <xf numFmtId="3" fontId="17" fillId="0" borderId="3" xfId="0" applyNumberFormat="1" applyFont="1" applyBorder="1" applyAlignment="1">
      <alignment vertical="center" wrapText="1"/>
    </xf>
    <xf numFmtId="3" fontId="15" fillId="0" borderId="3" xfId="0" applyNumberFormat="1" applyFont="1" applyBorder="1" applyAlignment="1">
      <alignment horizontal="right" vertical="center" wrapText="1"/>
    </xf>
    <xf numFmtId="3" fontId="17" fillId="2" borderId="2" xfId="0" applyNumberFormat="1" applyFont="1" applyFill="1" applyBorder="1" applyAlignment="1">
      <alignment horizontal="right" vertical="center" wrapText="1"/>
    </xf>
    <xf numFmtId="0" fontId="74" fillId="2" borderId="2" xfId="14" applyNumberFormat="1" applyFont="1" applyFill="1" applyBorder="1" applyAlignment="1" applyProtection="1">
      <alignment horizontal="left" wrapText="1"/>
    </xf>
    <xf numFmtId="2" fontId="15" fillId="2" borderId="2" xfId="0" applyNumberFormat="1" applyFont="1" applyFill="1" applyBorder="1" applyAlignment="1">
      <alignment vertical="center" wrapText="1"/>
    </xf>
    <xf numFmtId="0" fontId="15" fillId="0" borderId="0" xfId="0" applyFont="1" applyFill="1"/>
    <xf numFmtId="0" fontId="15" fillId="0" borderId="1" xfId="0" applyFont="1" applyFill="1" applyBorder="1" applyAlignment="1">
      <alignment horizontal="center" vertical="center" wrapText="1"/>
    </xf>
    <xf numFmtId="0" fontId="14" fillId="0" borderId="4" xfId="0" applyFont="1" applyFill="1" applyBorder="1" applyAlignment="1">
      <alignment horizontal="center" vertical="center" wrapText="1"/>
    </xf>
    <xf numFmtId="3" fontId="14" fillId="0" borderId="4" xfId="0" applyNumberFormat="1" applyFont="1" applyFill="1" applyBorder="1" applyAlignment="1">
      <alignment horizontal="right" vertical="center" wrapText="1"/>
    </xf>
    <xf numFmtId="169" fontId="14" fillId="0" borderId="4" xfId="0" applyNumberFormat="1" applyFont="1" applyFill="1" applyBorder="1" applyAlignment="1">
      <alignment horizontal="right" vertical="center" wrapText="1"/>
    </xf>
    <xf numFmtId="0" fontId="14" fillId="0" borderId="2" xfId="0" applyFont="1" applyFill="1" applyBorder="1" applyAlignment="1">
      <alignment horizontal="center" vertical="center" wrapText="1"/>
    </xf>
    <xf numFmtId="0" fontId="14" fillId="0" borderId="2" xfId="0" applyFont="1" applyFill="1" applyBorder="1" applyAlignment="1">
      <alignment vertical="center" wrapText="1"/>
    </xf>
    <xf numFmtId="3" fontId="14" fillId="0" borderId="2" xfId="0" applyNumberFormat="1" applyFont="1" applyFill="1" applyBorder="1" applyAlignment="1">
      <alignment horizontal="right" vertical="center" wrapText="1"/>
    </xf>
    <xf numFmtId="3" fontId="15" fillId="0" borderId="2" xfId="0" applyNumberFormat="1" applyFont="1" applyFill="1" applyBorder="1" applyAlignment="1">
      <alignment horizontal="right" vertical="center" wrapText="1"/>
    </xf>
    <xf numFmtId="169" fontId="14" fillId="0" borderId="2" xfId="0" applyNumberFormat="1" applyFont="1" applyFill="1" applyBorder="1" applyAlignment="1">
      <alignment horizontal="right" vertical="center" wrapText="1"/>
    </xf>
    <xf numFmtId="0" fontId="14" fillId="0" borderId="0" xfId="0" applyFont="1" applyFill="1"/>
    <xf numFmtId="0" fontId="15" fillId="0" borderId="2" xfId="0" applyFont="1" applyFill="1" applyBorder="1" applyAlignment="1">
      <alignment horizontal="center" vertical="center" wrapText="1"/>
    </xf>
    <xf numFmtId="0" fontId="17" fillId="0" borderId="2" xfId="0" applyFont="1" applyFill="1" applyBorder="1" applyAlignment="1">
      <alignment vertical="center" wrapText="1"/>
    </xf>
    <xf numFmtId="0" fontId="15" fillId="0" borderId="2" xfId="0" applyFont="1" applyFill="1" applyBorder="1" applyAlignment="1">
      <alignment horizontal="right" vertical="center" wrapText="1"/>
    </xf>
    <xf numFmtId="169" fontId="15" fillId="0" borderId="2" xfId="0" applyNumberFormat="1" applyFont="1" applyFill="1" applyBorder="1" applyAlignment="1">
      <alignment horizontal="right" vertical="center" wrapText="1"/>
    </xf>
    <xf numFmtId="169" fontId="15" fillId="0" borderId="2" xfId="0" applyNumberFormat="1" applyFont="1" applyFill="1" applyBorder="1" applyAlignment="1">
      <alignment horizontal="center" vertical="center" wrapText="1"/>
    </xf>
    <xf numFmtId="169" fontId="14" fillId="0" borderId="2" xfId="0" applyNumberFormat="1" applyFont="1" applyFill="1" applyBorder="1" applyAlignment="1">
      <alignment horizontal="center" vertical="center" wrapText="1"/>
    </xf>
    <xf numFmtId="3" fontId="17" fillId="0" borderId="2" xfId="0" applyNumberFormat="1" applyFont="1" applyFill="1" applyBorder="1" applyAlignment="1">
      <alignment horizontal="right" vertical="center" wrapText="1"/>
    </xf>
    <xf numFmtId="169" fontId="17" fillId="0" borderId="2" xfId="0" applyNumberFormat="1" applyFont="1" applyFill="1" applyBorder="1" applyAlignment="1">
      <alignment horizontal="right" vertical="center" wrapText="1"/>
    </xf>
    <xf numFmtId="3" fontId="17" fillId="0" borderId="0" xfId="0" applyNumberFormat="1" applyFont="1" applyFill="1"/>
    <xf numFmtId="0" fontId="17" fillId="0" borderId="0" xfId="0" applyFont="1" applyFill="1"/>
    <xf numFmtId="0" fontId="17" fillId="0" borderId="2" xfId="0" applyFont="1" applyFill="1" applyBorder="1" applyAlignment="1">
      <alignment horizontal="center" vertical="center" wrapText="1"/>
    </xf>
    <xf numFmtId="169" fontId="14" fillId="0" borderId="2" xfId="0" applyNumberFormat="1" applyFont="1" applyFill="1" applyBorder="1" applyAlignment="1">
      <alignment vertical="center" wrapText="1"/>
    </xf>
    <xf numFmtId="169" fontId="15" fillId="0" borderId="2" xfId="0" applyNumberFormat="1" applyFont="1" applyFill="1" applyBorder="1" applyAlignment="1">
      <alignment vertical="center" wrapText="1"/>
    </xf>
    <xf numFmtId="0" fontId="15" fillId="0" borderId="0" xfId="0" applyFont="1" applyFill="1" applyAlignment="1">
      <alignment vertical="center"/>
    </xf>
    <xf numFmtId="0" fontId="17" fillId="0" borderId="2" xfId="0" applyFont="1" applyFill="1" applyBorder="1" applyAlignment="1">
      <alignment horizontal="right" vertical="center" wrapText="1"/>
    </xf>
    <xf numFmtId="169" fontId="17" fillId="0" borderId="2" xfId="0" applyNumberFormat="1" applyFont="1" applyFill="1" applyBorder="1" applyAlignment="1">
      <alignment horizontal="center" vertical="center" wrapText="1"/>
    </xf>
    <xf numFmtId="3" fontId="15" fillId="2" borderId="2" xfId="2" applyNumberFormat="1" applyFont="1" applyFill="1" applyBorder="1" applyAlignment="1">
      <alignment horizontal="right"/>
    </xf>
    <xf numFmtId="3" fontId="39" fillId="2" borderId="9" xfId="0" applyNumberFormat="1" applyFont="1" applyFill="1" applyBorder="1" applyAlignment="1">
      <alignment horizontal="center" vertical="center" wrapText="1"/>
    </xf>
    <xf numFmtId="3" fontId="39" fillId="2" borderId="9" xfId="0" applyNumberFormat="1" applyFont="1" applyFill="1" applyBorder="1" applyAlignment="1">
      <alignment vertical="center" wrapText="1"/>
    </xf>
    <xf numFmtId="3" fontId="34" fillId="2" borderId="3" xfId="0" applyNumberFormat="1" applyFont="1" applyFill="1" applyBorder="1" applyAlignment="1">
      <alignment horizontal="center" vertical="center" wrapText="1"/>
    </xf>
    <xf numFmtId="3" fontId="34" fillId="2" borderId="3" xfId="0" applyNumberFormat="1" applyFont="1" applyFill="1" applyBorder="1" applyAlignment="1">
      <alignment vertical="center" wrapText="1"/>
    </xf>
    <xf numFmtId="3" fontId="35" fillId="2" borderId="3" xfId="0" applyNumberFormat="1" applyFont="1" applyFill="1" applyBorder="1" applyAlignment="1">
      <alignment vertical="center" wrapText="1"/>
    </xf>
    <xf numFmtId="3" fontId="139" fillId="0" borderId="0" xfId="0" applyNumberFormat="1" applyFont="1" applyFill="1" applyAlignment="1">
      <alignment horizontal="right" vertical="center"/>
    </xf>
    <xf numFmtId="3" fontId="140" fillId="0" borderId="0" xfId="0" applyNumberFormat="1" applyFont="1" applyFill="1" applyAlignment="1">
      <alignment horizontal="left" vertical="center"/>
    </xf>
    <xf numFmtId="3" fontId="80" fillId="0" borderId="6" xfId="0" applyNumberFormat="1" applyFont="1" applyFill="1" applyBorder="1" applyAlignment="1"/>
    <xf numFmtId="3" fontId="139" fillId="0" borderId="0" xfId="0" applyNumberFormat="1" applyFont="1" applyFill="1" applyAlignment="1">
      <alignment horizontal="left" vertical="center"/>
    </xf>
    <xf numFmtId="3" fontId="79" fillId="6" borderId="0" xfId="0" applyNumberFormat="1" applyFont="1" applyFill="1" applyAlignment="1">
      <alignment horizontal="center"/>
    </xf>
    <xf numFmtId="3" fontId="79" fillId="2" borderId="0" xfId="0" applyNumberFormat="1" applyFont="1" applyFill="1"/>
    <xf numFmtId="3" fontId="80" fillId="0" borderId="0" xfId="0" applyNumberFormat="1" applyFont="1" applyFill="1" applyAlignment="1">
      <alignment horizontal="center"/>
    </xf>
    <xf numFmtId="3" fontId="79" fillId="6" borderId="0" xfId="0" applyNumberFormat="1" applyFont="1" applyFill="1"/>
    <xf numFmtId="3" fontId="79" fillId="0" borderId="0" xfId="0" applyNumberFormat="1" applyFont="1" applyFill="1"/>
    <xf numFmtId="3" fontId="80" fillId="0" borderId="4" xfId="0" applyNumberFormat="1" applyFont="1" applyFill="1" applyBorder="1" applyAlignment="1">
      <alignment horizontal="center" vertical="center" wrapText="1"/>
    </xf>
    <xf numFmtId="3" fontId="80" fillId="0" borderId="4" xfId="0" applyNumberFormat="1" applyFont="1" applyFill="1" applyBorder="1" applyAlignment="1">
      <alignment vertical="center" wrapText="1"/>
    </xf>
    <xf numFmtId="3" fontId="80" fillId="0" borderId="4" xfId="0" applyNumberFormat="1" applyFont="1" applyFill="1" applyBorder="1"/>
    <xf numFmtId="3" fontId="79" fillId="0" borderId="2" xfId="0" applyNumberFormat="1" applyFont="1" applyFill="1" applyBorder="1" applyAlignment="1">
      <alignment horizontal="center" vertical="center" wrapText="1"/>
    </xf>
    <xf numFmtId="3" fontId="79" fillId="0" borderId="2" xfId="0" applyNumberFormat="1" applyFont="1" applyFill="1" applyBorder="1" applyAlignment="1">
      <alignment vertical="center" wrapText="1"/>
    </xf>
    <xf numFmtId="0" fontId="35" fillId="0" borderId="0" xfId="0" applyFont="1"/>
    <xf numFmtId="0" fontId="34" fillId="0" borderId="0" xfId="0" applyFont="1" applyAlignment="1">
      <alignment horizontal="right" vertical="center"/>
    </xf>
    <xf numFmtId="0" fontId="136" fillId="0" borderId="0" xfId="0" applyFont="1" applyAlignment="1">
      <alignment horizontal="right" vertical="center"/>
    </xf>
    <xf numFmtId="0" fontId="34" fillId="0" borderId="1" xfId="0" applyFont="1" applyBorder="1" applyAlignment="1">
      <alignment horizontal="center" vertical="center" wrapText="1"/>
    </xf>
    <xf numFmtId="0" fontId="34" fillId="0" borderId="5" xfId="0" applyFont="1" applyBorder="1" applyAlignment="1">
      <alignment horizontal="center" vertical="center" wrapText="1"/>
    </xf>
    <xf numFmtId="0" fontId="34" fillId="0" borderId="5" xfId="0" applyFont="1" applyBorder="1" applyAlignment="1">
      <alignment vertical="center" wrapText="1"/>
    </xf>
    <xf numFmtId="3" fontId="34" fillId="0" borderId="5" xfId="0" applyNumberFormat="1" applyFont="1" applyBorder="1" applyAlignment="1">
      <alignment vertical="center" wrapText="1"/>
    </xf>
    <xf numFmtId="167" fontId="34" fillId="0" borderId="5" xfId="0" applyNumberFormat="1" applyFont="1" applyBorder="1" applyAlignment="1">
      <alignment vertical="center" wrapText="1"/>
    </xf>
    <xf numFmtId="0" fontId="34" fillId="0" borderId="0" xfId="0" applyFont="1"/>
    <xf numFmtId="0" fontId="35" fillId="0" borderId="2" xfId="0" applyFont="1" applyBorder="1" applyAlignment="1">
      <alignment horizontal="center" vertical="center" wrapText="1"/>
    </xf>
    <xf numFmtId="0" fontId="35" fillId="0" borderId="2" xfId="0" applyFont="1" applyBorder="1" applyAlignment="1">
      <alignment vertical="center" wrapText="1"/>
    </xf>
    <xf numFmtId="3" fontId="35" fillId="0" borderId="2" xfId="0" applyNumberFormat="1" applyFont="1" applyBorder="1" applyAlignment="1">
      <alignment vertical="center" wrapText="1"/>
    </xf>
    <xf numFmtId="167" fontId="35" fillId="0" borderId="2" xfId="0" applyNumberFormat="1" applyFont="1" applyBorder="1" applyAlignment="1">
      <alignment vertical="center" wrapText="1"/>
    </xf>
    <xf numFmtId="0" fontId="35" fillId="0" borderId="3" xfId="0" applyFont="1" applyBorder="1" applyAlignment="1">
      <alignment horizontal="center" vertical="center" wrapText="1"/>
    </xf>
    <xf numFmtId="0" fontId="35" fillId="0" borderId="3" xfId="0" applyFont="1" applyBorder="1" applyAlignment="1">
      <alignment vertical="center" wrapText="1"/>
    </xf>
    <xf numFmtId="3" fontId="35" fillId="0" borderId="3" xfId="0" applyNumberFormat="1" applyFont="1" applyBorder="1" applyAlignment="1">
      <alignment vertical="center" wrapText="1"/>
    </xf>
    <xf numFmtId="167" fontId="35" fillId="0" borderId="3" xfId="0" applyNumberFormat="1" applyFont="1" applyBorder="1" applyAlignment="1">
      <alignment vertical="center" wrapText="1"/>
    </xf>
    <xf numFmtId="0" fontId="137" fillId="0" borderId="0" xfId="0" applyFont="1" applyAlignment="1">
      <alignment horizontal="left" vertical="center"/>
    </xf>
    <xf numFmtId="0" fontId="136" fillId="0" borderId="0" xfId="0" applyFont="1" applyAlignment="1">
      <alignment horizontal="left" vertical="center"/>
    </xf>
    <xf numFmtId="3" fontId="27" fillId="2" borderId="0" xfId="0" applyNumberFormat="1" applyFont="1" applyFill="1" applyAlignment="1">
      <alignment horizontal="center" vertical="center"/>
    </xf>
    <xf numFmtId="3" fontId="26" fillId="2" borderId="4" xfId="0" applyNumberFormat="1" applyFont="1" applyFill="1" applyBorder="1" applyAlignment="1">
      <alignment horizontal="center" vertical="center" wrapText="1"/>
    </xf>
    <xf numFmtId="3" fontId="26" fillId="2" borderId="4" xfId="0" applyNumberFormat="1" applyFont="1" applyFill="1" applyBorder="1" applyAlignment="1">
      <alignment vertical="center" wrapText="1"/>
    </xf>
    <xf numFmtId="164" fontId="21" fillId="2" borderId="2" xfId="0" applyNumberFormat="1" applyFont="1" applyFill="1" applyBorder="1" applyAlignment="1">
      <alignment vertical="center" wrapText="1"/>
    </xf>
    <xf numFmtId="3" fontId="21" fillId="2" borderId="3" xfId="0" applyNumberFormat="1" applyFont="1" applyFill="1" applyBorder="1" applyAlignment="1">
      <alignment vertical="center" wrapText="1"/>
    </xf>
    <xf numFmtId="3" fontId="26" fillId="2" borderId="0" xfId="0" applyNumberFormat="1" applyFont="1" applyFill="1" applyBorder="1" applyAlignment="1">
      <alignment horizontal="center" vertical="center" wrapText="1"/>
    </xf>
    <xf numFmtId="3" fontId="26" fillId="2" borderId="0" xfId="0" applyNumberFormat="1" applyFont="1" applyFill="1" applyBorder="1" applyAlignment="1">
      <alignment vertical="center" wrapText="1"/>
    </xf>
    <xf numFmtId="3" fontId="21" fillId="2" borderId="0" xfId="0" applyNumberFormat="1" applyFont="1" applyFill="1" applyBorder="1" applyAlignment="1">
      <alignment vertical="center" wrapText="1"/>
    </xf>
    <xf numFmtId="3" fontId="21" fillId="2" borderId="0" xfId="0" applyNumberFormat="1" applyFont="1" applyFill="1" applyAlignment="1">
      <alignment horizontal="center"/>
    </xf>
    <xf numFmtId="3" fontId="21" fillId="2" borderId="2" xfId="0" applyNumberFormat="1" applyFont="1" applyFill="1" applyBorder="1" applyAlignment="1">
      <alignment horizontal="right" vertical="center"/>
    </xf>
    <xf numFmtId="3" fontId="26" fillId="2" borderId="2" xfId="0" applyNumberFormat="1" applyFont="1" applyFill="1" applyBorder="1" applyAlignment="1">
      <alignment horizontal="right" vertical="center" wrapText="1"/>
    </xf>
    <xf numFmtId="3" fontId="26" fillId="2" borderId="2" xfId="0" applyNumberFormat="1" applyFont="1" applyFill="1" applyBorder="1" applyAlignment="1">
      <alignment horizontal="right" vertical="center"/>
    </xf>
    <xf numFmtId="3" fontId="143" fillId="2" borderId="0" xfId="17" applyNumberFormat="1" applyFont="1" applyFill="1" applyAlignment="1">
      <alignment horizontal="center" vertical="center" wrapText="1"/>
    </xf>
    <xf numFmtId="3" fontId="143" fillId="2" borderId="0" xfId="17" applyNumberFormat="1" applyFont="1" applyFill="1" applyAlignment="1">
      <alignment vertical="center" wrapText="1"/>
    </xf>
    <xf numFmtId="3" fontId="142" fillId="2" borderId="0" xfId="17" applyNumberFormat="1" applyFont="1" applyFill="1" applyBorder="1" applyAlignment="1">
      <alignment horizontal="center" vertical="center" wrapText="1"/>
    </xf>
    <xf numFmtId="3" fontId="142" fillId="2" borderId="0" xfId="17" applyNumberFormat="1" applyFont="1" applyFill="1" applyBorder="1" applyAlignment="1">
      <alignment vertical="center" wrapText="1"/>
    </xf>
    <xf numFmtId="3" fontId="143" fillId="2" borderId="0" xfId="17" applyNumberFormat="1" applyFont="1" applyFill="1" applyAlignment="1">
      <alignment horizontal="right" vertical="center" wrapText="1"/>
    </xf>
    <xf numFmtId="3" fontId="146" fillId="2" borderId="0" xfId="17" applyNumberFormat="1" applyFont="1" applyFill="1" applyAlignment="1">
      <alignment horizontal="center" vertical="center" wrapText="1"/>
    </xf>
    <xf numFmtId="3" fontId="146" fillId="2" borderId="0" xfId="17" applyNumberFormat="1" applyFont="1" applyFill="1" applyAlignment="1">
      <alignment vertical="center" wrapText="1"/>
    </xf>
    <xf numFmtId="3" fontId="146" fillId="2" borderId="0" xfId="17" applyNumberFormat="1" applyFont="1" applyFill="1" applyBorder="1" applyAlignment="1">
      <alignment horizontal="center" vertical="center" wrapText="1"/>
    </xf>
    <xf numFmtId="3" fontId="146" fillId="2" borderId="21" xfId="17" applyNumberFormat="1" applyFont="1" applyFill="1" applyBorder="1" applyAlignment="1">
      <alignment horizontal="center" vertical="center" wrapText="1"/>
    </xf>
    <xf numFmtId="3" fontId="146" fillId="2" borderId="0" xfId="17" applyNumberFormat="1" applyFont="1" applyFill="1" applyBorder="1" applyAlignment="1">
      <alignment vertical="center" wrapText="1"/>
    </xf>
    <xf numFmtId="3" fontId="145" fillId="2" borderId="4" xfId="17" quotePrefix="1" applyNumberFormat="1" applyFont="1" applyFill="1" applyBorder="1" applyAlignment="1">
      <alignment horizontal="center" vertical="center" wrapText="1"/>
    </xf>
    <xf numFmtId="3" fontId="145" fillId="2" borderId="4" xfId="17" quotePrefix="1" applyNumberFormat="1" applyFont="1" applyFill="1" applyBorder="1" applyAlignment="1">
      <alignment horizontal="right" vertical="center" wrapText="1"/>
    </xf>
    <xf numFmtId="3" fontId="145" fillId="2" borderId="0" xfId="17" applyNumberFormat="1" applyFont="1" applyFill="1" applyBorder="1" applyAlignment="1">
      <alignment horizontal="center" vertical="center" wrapText="1"/>
    </xf>
    <xf numFmtId="3" fontId="145" fillId="2" borderId="0" xfId="17" applyNumberFormat="1" applyFont="1" applyFill="1" applyBorder="1" applyAlignment="1">
      <alignment vertical="center" wrapText="1"/>
    </xf>
    <xf numFmtId="3" fontId="149" fillId="2" borderId="2" xfId="17" quotePrefix="1" applyNumberFormat="1" applyFont="1" applyFill="1" applyBorder="1" applyAlignment="1">
      <alignment horizontal="center" vertical="center" wrapText="1"/>
    </xf>
    <xf numFmtId="3" fontId="149" fillId="2" borderId="2" xfId="17" applyNumberFormat="1" applyFont="1" applyFill="1" applyBorder="1" applyAlignment="1">
      <alignment horizontal="left" vertical="center" wrapText="1"/>
    </xf>
    <xf numFmtId="3" fontId="149" fillId="2" borderId="2" xfId="17" quotePrefix="1" applyNumberFormat="1" applyFont="1" applyFill="1" applyBorder="1" applyAlignment="1">
      <alignment horizontal="right" vertical="center" wrapText="1"/>
    </xf>
    <xf numFmtId="4" fontId="149" fillId="2" borderId="2" xfId="17" quotePrefix="1" applyNumberFormat="1" applyFont="1" applyFill="1" applyBorder="1" applyAlignment="1">
      <alignment horizontal="right" vertical="center" wrapText="1"/>
    </xf>
    <xf numFmtId="3" fontId="146" fillId="2" borderId="2" xfId="17" quotePrefix="1" applyNumberFormat="1" applyFont="1" applyFill="1" applyBorder="1" applyAlignment="1">
      <alignment horizontal="center" vertical="center" wrapText="1"/>
    </xf>
    <xf numFmtId="3" fontId="150" fillId="2" borderId="2" xfId="17" quotePrefix="1" applyNumberFormat="1" applyFont="1" applyFill="1" applyBorder="1" applyAlignment="1">
      <alignment horizontal="center" vertical="center" wrapText="1"/>
    </xf>
    <xf numFmtId="3" fontId="151" fillId="2" borderId="2" xfId="17" applyNumberFormat="1" applyFont="1" applyFill="1" applyBorder="1" applyAlignment="1">
      <alignment horizontal="right" vertical="center" wrapText="1"/>
    </xf>
    <xf numFmtId="3" fontId="152" fillId="2" borderId="2" xfId="17" applyNumberFormat="1" applyFont="1" applyFill="1" applyBorder="1" applyAlignment="1">
      <alignment horizontal="right" vertical="center" wrapText="1"/>
    </xf>
    <xf numFmtId="3" fontId="153" fillId="2" borderId="2" xfId="17" applyNumberFormat="1" applyFont="1" applyFill="1" applyBorder="1" applyAlignment="1">
      <alignment horizontal="right" vertical="center" wrapText="1"/>
    </xf>
    <xf numFmtId="3" fontId="149" fillId="2" borderId="2" xfId="17" applyNumberFormat="1" applyFont="1" applyFill="1" applyBorder="1" applyAlignment="1">
      <alignment horizontal="center" vertical="center" wrapText="1"/>
    </xf>
    <xf numFmtId="3" fontId="154" fillId="2" borderId="2" xfId="17" applyNumberFormat="1" applyFont="1" applyFill="1" applyBorder="1" applyAlignment="1">
      <alignment horizontal="center" vertical="center" wrapText="1"/>
    </xf>
    <xf numFmtId="3" fontId="145" fillId="2" borderId="0" xfId="17" applyNumberFormat="1" applyFont="1" applyFill="1" applyAlignment="1">
      <alignment horizontal="center" vertical="center" wrapText="1"/>
    </xf>
    <xf numFmtId="3" fontId="145" fillId="2" borderId="0" xfId="17" applyNumberFormat="1" applyFont="1" applyFill="1" applyAlignment="1">
      <alignment vertical="center" wrapText="1"/>
    </xf>
    <xf numFmtId="3" fontId="145" fillId="2" borderId="2" xfId="17" applyNumberFormat="1" applyFont="1" applyFill="1" applyBorder="1" applyAlignment="1">
      <alignment horizontal="right" vertical="center" wrapText="1"/>
    </xf>
    <xf numFmtId="3" fontId="155" fillId="2" borderId="2" xfId="17" quotePrefix="1" applyNumberFormat="1" applyFont="1" applyFill="1" applyBorder="1" applyAlignment="1">
      <alignment horizontal="right" vertical="center" wrapText="1"/>
    </xf>
    <xf numFmtId="3" fontId="146" fillId="2" borderId="2" xfId="17" applyNumberFormat="1" applyFont="1" applyFill="1" applyBorder="1" applyAlignment="1">
      <alignment horizontal="center" vertical="center" wrapText="1"/>
    </xf>
    <xf numFmtId="3" fontId="151" fillId="2" borderId="2" xfId="17" applyNumberFormat="1" applyFont="1" applyFill="1" applyBorder="1" applyAlignment="1">
      <alignment horizontal="center" vertical="center" wrapText="1"/>
    </xf>
    <xf numFmtId="3" fontId="151" fillId="2" borderId="2" xfId="0" applyNumberFormat="1" applyFont="1" applyFill="1" applyBorder="1" applyAlignment="1">
      <alignment horizontal="left" vertical="center" wrapText="1"/>
    </xf>
    <xf numFmtId="3" fontId="147" fillId="2" borderId="2" xfId="17" applyNumberFormat="1" applyFont="1" applyFill="1" applyBorder="1" applyAlignment="1">
      <alignment horizontal="center" vertical="center" wrapText="1"/>
    </xf>
    <xf numFmtId="1" fontId="151" fillId="2" borderId="2" xfId="17" applyNumberFormat="1" applyFont="1" applyFill="1" applyBorder="1" applyAlignment="1">
      <alignment vertical="center" wrapText="1"/>
    </xf>
    <xf numFmtId="3" fontId="156" fillId="2" borderId="2" xfId="17" applyNumberFormat="1" applyFont="1" applyFill="1" applyBorder="1" applyAlignment="1">
      <alignment horizontal="center" vertical="center" wrapText="1"/>
    </xf>
    <xf numFmtId="3" fontId="157" fillId="2" borderId="2" xfId="17" applyNumberFormat="1" applyFont="1" applyFill="1" applyBorder="1" applyAlignment="1">
      <alignment vertical="center" wrapText="1"/>
    </xf>
    <xf numFmtId="3" fontId="156" fillId="2" borderId="2" xfId="0" applyNumberFormat="1" applyFont="1" applyFill="1" applyBorder="1" applyAlignment="1">
      <alignment horizontal="center" vertical="center" wrapText="1"/>
    </xf>
    <xf numFmtId="3" fontId="157" fillId="2" borderId="2" xfId="17" applyNumberFormat="1" applyFont="1" applyFill="1" applyBorder="1" applyAlignment="1">
      <alignment horizontal="right" vertical="center" wrapText="1"/>
    </xf>
    <xf numFmtId="3" fontId="157" fillId="2" borderId="2" xfId="0" applyNumberFormat="1" applyFont="1" applyFill="1" applyBorder="1" applyAlignment="1">
      <alignment horizontal="center" vertical="center" wrapText="1"/>
    </xf>
    <xf numFmtId="3" fontId="146" fillId="2" borderId="2" xfId="0" applyNumberFormat="1" applyFont="1" applyFill="1" applyBorder="1" applyAlignment="1">
      <alignment horizontal="left" vertical="center" wrapText="1"/>
    </xf>
    <xf numFmtId="3" fontId="146" fillId="2" borderId="2" xfId="0" applyNumberFormat="1" applyFont="1" applyFill="1" applyBorder="1" applyAlignment="1">
      <alignment horizontal="center" vertical="center" wrapText="1"/>
    </xf>
    <xf numFmtId="3" fontId="146" fillId="2" borderId="2" xfId="0" applyNumberFormat="1" applyFont="1" applyFill="1" applyBorder="1" applyAlignment="1">
      <alignment horizontal="right" vertical="center" wrapText="1"/>
    </xf>
    <xf numFmtId="3" fontId="146" fillId="2" borderId="2" xfId="17" applyNumberFormat="1" applyFont="1" applyFill="1" applyBorder="1" applyAlignment="1">
      <alignment horizontal="right" vertical="center" wrapText="1"/>
    </xf>
    <xf numFmtId="3" fontId="158" fillId="2" borderId="2" xfId="20" applyNumberFormat="1" applyFont="1" applyFill="1" applyBorder="1" applyAlignment="1">
      <alignment horizontal="right" vertical="center" wrapText="1"/>
    </xf>
    <xf numFmtId="3" fontId="153" fillId="2" borderId="2" xfId="17" applyNumberFormat="1" applyFont="1" applyFill="1" applyBorder="1" applyAlignment="1">
      <alignment horizontal="center" vertical="center" wrapText="1"/>
    </xf>
    <xf numFmtId="3" fontId="153" fillId="2" borderId="2" xfId="0" applyNumberFormat="1" applyFont="1" applyFill="1" applyBorder="1" applyAlignment="1">
      <alignment horizontal="left" vertical="center" wrapText="1"/>
    </xf>
    <xf numFmtId="3" fontId="146" fillId="2" borderId="2" xfId="20" applyNumberFormat="1" applyFont="1" applyFill="1" applyBorder="1" applyAlignment="1">
      <alignment horizontal="right" vertical="center" wrapText="1"/>
    </xf>
    <xf numFmtId="3" fontId="153" fillId="2" borderId="2" xfId="0" applyNumberFormat="1" applyFont="1" applyFill="1" applyBorder="1" applyAlignment="1">
      <alignment horizontal="right" vertical="center" wrapText="1"/>
    </xf>
    <xf numFmtId="3" fontId="153" fillId="2" borderId="2" xfId="20" applyNumberFormat="1" applyFont="1" applyFill="1" applyBorder="1" applyAlignment="1">
      <alignment horizontal="right" vertical="center" wrapText="1"/>
    </xf>
    <xf numFmtId="3" fontId="159" fillId="2" borderId="2" xfId="17" applyNumberFormat="1" applyFont="1" applyFill="1" applyBorder="1" applyAlignment="1">
      <alignment horizontal="right" vertical="center" wrapText="1"/>
    </xf>
    <xf numFmtId="3" fontId="153" fillId="2" borderId="2" xfId="0" applyNumberFormat="1" applyFont="1" applyFill="1" applyBorder="1" applyAlignment="1">
      <alignment horizontal="center" vertical="center" wrapText="1"/>
    </xf>
    <xf numFmtId="3" fontId="153" fillId="2" borderId="0" xfId="17" applyNumberFormat="1" applyFont="1" applyFill="1" applyAlignment="1">
      <alignment vertical="center" wrapText="1"/>
    </xf>
    <xf numFmtId="3" fontId="152" fillId="2" borderId="2" xfId="17" applyNumberFormat="1" applyFont="1" applyFill="1" applyBorder="1" applyAlignment="1">
      <alignment horizontal="center" vertical="center" wrapText="1"/>
    </xf>
    <xf numFmtId="3" fontId="156" fillId="2" borderId="2" xfId="17" applyNumberFormat="1" applyFont="1" applyFill="1" applyBorder="1" applyAlignment="1">
      <alignment horizontal="left" vertical="center" wrapText="1"/>
    </xf>
    <xf numFmtId="3" fontId="160" fillId="2" borderId="2" xfId="17" applyNumberFormat="1" applyFont="1" applyFill="1" applyBorder="1" applyAlignment="1">
      <alignment horizontal="center" vertical="center" wrapText="1"/>
    </xf>
    <xf numFmtId="3" fontId="156" fillId="2" borderId="2" xfId="17" applyNumberFormat="1" applyFont="1" applyFill="1" applyBorder="1" applyAlignment="1">
      <alignment horizontal="right" vertical="center" wrapText="1"/>
    </xf>
    <xf numFmtId="3" fontId="146" fillId="2" borderId="2" xfId="24" applyNumberFormat="1" applyFont="1" applyFill="1" applyBorder="1" applyAlignment="1">
      <alignment horizontal="right" vertical="center" wrapText="1"/>
    </xf>
    <xf numFmtId="3" fontId="161" fillId="2" borderId="2" xfId="17" applyNumberFormat="1" applyFont="1" applyFill="1" applyBorder="1" applyAlignment="1">
      <alignment horizontal="right" vertical="center" wrapText="1"/>
    </xf>
    <xf numFmtId="3" fontId="149" fillId="2" borderId="2" xfId="17" applyNumberFormat="1" applyFont="1" applyFill="1" applyBorder="1" applyAlignment="1">
      <alignment horizontal="right" vertical="center" wrapText="1"/>
    </xf>
    <xf numFmtId="3" fontId="156" fillId="2" borderId="2" xfId="24" applyNumberFormat="1" applyFont="1" applyFill="1" applyBorder="1" applyAlignment="1">
      <alignment horizontal="right" vertical="center" wrapText="1"/>
    </xf>
    <xf numFmtId="3" fontId="153" fillId="2" borderId="2" xfId="24" applyNumberFormat="1" applyFont="1" applyFill="1" applyBorder="1" applyAlignment="1">
      <alignment horizontal="right" vertical="center" wrapText="1"/>
    </xf>
    <xf numFmtId="3" fontId="156" fillId="2" borderId="2" xfId="0" applyNumberFormat="1" applyFont="1" applyFill="1" applyBorder="1" applyAlignment="1">
      <alignment horizontal="right" vertical="center" wrapText="1"/>
    </xf>
    <xf numFmtId="3" fontId="152" fillId="2" borderId="2" xfId="0" applyNumberFormat="1" applyFont="1" applyFill="1" applyBorder="1" applyAlignment="1">
      <alignment horizontal="center" vertical="center" wrapText="1"/>
    </xf>
    <xf numFmtId="1" fontId="152" fillId="2" borderId="2" xfId="17" applyNumberFormat="1" applyFont="1" applyFill="1" applyBorder="1" applyAlignment="1">
      <alignment vertical="center" wrapText="1"/>
    </xf>
    <xf numFmtId="3" fontId="152" fillId="2" borderId="0" xfId="17" applyNumberFormat="1" applyFont="1" applyFill="1" applyAlignment="1">
      <alignment vertical="center" wrapText="1"/>
    </xf>
    <xf numFmtId="3" fontId="146" fillId="2" borderId="2" xfId="17" quotePrefix="1" applyNumberFormat="1" applyFont="1" applyFill="1" applyBorder="1" applyAlignment="1">
      <alignment vertical="center" wrapText="1"/>
    </xf>
    <xf numFmtId="3" fontId="162" fillId="2" borderId="2" xfId="17" applyNumberFormat="1" applyFont="1" applyFill="1" applyBorder="1" applyAlignment="1">
      <alignment horizontal="center" vertical="center" wrapText="1"/>
    </xf>
    <xf numFmtId="3" fontId="153" fillId="2" borderId="2" xfId="17" applyNumberFormat="1" applyFont="1" applyFill="1" applyBorder="1" applyAlignment="1">
      <alignment vertical="center" wrapText="1"/>
    </xf>
    <xf numFmtId="0" fontId="153" fillId="2" borderId="2" xfId="0" applyFont="1" applyFill="1" applyBorder="1" applyAlignment="1">
      <alignment horizontal="center" vertical="center" wrapText="1"/>
    </xf>
    <xf numFmtId="3" fontId="146" fillId="2" borderId="2" xfId="17" applyNumberFormat="1" applyFont="1" applyFill="1" applyBorder="1" applyAlignment="1">
      <alignment vertical="center" wrapText="1"/>
    </xf>
    <xf numFmtId="3" fontId="145" fillId="2" borderId="2" xfId="25" applyNumberFormat="1" applyFont="1" applyFill="1" applyBorder="1" applyAlignment="1">
      <alignment horizontal="right" vertical="center" wrapText="1"/>
    </xf>
    <xf numFmtId="3" fontId="153" fillId="2" borderId="2" xfId="25" applyNumberFormat="1" applyFont="1" applyFill="1" applyBorder="1" applyAlignment="1">
      <alignment horizontal="right" vertical="center" wrapText="1"/>
    </xf>
    <xf numFmtId="3" fontId="163" fillId="2" borderId="2" xfId="24" applyNumberFormat="1" applyFont="1" applyFill="1" applyBorder="1" applyAlignment="1">
      <alignment horizontal="right" vertical="center" wrapText="1"/>
    </xf>
    <xf numFmtId="3" fontId="149" fillId="2" borderId="2" xfId="25" applyNumberFormat="1" applyFont="1" applyFill="1" applyBorder="1" applyAlignment="1">
      <alignment horizontal="right" vertical="center" wrapText="1"/>
    </xf>
    <xf numFmtId="3" fontId="163" fillId="2" borderId="2" xfId="25" applyNumberFormat="1" applyFont="1" applyFill="1" applyBorder="1" applyAlignment="1">
      <alignment horizontal="right" vertical="center" wrapText="1"/>
    </xf>
    <xf numFmtId="3" fontId="146" fillId="2" borderId="2" xfId="25" applyNumberFormat="1" applyFont="1" applyFill="1" applyBorder="1" applyAlignment="1">
      <alignment horizontal="center" vertical="center" wrapText="1"/>
    </xf>
    <xf numFmtId="3" fontId="164" fillId="2" borderId="2" xfId="0" applyNumberFormat="1" applyFont="1" applyFill="1" applyBorder="1" applyAlignment="1">
      <alignment vertical="center" wrapText="1"/>
    </xf>
    <xf numFmtId="3" fontId="151" fillId="2" borderId="2" xfId="25" applyNumberFormat="1" applyFont="1" applyFill="1" applyBorder="1" applyAlignment="1">
      <alignment horizontal="center" vertical="center" wrapText="1"/>
    </xf>
    <xf numFmtId="3" fontId="165" fillId="2" borderId="2" xfId="17" applyNumberFormat="1" applyFont="1" applyFill="1" applyBorder="1" applyAlignment="1">
      <alignment horizontal="right" vertical="center" wrapText="1"/>
    </xf>
    <xf numFmtId="3" fontId="165" fillId="2" borderId="2" xfId="17" applyNumberFormat="1" applyFont="1" applyFill="1" applyBorder="1" applyAlignment="1">
      <alignment horizontal="center" vertical="center" wrapText="1"/>
    </xf>
    <xf numFmtId="3" fontId="166" fillId="2" borderId="2" xfId="17" applyNumberFormat="1" applyFont="1" applyFill="1" applyBorder="1" applyAlignment="1">
      <alignment horizontal="center" vertical="center" wrapText="1"/>
    </xf>
    <xf numFmtId="167" fontId="151" fillId="2" borderId="2" xfId="0" applyNumberFormat="1" applyFont="1" applyFill="1" applyBorder="1" applyAlignment="1">
      <alignment horizontal="center" vertical="center" wrapText="1"/>
    </xf>
    <xf numFmtId="3" fontId="167" fillId="2" borderId="2" xfId="17" applyNumberFormat="1" applyFont="1" applyFill="1" applyBorder="1" applyAlignment="1">
      <alignment horizontal="center" vertical="center" wrapText="1"/>
    </xf>
    <xf numFmtId="3" fontId="167" fillId="2" borderId="2" xfId="0" applyNumberFormat="1" applyFont="1" applyFill="1" applyBorder="1" applyAlignment="1">
      <alignment horizontal="left" vertical="center" wrapText="1"/>
    </xf>
    <xf numFmtId="3" fontId="167" fillId="2" borderId="2" xfId="17" applyNumberFormat="1" applyFont="1" applyFill="1" applyBorder="1" applyAlignment="1">
      <alignment horizontal="right" vertical="center" wrapText="1"/>
    </xf>
    <xf numFmtId="3" fontId="145" fillId="2" borderId="2" xfId="17" applyNumberFormat="1" applyFont="1" applyFill="1" applyBorder="1" applyAlignment="1">
      <alignment horizontal="center" vertical="center" wrapText="1"/>
    </xf>
    <xf numFmtId="3" fontId="145" fillId="2" borderId="2" xfId="17" applyNumberFormat="1" applyFont="1" applyFill="1" applyBorder="1" applyAlignment="1">
      <alignment horizontal="left" vertical="center" wrapText="1"/>
    </xf>
    <xf numFmtId="3" fontId="168" fillId="2" borderId="2" xfId="17" applyNumberFormat="1" applyFont="1" applyFill="1" applyBorder="1" applyAlignment="1">
      <alignment horizontal="right" vertical="center" wrapText="1"/>
    </xf>
    <xf numFmtId="3" fontId="169" fillId="2" borderId="2" xfId="17" applyNumberFormat="1" applyFont="1" applyFill="1" applyBorder="1" applyAlignment="1">
      <alignment horizontal="center" vertical="center" wrapText="1"/>
    </xf>
    <xf numFmtId="3" fontId="169" fillId="2" borderId="2" xfId="17" applyNumberFormat="1" applyFont="1" applyFill="1" applyBorder="1" applyAlignment="1">
      <alignment horizontal="left" vertical="center" wrapText="1"/>
    </xf>
    <xf numFmtId="3" fontId="169" fillId="2" borderId="2" xfId="17" applyNumberFormat="1" applyFont="1" applyFill="1" applyBorder="1" applyAlignment="1">
      <alignment horizontal="right" vertical="center" wrapText="1"/>
    </xf>
    <xf numFmtId="168" fontId="146" fillId="2" borderId="2" xfId="0" applyNumberFormat="1" applyFont="1" applyFill="1" applyBorder="1" applyAlignment="1">
      <alignment vertical="center" wrapText="1"/>
    </xf>
    <xf numFmtId="3" fontId="146" fillId="2" borderId="2" xfId="17" applyNumberFormat="1" applyFont="1" applyFill="1" applyBorder="1" applyAlignment="1">
      <alignment horizontal="right" vertical="center"/>
    </xf>
    <xf numFmtId="3" fontId="146" fillId="2" borderId="2" xfId="0" applyNumberFormat="1" applyFont="1" applyFill="1" applyBorder="1" applyAlignment="1">
      <alignment vertical="center" wrapText="1"/>
    </xf>
    <xf numFmtId="3" fontId="146" fillId="2" borderId="2" xfId="26" applyNumberFormat="1" applyFont="1" applyFill="1" applyBorder="1" applyAlignment="1">
      <alignment vertical="center" wrapText="1"/>
    </xf>
    <xf numFmtId="3" fontId="146" fillId="2" borderId="2" xfId="26" applyNumberFormat="1" applyFont="1" applyFill="1" applyBorder="1" applyAlignment="1">
      <alignment horizontal="center" vertical="center" wrapText="1"/>
    </xf>
    <xf numFmtId="3" fontId="146" fillId="2" borderId="2" xfId="27" applyNumberFormat="1" applyFont="1" applyFill="1" applyBorder="1" applyAlignment="1">
      <alignment horizontal="right" vertical="center" wrapText="1"/>
    </xf>
    <xf numFmtId="3" fontId="146" fillId="2" borderId="2" xfId="17" quotePrefix="1" applyNumberFormat="1" applyFont="1" applyFill="1" applyBorder="1" applyAlignment="1">
      <alignment horizontal="right" vertical="center" wrapText="1"/>
    </xf>
    <xf numFmtId="0" fontId="146" fillId="2" borderId="2" xfId="0" applyFont="1" applyFill="1" applyBorder="1" applyAlignment="1">
      <alignment vertical="center" wrapText="1"/>
    </xf>
    <xf numFmtId="3" fontId="146" fillId="2" borderId="2" xfId="0" applyNumberFormat="1" applyFont="1" applyFill="1" applyBorder="1" applyAlignment="1">
      <alignment vertical="center"/>
    </xf>
    <xf numFmtId="0" fontId="146" fillId="2" borderId="2" xfId="0" applyFont="1" applyFill="1" applyBorder="1" applyAlignment="1">
      <alignment horizontal="center" vertical="center" wrapText="1"/>
    </xf>
    <xf numFmtId="3" fontId="158" fillId="2" borderId="2" xfId="0" applyNumberFormat="1" applyFont="1" applyFill="1" applyBorder="1" applyAlignment="1">
      <alignment horizontal="right" vertical="center" wrapText="1"/>
    </xf>
    <xf numFmtId="3" fontId="146" fillId="2" borderId="2" xfId="17" applyNumberFormat="1" applyFont="1" applyFill="1" applyBorder="1" applyAlignment="1">
      <alignment horizontal="left" vertical="center" wrapText="1"/>
    </xf>
    <xf numFmtId="3" fontId="158" fillId="2" borderId="2" xfId="0" applyNumberFormat="1" applyFont="1" applyFill="1" applyBorder="1" applyAlignment="1">
      <alignment vertical="center" wrapText="1"/>
    </xf>
    <xf numFmtId="3" fontId="158" fillId="2" borderId="2" xfId="0" applyNumberFormat="1" applyFont="1" applyFill="1" applyBorder="1" applyAlignment="1">
      <alignment horizontal="center" vertical="center" wrapText="1"/>
    </xf>
    <xf numFmtId="3" fontId="146" fillId="2" borderId="2" xfId="18" applyNumberFormat="1" applyFont="1" applyFill="1" applyBorder="1" applyAlignment="1">
      <alignment vertical="center" wrapText="1"/>
    </xf>
    <xf numFmtId="3" fontId="157" fillId="2" borderId="2" xfId="17" applyNumberFormat="1" applyFont="1" applyFill="1" applyBorder="1" applyAlignment="1">
      <alignment horizontal="center" vertical="center" wrapText="1"/>
    </xf>
    <xf numFmtId="3" fontId="153" fillId="2" borderId="2" xfId="26" applyNumberFormat="1" applyFont="1" applyFill="1" applyBorder="1" applyAlignment="1">
      <alignment vertical="center" wrapText="1"/>
    </xf>
    <xf numFmtId="3" fontId="153" fillId="2" borderId="2" xfId="26" applyNumberFormat="1" applyFont="1" applyFill="1" applyBorder="1" applyAlignment="1">
      <alignment horizontal="center" vertical="center" wrapText="1"/>
    </xf>
    <xf numFmtId="3" fontId="153" fillId="2" borderId="2" xfId="27" applyNumberFormat="1" applyFont="1" applyFill="1" applyBorder="1" applyAlignment="1">
      <alignment horizontal="right" vertical="center" wrapText="1"/>
    </xf>
    <xf numFmtId="3" fontId="146" fillId="2" borderId="2" xfId="19" applyNumberFormat="1" applyFont="1" applyFill="1" applyBorder="1" applyAlignment="1">
      <alignment vertical="center" wrapText="1"/>
    </xf>
    <xf numFmtId="167" fontId="146" fillId="2" borderId="2" xfId="17" applyNumberFormat="1" applyFont="1" applyFill="1" applyBorder="1" applyAlignment="1">
      <alignment horizontal="right" vertical="center" wrapText="1"/>
    </xf>
    <xf numFmtId="3" fontId="170" fillId="2" borderId="2" xfId="17" applyNumberFormat="1" applyFont="1" applyFill="1" applyBorder="1" applyAlignment="1">
      <alignment horizontal="right" vertical="center" wrapText="1"/>
    </xf>
    <xf numFmtId="3" fontId="152" fillId="2" borderId="2" xfId="18" applyNumberFormat="1" applyFont="1" applyFill="1" applyBorder="1" applyAlignment="1">
      <alignment vertical="center" wrapText="1"/>
    </xf>
    <xf numFmtId="3" fontId="170" fillId="2" borderId="2" xfId="17" applyNumberFormat="1" applyFont="1" applyFill="1" applyBorder="1" applyAlignment="1">
      <alignment horizontal="center" vertical="center" wrapText="1"/>
    </xf>
    <xf numFmtId="3" fontId="170" fillId="2" borderId="0" xfId="17" applyNumberFormat="1" applyFont="1" applyFill="1" applyAlignment="1">
      <alignment vertical="center" wrapText="1"/>
    </xf>
    <xf numFmtId="3" fontId="149" fillId="2" borderId="2" xfId="17" applyNumberFormat="1" applyFont="1" applyFill="1" applyBorder="1" applyAlignment="1">
      <alignment vertical="center" wrapText="1"/>
    </xf>
    <xf numFmtId="0" fontId="171" fillId="2" borderId="2" xfId="0" applyFont="1" applyFill="1" applyBorder="1" applyAlignment="1">
      <alignment vertical="center" wrapText="1"/>
    </xf>
    <xf numFmtId="3" fontId="171" fillId="2" borderId="2" xfId="0" applyNumberFormat="1" applyFont="1" applyFill="1" applyBorder="1" applyAlignment="1">
      <alignment horizontal="right" vertical="center" wrapText="1"/>
    </xf>
    <xf numFmtId="0" fontId="148" fillId="2" borderId="2" xfId="0" applyFont="1" applyFill="1" applyBorder="1" applyAlignment="1">
      <alignment horizontal="right" wrapText="1"/>
    </xf>
    <xf numFmtId="0" fontId="148" fillId="2" borderId="2" xfId="0" applyFont="1" applyFill="1" applyBorder="1" applyAlignment="1">
      <alignment horizontal="center" wrapText="1"/>
    </xf>
    <xf numFmtId="0" fontId="172" fillId="2" borderId="2" xfId="21" applyFont="1" applyFill="1" applyBorder="1" applyAlignment="1">
      <alignment horizontal="center" vertical="center"/>
    </xf>
    <xf numFmtId="3" fontId="172" fillId="2" borderId="2" xfId="17" applyNumberFormat="1" applyFont="1" applyFill="1" applyBorder="1" applyAlignment="1">
      <alignment horizontal="left" vertical="center" wrapText="1"/>
    </xf>
    <xf numFmtId="0" fontId="173" fillId="2" borderId="2" xfId="0" applyFont="1" applyFill="1" applyBorder="1" applyAlignment="1">
      <alignment horizontal="center" wrapText="1"/>
    </xf>
    <xf numFmtId="0" fontId="173" fillId="2" borderId="2" xfId="0" applyFont="1" applyFill="1" applyBorder="1" applyAlignment="1">
      <alignment horizontal="right" wrapText="1"/>
    </xf>
    <xf numFmtId="3" fontId="174" fillId="2" borderId="2" xfId="0" applyNumberFormat="1" applyFont="1" applyFill="1" applyBorder="1" applyAlignment="1">
      <alignment horizontal="right" vertical="center" wrapText="1"/>
    </xf>
    <xf numFmtId="3" fontId="145" fillId="2" borderId="2" xfId="17" applyNumberFormat="1" applyFont="1" applyFill="1" applyBorder="1" applyAlignment="1">
      <alignment vertical="center" wrapText="1"/>
    </xf>
    <xf numFmtId="3" fontId="168" fillId="2" borderId="2" xfId="17" applyNumberFormat="1" applyFont="1" applyFill="1" applyBorder="1" applyAlignment="1">
      <alignment vertical="center" wrapText="1"/>
    </xf>
    <xf numFmtId="3" fontId="145" fillId="2" borderId="2" xfId="0" applyNumberFormat="1" applyFont="1" applyFill="1" applyBorder="1" applyAlignment="1">
      <alignment horizontal="center" vertical="center" wrapText="1"/>
    </xf>
    <xf numFmtId="0" fontId="175" fillId="2" borderId="2" xfId="0" applyFont="1" applyFill="1" applyBorder="1" applyAlignment="1">
      <alignment vertical="center" wrapText="1"/>
    </xf>
    <xf numFmtId="0" fontId="175" fillId="2" borderId="21" xfId="0" applyFont="1" applyFill="1" applyBorder="1" applyAlignment="1">
      <alignment vertical="center" wrapText="1"/>
    </xf>
    <xf numFmtId="166" fontId="145" fillId="2" borderId="2" xfId="1" applyNumberFormat="1" applyFont="1" applyFill="1" applyBorder="1" applyAlignment="1">
      <alignment vertical="center"/>
    </xf>
    <xf numFmtId="4" fontId="145" fillId="2" borderId="2" xfId="0" applyNumberFormat="1" applyFont="1" applyFill="1" applyBorder="1" applyAlignment="1">
      <alignment vertical="center" wrapText="1"/>
    </xf>
    <xf numFmtId="4" fontId="146" fillId="2" borderId="2" xfId="0" applyNumberFormat="1" applyFont="1" applyFill="1" applyBorder="1" applyAlignment="1">
      <alignment vertical="center" wrapText="1"/>
    </xf>
    <xf numFmtId="0" fontId="158" fillId="2" borderId="2" xfId="0" applyFont="1" applyFill="1" applyBorder="1" applyAlignment="1">
      <alignment horizontal="center" vertical="center" wrapText="1"/>
    </xf>
    <xf numFmtId="4" fontId="146" fillId="2" borderId="2" xfId="0" applyNumberFormat="1" applyFont="1" applyFill="1" applyBorder="1" applyAlignment="1">
      <alignment horizontal="center" vertical="center" wrapText="1"/>
    </xf>
    <xf numFmtId="0" fontId="146" fillId="2" borderId="2" xfId="0" applyFont="1" applyFill="1" applyBorder="1" applyAlignment="1">
      <alignment horizontal="left" vertical="center" wrapText="1"/>
    </xf>
    <xf numFmtId="0" fontId="146" fillId="2" borderId="2" xfId="37" applyFont="1" applyFill="1" applyBorder="1" applyAlignment="1">
      <alignment horizontal="center" vertical="center" wrapText="1"/>
    </xf>
    <xf numFmtId="1" fontId="146" fillId="2" borderId="2" xfId="17" applyNumberFormat="1" applyFont="1" applyFill="1" applyBorder="1" applyAlignment="1">
      <alignment vertical="center" wrapText="1"/>
    </xf>
    <xf numFmtId="1" fontId="145" fillId="2" borderId="2" xfId="17" applyNumberFormat="1" applyFont="1" applyFill="1" applyBorder="1" applyAlignment="1">
      <alignment vertical="center" wrapText="1"/>
    </xf>
    <xf numFmtId="0" fontId="176" fillId="2" borderId="2" xfId="0" applyFont="1" applyFill="1" applyBorder="1" applyAlignment="1">
      <alignment horizontal="center" vertical="center" wrapText="1"/>
    </xf>
    <xf numFmtId="0" fontId="145" fillId="2" borderId="2" xfId="37" applyFont="1" applyFill="1" applyBorder="1" applyAlignment="1">
      <alignment vertical="center" wrapText="1"/>
    </xf>
    <xf numFmtId="0" fontId="158" fillId="2" borderId="2" xfId="0" applyFont="1" applyFill="1" applyBorder="1" applyAlignment="1">
      <alignment vertical="center"/>
    </xf>
    <xf numFmtId="0" fontId="176" fillId="2" borderId="2" xfId="0" applyFont="1" applyFill="1" applyBorder="1" applyAlignment="1">
      <alignment vertical="center"/>
    </xf>
    <xf numFmtId="4" fontId="145" fillId="2" borderId="2" xfId="0" applyNumberFormat="1" applyFont="1" applyFill="1" applyBorder="1" applyAlignment="1">
      <alignment horizontal="center" vertical="center" wrapText="1"/>
    </xf>
    <xf numFmtId="0" fontId="158" fillId="2" borderId="2" xfId="0" applyFont="1" applyFill="1" applyBorder="1" applyAlignment="1">
      <alignment vertical="center" wrapText="1"/>
    </xf>
    <xf numFmtId="0" fontId="177" fillId="2" borderId="2" xfId="0" applyFont="1" applyFill="1" applyBorder="1" applyAlignment="1">
      <alignment vertical="center" wrapText="1"/>
    </xf>
    <xf numFmtId="3" fontId="146" fillId="2" borderId="3" xfId="17" applyNumberFormat="1" applyFont="1" applyFill="1" applyBorder="1" applyAlignment="1">
      <alignment vertical="center" wrapText="1"/>
    </xf>
    <xf numFmtId="3" fontId="21" fillId="2" borderId="0" xfId="17" applyNumberFormat="1" applyFont="1" applyFill="1" applyAlignment="1">
      <alignment horizontal="center" vertical="center" wrapText="1"/>
    </xf>
    <xf numFmtId="3" fontId="21" fillId="2" borderId="0" xfId="17" applyNumberFormat="1" applyFont="1" applyFill="1" applyAlignment="1">
      <alignment vertical="center" wrapText="1"/>
    </xf>
    <xf numFmtId="3" fontId="178" fillId="2" borderId="0" xfId="17" applyNumberFormat="1" applyFont="1" applyFill="1" applyAlignment="1">
      <alignment vertical="center" wrapText="1"/>
    </xf>
    <xf numFmtId="3" fontId="142" fillId="2" borderId="1" xfId="17" applyNumberFormat="1" applyFont="1" applyFill="1" applyBorder="1" applyAlignment="1">
      <alignment horizontal="center" vertical="center" wrapText="1"/>
    </xf>
    <xf numFmtId="3" fontId="144" fillId="2" borderId="1" xfId="17" applyNumberFormat="1" applyFont="1" applyFill="1" applyBorder="1" applyAlignment="1">
      <alignment horizontal="center" vertical="center" wrapText="1"/>
    </xf>
    <xf numFmtId="3" fontId="142" fillId="2" borderId="21" xfId="17" applyNumberFormat="1" applyFont="1" applyFill="1" applyBorder="1" applyAlignment="1">
      <alignment horizontal="center" vertical="center" wrapText="1"/>
    </xf>
    <xf numFmtId="3" fontId="142" fillId="2" borderId="1" xfId="17" quotePrefix="1" applyNumberFormat="1" applyFont="1" applyFill="1" applyBorder="1" applyAlignment="1">
      <alignment horizontal="center" vertical="center" wrapText="1"/>
    </xf>
    <xf numFmtId="0" fontId="181" fillId="2" borderId="0" xfId="0" applyFont="1" applyFill="1" applyAlignment="1">
      <alignment horizontal="center"/>
    </xf>
    <xf numFmtId="0" fontId="181" fillId="2" borderId="0" xfId="0" applyFont="1" applyFill="1"/>
    <xf numFmtId="0" fontId="0" fillId="0" borderId="0" xfId="0"/>
    <xf numFmtId="0" fontId="1" fillId="0" borderId="1" xfId="29" applyFont="1" applyBorder="1" applyAlignment="1">
      <alignment horizontal="center" vertical="center" wrapText="1"/>
    </xf>
    <xf numFmtId="0" fontId="1" fillId="0" borderId="1" xfId="29" applyFont="1" applyBorder="1" applyAlignment="1">
      <alignment vertical="center" wrapText="1"/>
    </xf>
    <xf numFmtId="165" fontId="1" fillId="0" borderId="1" xfId="1" applyFont="1" applyBorder="1" applyAlignment="1">
      <alignment horizontal="center" vertical="center" wrapText="1"/>
    </xf>
    <xf numFmtId="165" fontId="2" fillId="0" borderId="1" xfId="1" applyFont="1" applyBorder="1" applyAlignment="1">
      <alignment horizontal="center" vertical="center" wrapText="1"/>
    </xf>
    <xf numFmtId="166" fontId="1" fillId="0" borderId="1" xfId="1" applyNumberFormat="1" applyFont="1" applyBorder="1" applyAlignment="1">
      <alignment horizontal="center" vertical="center" wrapText="1"/>
    </xf>
    <xf numFmtId="166" fontId="2" fillId="0" borderId="1" xfId="1" applyNumberFormat="1" applyFont="1" applyBorder="1" applyAlignment="1">
      <alignment horizontal="center" vertical="center" wrapText="1"/>
    </xf>
    <xf numFmtId="165" fontId="1" fillId="0" borderId="0" xfId="1" applyFont="1" applyAlignment="1">
      <alignment horizontal="right" vertical="center"/>
    </xf>
    <xf numFmtId="165" fontId="3" fillId="0" borderId="0" xfId="1" applyFont="1" applyAlignment="1">
      <alignment horizontal="right" vertical="center"/>
    </xf>
    <xf numFmtId="0" fontId="0" fillId="0" borderId="0" xfId="0"/>
    <xf numFmtId="3" fontId="26" fillId="2" borderId="0" xfId="0" applyNumberFormat="1" applyFont="1" applyFill="1"/>
    <xf numFmtId="0" fontId="1" fillId="0" borderId="0" xfId="29" applyFont="1" applyAlignment="1">
      <alignment horizontal="right" vertical="center"/>
    </xf>
    <xf numFmtId="0" fontId="3" fillId="0" borderId="0" xfId="29" applyFont="1" applyAlignment="1">
      <alignment horizontal="right" vertical="center"/>
    </xf>
    <xf numFmtId="0" fontId="1" fillId="0" borderId="1" xfId="29" applyFont="1" applyBorder="1" applyAlignment="1">
      <alignment horizontal="center" vertical="center" wrapText="1"/>
    </xf>
    <xf numFmtId="0" fontId="2" fillId="0" borderId="1" xfId="29" applyFont="1" applyBorder="1" applyAlignment="1">
      <alignment horizontal="center" vertical="center" wrapText="1"/>
    </xf>
    <xf numFmtId="0" fontId="20" fillId="2" borderId="0" xfId="0" applyFont="1" applyFill="1" applyAlignment="1">
      <alignment horizontal="center"/>
    </xf>
    <xf numFmtId="3" fontId="32" fillId="2" borderId="0" xfId="17" applyNumberFormat="1" applyFont="1" applyFill="1" applyBorder="1" applyAlignment="1">
      <alignment horizontal="center" vertical="center" wrapText="1"/>
    </xf>
    <xf numFmtId="3" fontId="32" fillId="2" borderId="0" xfId="17" applyNumberFormat="1" applyFont="1" applyFill="1" applyAlignment="1">
      <alignment vertical="center" wrapText="1"/>
    </xf>
    <xf numFmtId="3" fontId="12" fillId="2" borderId="0" xfId="17" applyNumberFormat="1" applyFont="1" applyFill="1" applyAlignment="1">
      <alignment vertical="center" wrapText="1"/>
    </xf>
    <xf numFmtId="3" fontId="32" fillId="2" borderId="0" xfId="17" applyNumberFormat="1" applyFont="1" applyFill="1" applyAlignment="1">
      <alignment horizontal="right" vertical="center" wrapText="1"/>
    </xf>
    <xf numFmtId="3" fontId="14" fillId="2" borderId="3" xfId="17" applyNumberFormat="1" applyFont="1" applyFill="1" applyBorder="1" applyAlignment="1">
      <alignment horizontal="center" vertical="center" wrapText="1"/>
    </xf>
    <xf numFmtId="3" fontId="15" fillId="2" borderId="4" xfId="17" quotePrefix="1" applyNumberFormat="1" applyFont="1" applyFill="1" applyBorder="1" applyAlignment="1">
      <alignment horizontal="center" vertical="center" wrapText="1"/>
    </xf>
    <xf numFmtId="3" fontId="17" fillId="2" borderId="0" xfId="0" applyNumberFormat="1" applyFont="1" applyFill="1" applyAlignment="1">
      <alignment wrapText="1"/>
    </xf>
    <xf numFmtId="3" fontId="74" fillId="2" borderId="0" xfId="17" applyNumberFormat="1" applyFont="1" applyFill="1" applyBorder="1" applyAlignment="1">
      <alignment horizontal="center" vertical="center" wrapText="1"/>
    </xf>
    <xf numFmtId="3" fontId="74" fillId="2" borderId="2" xfId="17" applyNumberFormat="1" applyFont="1" applyFill="1" applyBorder="1" applyAlignment="1">
      <alignment horizontal="center" vertical="center" wrapText="1"/>
    </xf>
    <xf numFmtId="3" fontId="186" fillId="2" borderId="2" xfId="17" quotePrefix="1" applyNumberFormat="1" applyFont="1" applyFill="1" applyBorder="1" applyAlignment="1">
      <alignment horizontal="center" vertical="center" wrapText="1"/>
    </xf>
    <xf numFmtId="3" fontId="186" fillId="2" borderId="2" xfId="17" applyNumberFormat="1" applyFont="1" applyFill="1" applyBorder="1" applyAlignment="1">
      <alignment horizontal="left" vertical="center" wrapText="1"/>
    </xf>
    <xf numFmtId="3" fontId="187" fillId="2" borderId="2" xfId="17" quotePrefix="1" applyNumberFormat="1" applyFont="1" applyFill="1" applyBorder="1" applyAlignment="1">
      <alignment horizontal="center" vertical="center" wrapText="1"/>
    </xf>
    <xf numFmtId="3" fontId="186" fillId="2" borderId="2" xfId="17" quotePrefix="1" applyNumberFormat="1" applyFont="1" applyFill="1" applyBorder="1" applyAlignment="1">
      <alignment horizontal="right" vertical="center" wrapText="1"/>
    </xf>
    <xf numFmtId="3" fontId="188" fillId="2" borderId="2" xfId="17" applyNumberFormat="1" applyFont="1" applyFill="1" applyBorder="1" applyAlignment="1">
      <alignment horizontal="right" vertical="center" wrapText="1"/>
    </xf>
    <xf numFmtId="3" fontId="189" fillId="2" borderId="2" xfId="17" applyNumberFormat="1" applyFont="1" applyFill="1" applyBorder="1" applyAlignment="1">
      <alignment horizontal="right" vertical="center" wrapText="1"/>
    </xf>
    <xf numFmtId="3" fontId="190" fillId="2" borderId="2" xfId="17" applyNumberFormat="1" applyFont="1" applyFill="1" applyBorder="1" applyAlignment="1">
      <alignment horizontal="right" vertical="center" wrapText="1"/>
    </xf>
    <xf numFmtId="3" fontId="186" fillId="2" borderId="2" xfId="17" applyNumberFormat="1" applyFont="1" applyFill="1" applyBorder="1" applyAlignment="1">
      <alignment horizontal="center" vertical="center" wrapText="1"/>
    </xf>
    <xf numFmtId="3" fontId="191" fillId="2" borderId="2" xfId="17" applyNumberFormat="1" applyFont="1" applyFill="1" applyBorder="1" applyAlignment="1">
      <alignment horizontal="center" vertical="center" wrapText="1"/>
    </xf>
    <xf numFmtId="3" fontId="73" fillId="2" borderId="0" xfId="17" applyNumberFormat="1" applyFont="1" applyFill="1" applyAlignment="1">
      <alignment vertical="center" wrapText="1"/>
    </xf>
    <xf numFmtId="3" fontId="73" fillId="2" borderId="2" xfId="17" applyNumberFormat="1" applyFont="1" applyFill="1" applyBorder="1" applyAlignment="1">
      <alignment horizontal="right" vertical="center" wrapText="1"/>
    </xf>
    <xf numFmtId="3" fontId="192" fillId="2" borderId="2" xfId="17" quotePrefix="1" applyNumberFormat="1" applyFont="1" applyFill="1" applyBorder="1" applyAlignment="1">
      <alignment horizontal="right" vertical="center" wrapText="1"/>
    </xf>
    <xf numFmtId="3" fontId="188" fillId="2" borderId="2" xfId="17" applyNumberFormat="1" applyFont="1" applyFill="1" applyBorder="1" applyAlignment="1">
      <alignment horizontal="center" vertical="center" wrapText="1"/>
    </xf>
    <xf numFmtId="3" fontId="193" fillId="2" borderId="2" xfId="17" applyNumberFormat="1" applyFont="1" applyFill="1" applyBorder="1" applyAlignment="1">
      <alignment horizontal="center" vertical="center" wrapText="1"/>
    </xf>
    <xf numFmtId="3" fontId="193" fillId="2" borderId="2" xfId="17" applyNumberFormat="1" applyFont="1" applyFill="1" applyBorder="1" applyAlignment="1">
      <alignment horizontal="left" vertical="center" wrapText="1"/>
    </xf>
    <xf numFmtId="3" fontId="193" fillId="2" borderId="2" xfId="17" applyNumberFormat="1" applyFont="1" applyFill="1" applyBorder="1" applyAlignment="1">
      <alignment horizontal="right" vertical="center" wrapText="1"/>
    </xf>
    <xf numFmtId="3" fontId="74" fillId="2" borderId="2" xfId="0" applyNumberFormat="1" applyFont="1" applyFill="1" applyBorder="1" applyAlignment="1">
      <alignment horizontal="left" vertical="center" wrapText="1"/>
    </xf>
    <xf numFmtId="3" fontId="74" fillId="2" borderId="2" xfId="0" applyNumberFormat="1" applyFont="1" applyFill="1" applyBorder="1" applyAlignment="1">
      <alignment horizontal="center" vertical="center" wrapText="1"/>
    </xf>
    <xf numFmtId="3" fontId="74" fillId="2" borderId="2" xfId="17" applyNumberFormat="1" applyFont="1" applyFill="1" applyBorder="1" applyAlignment="1">
      <alignment horizontal="right" vertical="center" wrapText="1"/>
    </xf>
    <xf numFmtId="3" fontId="74" fillId="2" borderId="2" xfId="0" applyNumberFormat="1" applyFont="1" applyFill="1" applyBorder="1" applyAlignment="1">
      <alignment horizontal="right" vertical="center" wrapText="1"/>
    </xf>
    <xf numFmtId="3" fontId="190" fillId="2" borderId="2" xfId="0" applyNumberFormat="1" applyFont="1" applyFill="1" applyBorder="1" applyAlignment="1">
      <alignment horizontal="center" vertical="center" wrapText="1"/>
    </xf>
    <xf numFmtId="3" fontId="194" fillId="2" borderId="2" xfId="20" applyNumberFormat="1" applyFont="1" applyFill="1" applyBorder="1" applyAlignment="1">
      <alignment horizontal="right" vertical="center" wrapText="1"/>
    </xf>
    <xf numFmtId="3" fontId="195" fillId="2" borderId="2" xfId="17" applyNumberFormat="1" applyFont="1" applyFill="1" applyBorder="1" applyAlignment="1">
      <alignment vertical="center" wrapText="1"/>
    </xf>
    <xf numFmtId="3" fontId="193" fillId="2" borderId="2" xfId="0" applyNumberFormat="1" applyFont="1" applyFill="1" applyBorder="1" applyAlignment="1">
      <alignment horizontal="center" vertical="center" wrapText="1"/>
    </xf>
    <xf numFmtId="3" fontId="195" fillId="2" borderId="2" xfId="17" applyNumberFormat="1" applyFont="1" applyFill="1" applyBorder="1" applyAlignment="1">
      <alignment horizontal="right" vertical="center" wrapText="1"/>
    </xf>
    <xf numFmtId="3" fontId="195" fillId="2" borderId="2" xfId="0" applyNumberFormat="1" applyFont="1" applyFill="1" applyBorder="1" applyAlignment="1">
      <alignment horizontal="center" vertical="center" wrapText="1"/>
    </xf>
    <xf numFmtId="3" fontId="74" fillId="2" borderId="2" xfId="20" applyNumberFormat="1" applyFont="1" applyFill="1" applyBorder="1" applyAlignment="1">
      <alignment horizontal="right" vertical="center" wrapText="1"/>
    </xf>
    <xf numFmtId="3" fontId="190" fillId="2" borderId="2" xfId="0" applyNumberFormat="1" applyFont="1" applyFill="1" applyBorder="1" applyAlignment="1">
      <alignment horizontal="left" vertical="center" wrapText="1"/>
    </xf>
    <xf numFmtId="3" fontId="190" fillId="2" borderId="2" xfId="0" applyNumberFormat="1" applyFont="1" applyFill="1" applyBorder="1" applyAlignment="1">
      <alignment horizontal="right" vertical="center" wrapText="1"/>
    </xf>
    <xf numFmtId="3" fontId="190" fillId="2" borderId="2" xfId="20" applyNumberFormat="1" applyFont="1" applyFill="1" applyBorder="1" applyAlignment="1">
      <alignment horizontal="right" vertical="center" wrapText="1"/>
    </xf>
    <xf numFmtId="3" fontId="196" fillId="2" borderId="2" xfId="17" applyNumberFormat="1" applyFont="1" applyFill="1" applyBorder="1" applyAlignment="1">
      <alignment horizontal="right" vertical="center" wrapText="1"/>
    </xf>
    <xf numFmtId="4" fontId="190" fillId="2" borderId="2" xfId="17" applyNumberFormat="1" applyFont="1" applyFill="1" applyBorder="1" applyAlignment="1">
      <alignment horizontal="right" vertical="center" wrapText="1"/>
    </xf>
    <xf numFmtId="3" fontId="190" fillId="2" borderId="2" xfId="17" applyNumberFormat="1" applyFont="1" applyFill="1" applyBorder="1" applyAlignment="1">
      <alignment horizontal="center" vertical="center" wrapText="1"/>
    </xf>
    <xf numFmtId="3" fontId="197" fillId="2" borderId="2" xfId="17" applyNumberFormat="1" applyFont="1" applyFill="1" applyBorder="1" applyAlignment="1">
      <alignment horizontal="center" vertical="center" wrapText="1"/>
    </xf>
    <xf numFmtId="3" fontId="74" fillId="2" borderId="2" xfId="17" applyNumberFormat="1" applyFont="1" applyFill="1" applyBorder="1" applyAlignment="1">
      <alignment vertical="center" wrapText="1"/>
    </xf>
    <xf numFmtId="3" fontId="186" fillId="2" borderId="2" xfId="17" applyNumberFormat="1" applyFont="1" applyFill="1" applyBorder="1" applyAlignment="1">
      <alignment horizontal="right" vertical="center" wrapText="1"/>
    </xf>
    <xf numFmtId="3" fontId="198" fillId="2" borderId="2" xfId="17" applyNumberFormat="1" applyFont="1" applyFill="1" applyBorder="1" applyAlignment="1">
      <alignment horizontal="right" vertical="center" wrapText="1"/>
    </xf>
    <xf numFmtId="3" fontId="193" fillId="2" borderId="2" xfId="0" applyNumberFormat="1" applyFont="1" applyFill="1" applyBorder="1" applyAlignment="1">
      <alignment horizontal="right" vertical="center" wrapText="1"/>
    </xf>
    <xf numFmtId="3" fontId="74" fillId="2" borderId="2" xfId="0" applyNumberFormat="1" applyFont="1" applyFill="1" applyBorder="1" applyAlignment="1">
      <alignment vertical="center" wrapText="1"/>
    </xf>
    <xf numFmtId="3" fontId="74" fillId="2" borderId="2" xfId="24" applyNumberFormat="1" applyFont="1" applyFill="1" applyBorder="1" applyAlignment="1">
      <alignment horizontal="right" vertical="center" wrapText="1"/>
    </xf>
    <xf numFmtId="3" fontId="200" fillId="2" borderId="2" xfId="17" applyNumberFormat="1" applyFont="1" applyFill="1" applyBorder="1" applyAlignment="1">
      <alignment horizontal="right" vertical="center" wrapText="1"/>
    </xf>
    <xf numFmtId="3" fontId="74" fillId="2" borderId="0" xfId="17" applyNumberFormat="1" applyFont="1" applyFill="1" applyAlignment="1">
      <alignment vertical="center" wrapText="1"/>
    </xf>
    <xf numFmtId="3" fontId="193" fillId="2" borderId="2" xfId="24" applyNumberFormat="1" applyFont="1" applyFill="1" applyBorder="1" applyAlignment="1">
      <alignment horizontal="right" vertical="center" wrapText="1"/>
    </xf>
    <xf numFmtId="3" fontId="190" fillId="2" borderId="2" xfId="24" applyNumberFormat="1" applyFont="1" applyFill="1" applyBorder="1" applyAlignment="1">
      <alignment horizontal="right" vertical="center" wrapText="1"/>
    </xf>
    <xf numFmtId="3" fontId="74" fillId="2" borderId="2" xfId="17" applyNumberFormat="1" applyFont="1" applyFill="1" applyBorder="1" applyAlignment="1">
      <alignment horizontal="left" vertical="center" wrapText="1"/>
    </xf>
    <xf numFmtId="3" fontId="190" fillId="2" borderId="2" xfId="17" applyNumberFormat="1" applyFont="1" applyFill="1" applyBorder="1" applyAlignment="1">
      <alignment vertical="center" wrapText="1"/>
    </xf>
    <xf numFmtId="3" fontId="74" fillId="2" borderId="2" xfId="19" applyNumberFormat="1" applyFont="1" applyFill="1" applyBorder="1" applyAlignment="1">
      <alignment horizontal="right" vertical="center" wrapText="1"/>
    </xf>
    <xf numFmtId="3" fontId="74" fillId="2" borderId="2" xfId="17" quotePrefix="1" applyNumberFormat="1" applyFont="1" applyFill="1" applyBorder="1" applyAlignment="1">
      <alignment vertical="center" wrapText="1"/>
    </xf>
    <xf numFmtId="3" fontId="201" fillId="2" borderId="2" xfId="17" applyNumberFormat="1" applyFont="1" applyFill="1" applyBorder="1" applyAlignment="1">
      <alignment horizontal="center" vertical="center" wrapText="1"/>
    </xf>
    <xf numFmtId="0" fontId="190" fillId="2" borderId="2" xfId="0" applyFont="1" applyFill="1" applyBorder="1" applyAlignment="1">
      <alignment horizontal="center" vertical="center" wrapText="1"/>
    </xf>
    <xf numFmtId="3" fontId="73" fillId="2" borderId="2" xfId="25" applyNumberFormat="1" applyFont="1" applyFill="1" applyBorder="1" applyAlignment="1">
      <alignment horizontal="right" vertical="center" wrapText="1"/>
    </xf>
    <xf numFmtId="3" fontId="190" fillId="2" borderId="2" xfId="25" applyNumberFormat="1" applyFont="1" applyFill="1" applyBorder="1" applyAlignment="1">
      <alignment horizontal="right" vertical="center" wrapText="1"/>
    </xf>
    <xf numFmtId="3" fontId="202" fillId="2" borderId="2" xfId="24" applyNumberFormat="1" applyFont="1" applyFill="1" applyBorder="1" applyAlignment="1">
      <alignment horizontal="right" vertical="center" wrapText="1"/>
    </xf>
    <xf numFmtId="3" fontId="183" fillId="2" borderId="2" xfId="17" applyNumberFormat="1" applyFont="1" applyFill="1" applyBorder="1" applyAlignment="1">
      <alignment horizontal="center" vertical="center" wrapText="1"/>
    </xf>
    <xf numFmtId="3" fontId="74" fillId="2" borderId="0" xfId="17" applyNumberFormat="1" applyFont="1" applyFill="1" applyAlignment="1">
      <alignment horizontal="center" vertical="center" wrapText="1"/>
    </xf>
    <xf numFmtId="3" fontId="186" fillId="2" borderId="2" xfId="25" applyNumberFormat="1" applyFont="1" applyFill="1" applyBorder="1" applyAlignment="1">
      <alignment horizontal="right" vertical="center" wrapText="1"/>
    </xf>
    <xf numFmtId="3" fontId="202" fillId="2" borderId="2" xfId="25" applyNumberFormat="1" applyFont="1" applyFill="1" applyBorder="1" applyAlignment="1">
      <alignment horizontal="right" vertical="center" wrapText="1"/>
    </xf>
    <xf numFmtId="3" fontId="74" fillId="2" borderId="2" xfId="25" applyNumberFormat="1" applyFont="1" applyFill="1" applyBorder="1" applyAlignment="1">
      <alignment horizontal="center" vertical="center" wrapText="1"/>
    </xf>
    <xf numFmtId="3" fontId="203" fillId="2" borderId="2" xfId="0" applyNumberFormat="1" applyFont="1" applyFill="1" applyBorder="1" applyAlignment="1">
      <alignment vertical="center" wrapText="1"/>
    </xf>
    <xf numFmtId="3" fontId="188" fillId="2" borderId="2" xfId="25" applyNumberFormat="1" applyFont="1" applyFill="1" applyBorder="1" applyAlignment="1">
      <alignment horizontal="center" vertical="center" wrapText="1"/>
    </xf>
    <xf numFmtId="3" fontId="204" fillId="2" borderId="2" xfId="17" applyNumberFormat="1" applyFont="1" applyFill="1" applyBorder="1" applyAlignment="1">
      <alignment horizontal="right" vertical="center" wrapText="1"/>
    </xf>
    <xf numFmtId="3" fontId="204" fillId="2" borderId="2" xfId="17" applyNumberFormat="1" applyFont="1" applyFill="1" applyBorder="1" applyAlignment="1">
      <alignment horizontal="center" vertical="center" wrapText="1"/>
    </xf>
    <xf numFmtId="3" fontId="205" fillId="2" borderId="2" xfId="17" applyNumberFormat="1" applyFont="1" applyFill="1" applyBorder="1" applyAlignment="1">
      <alignment horizontal="center" vertical="center" wrapText="1"/>
    </xf>
    <xf numFmtId="3" fontId="206" fillId="2" borderId="2" xfId="17" applyNumberFormat="1" applyFont="1" applyFill="1" applyBorder="1" applyAlignment="1">
      <alignment horizontal="center" vertical="center" wrapText="1"/>
    </xf>
    <xf numFmtId="3" fontId="73" fillId="2" borderId="2" xfId="17" applyNumberFormat="1" applyFont="1" applyFill="1" applyBorder="1" applyAlignment="1">
      <alignment horizontal="center" vertical="center" wrapText="1"/>
    </xf>
    <xf numFmtId="3" fontId="73" fillId="2" borderId="2" xfId="0" applyNumberFormat="1" applyFont="1" applyFill="1" applyBorder="1" applyAlignment="1">
      <alignment horizontal="left" vertical="center" wrapText="1"/>
    </xf>
    <xf numFmtId="3" fontId="73" fillId="2" borderId="2" xfId="0" applyNumberFormat="1" applyFont="1" applyFill="1" applyBorder="1" applyAlignment="1">
      <alignment horizontal="right" vertical="center" wrapText="1"/>
    </xf>
    <xf numFmtId="3" fontId="73" fillId="2" borderId="2" xfId="0" applyNumberFormat="1" applyFont="1" applyFill="1" applyBorder="1" applyAlignment="1">
      <alignment horizontal="center" vertical="center" wrapText="1"/>
    </xf>
    <xf numFmtId="3" fontId="73" fillId="2" borderId="2" xfId="17" applyNumberFormat="1" applyFont="1" applyFill="1" applyBorder="1" applyAlignment="1">
      <alignment horizontal="left" vertical="center" wrapText="1"/>
    </xf>
    <xf numFmtId="3" fontId="207" fillId="2" borderId="2" xfId="17" applyNumberFormat="1" applyFont="1" applyFill="1" applyBorder="1" applyAlignment="1">
      <alignment horizontal="right" vertical="center" wrapText="1"/>
    </xf>
    <xf numFmtId="3" fontId="208" fillId="2" borderId="2" xfId="17" applyNumberFormat="1" applyFont="1" applyFill="1" applyBorder="1" applyAlignment="1">
      <alignment horizontal="center" vertical="center" wrapText="1"/>
    </xf>
    <xf numFmtId="3" fontId="208" fillId="2" borderId="2" xfId="17" applyNumberFormat="1" applyFont="1" applyFill="1" applyBorder="1" applyAlignment="1">
      <alignment horizontal="left" vertical="center" wrapText="1"/>
    </xf>
    <xf numFmtId="3" fontId="208" fillId="2" borderId="2" xfId="17" applyNumberFormat="1" applyFont="1" applyFill="1" applyBorder="1" applyAlignment="1">
      <alignment horizontal="right" vertical="center" wrapText="1"/>
    </xf>
    <xf numFmtId="3" fontId="74" fillId="2" borderId="2" xfId="38" applyNumberFormat="1" applyFont="1" applyFill="1" applyBorder="1" applyAlignment="1">
      <alignment horizontal="center" vertical="center" wrapText="1"/>
    </xf>
    <xf numFmtId="3" fontId="74" fillId="2" borderId="2" xfId="19" applyNumberFormat="1" applyFont="1" applyFill="1" applyBorder="1" applyAlignment="1">
      <alignment vertical="center" wrapText="1"/>
    </xf>
    <xf numFmtId="3" fontId="74" fillId="2" borderId="2" xfId="38" applyNumberFormat="1" applyFont="1" applyFill="1" applyBorder="1" applyAlignment="1">
      <alignment horizontal="left" vertical="center" wrapText="1"/>
    </xf>
    <xf numFmtId="3" fontId="74" fillId="2" borderId="2" xfId="18" applyNumberFormat="1" applyFont="1" applyFill="1" applyBorder="1" applyAlignment="1">
      <alignment vertical="center" wrapText="1"/>
    </xf>
    <xf numFmtId="3" fontId="190" fillId="2" borderId="2" xfId="26" applyNumberFormat="1" applyFont="1" applyFill="1" applyBorder="1" applyAlignment="1">
      <alignment vertical="center" wrapText="1"/>
    </xf>
    <xf numFmtId="3" fontId="190" fillId="2" borderId="2" xfId="26" applyNumberFormat="1" applyFont="1" applyFill="1" applyBorder="1" applyAlignment="1">
      <alignment horizontal="center" vertical="center" wrapText="1"/>
    </xf>
    <xf numFmtId="3" fontId="190" fillId="2" borderId="2" xfId="26" applyNumberFormat="1" applyFont="1" applyFill="1" applyBorder="1" applyAlignment="1">
      <alignment horizontal="right" vertical="center" wrapText="1"/>
    </xf>
    <xf numFmtId="3" fontId="190" fillId="2" borderId="2" xfId="27" applyNumberFormat="1" applyFont="1" applyFill="1" applyBorder="1" applyAlignment="1">
      <alignment horizontal="right" vertical="center" wrapText="1"/>
    </xf>
    <xf numFmtId="3" fontId="74" fillId="2" borderId="2" xfId="0" quotePrefix="1" applyNumberFormat="1" applyFont="1" applyFill="1" applyBorder="1" applyAlignment="1">
      <alignment horizontal="center" vertical="center" wrapText="1"/>
    </xf>
    <xf numFmtId="0" fontId="74" fillId="2" borderId="2" xfId="38" applyFont="1" applyFill="1" applyBorder="1" applyAlignment="1">
      <alignment horizontal="left" vertical="center" wrapText="1"/>
    </xf>
    <xf numFmtId="0" fontId="74" fillId="2" borderId="2" xfId="38" applyFont="1" applyFill="1" applyBorder="1" applyAlignment="1">
      <alignment horizontal="center" vertical="center" wrapText="1"/>
    </xf>
    <xf numFmtId="166" fontId="74" fillId="2" borderId="2" xfId="20" applyNumberFormat="1" applyFont="1" applyFill="1" applyBorder="1" applyAlignment="1">
      <alignment horizontal="right" vertical="center" wrapText="1"/>
    </xf>
    <xf numFmtId="3" fontId="74" fillId="2" borderId="2" xfId="25" applyNumberFormat="1" applyFont="1" applyFill="1" applyBorder="1" applyAlignment="1">
      <alignment horizontal="right" vertical="center" wrapText="1"/>
    </xf>
    <xf numFmtId="168" fontId="74" fillId="2" borderId="2" xfId="0" applyNumberFormat="1" applyFont="1" applyFill="1" applyBorder="1" applyAlignment="1">
      <alignment vertical="center" wrapText="1"/>
    </xf>
    <xf numFmtId="3" fontId="194" fillId="2" borderId="2" xfId="0" applyNumberFormat="1" applyFont="1" applyFill="1" applyBorder="1" applyAlignment="1">
      <alignment vertical="center" wrapText="1"/>
    </xf>
    <xf numFmtId="3" fontId="74" fillId="2" borderId="2" xfId="26" applyNumberFormat="1" applyFont="1" applyFill="1" applyBorder="1" applyAlignment="1">
      <alignment vertical="center" wrapText="1"/>
    </xf>
    <xf numFmtId="3" fontId="74" fillId="2" borderId="2" xfId="26" applyNumberFormat="1" applyFont="1" applyFill="1" applyBorder="1" applyAlignment="1">
      <alignment horizontal="center" vertical="center" wrapText="1"/>
    </xf>
    <xf numFmtId="3" fontId="74" fillId="2" borderId="2" xfId="27" applyNumberFormat="1" applyFont="1" applyFill="1" applyBorder="1" applyAlignment="1">
      <alignment horizontal="right" vertical="center" wrapText="1"/>
    </xf>
    <xf numFmtId="3" fontId="74" fillId="2" borderId="2" xfId="0" quotePrefix="1" applyNumberFormat="1" applyFont="1" applyFill="1" applyBorder="1" applyAlignment="1">
      <alignment horizontal="left" vertical="center" wrapText="1"/>
    </xf>
    <xf numFmtId="3" fontId="203" fillId="2" borderId="2" xfId="0" applyNumberFormat="1" applyFont="1" applyFill="1" applyBorder="1" applyAlignment="1">
      <alignment horizontal="right" vertical="center" wrapText="1"/>
    </xf>
    <xf numFmtId="3" fontId="74" fillId="2" borderId="2" xfId="17" quotePrefix="1" applyNumberFormat="1" applyFont="1" applyFill="1" applyBorder="1" applyAlignment="1">
      <alignment horizontal="right" vertical="center" wrapText="1"/>
    </xf>
    <xf numFmtId="3" fontId="86" fillId="2" borderId="2" xfId="0" applyNumberFormat="1" applyFont="1" applyFill="1" applyBorder="1" applyAlignment="1">
      <alignment vertical="center" wrapText="1"/>
    </xf>
    <xf numFmtId="3" fontId="86" fillId="2" borderId="2" xfId="17" applyNumberFormat="1" applyFont="1" applyFill="1" applyBorder="1" applyAlignment="1">
      <alignment vertical="center" wrapText="1"/>
    </xf>
    <xf numFmtId="0" fontId="74" fillId="2" borderId="2" xfId="0" applyFont="1" applyFill="1" applyBorder="1" applyAlignment="1">
      <alignment vertical="center" wrapText="1"/>
    </xf>
    <xf numFmtId="3" fontId="74" fillId="2" borderId="2" xfId="0" applyNumberFormat="1" applyFont="1" applyFill="1" applyBorder="1" applyAlignment="1">
      <alignment vertical="center"/>
    </xf>
    <xf numFmtId="0" fontId="74" fillId="2" borderId="2" xfId="0" applyFont="1" applyFill="1" applyBorder="1" applyAlignment="1">
      <alignment horizontal="center" vertical="center" wrapText="1"/>
    </xf>
    <xf numFmtId="3" fontId="74" fillId="2" borderId="2" xfId="17" applyNumberFormat="1" applyFont="1" applyFill="1" applyBorder="1" applyAlignment="1">
      <alignment horizontal="right" vertical="center"/>
    </xf>
    <xf numFmtId="3" fontId="194" fillId="2" borderId="2" xfId="0" applyNumberFormat="1" applyFont="1" applyFill="1" applyBorder="1" applyAlignment="1">
      <alignment horizontal="right" vertical="center" wrapText="1"/>
    </xf>
    <xf numFmtId="3" fontId="194" fillId="2" borderId="2" xfId="0" applyNumberFormat="1" applyFont="1" applyFill="1" applyBorder="1" applyAlignment="1">
      <alignment horizontal="center" vertical="center" wrapText="1"/>
    </xf>
    <xf numFmtId="3" fontId="195" fillId="2" borderId="2" xfId="17" applyNumberFormat="1" applyFont="1" applyFill="1" applyBorder="1" applyAlignment="1">
      <alignment horizontal="center" vertical="center" wrapText="1"/>
    </xf>
    <xf numFmtId="49" fontId="74" fillId="2" borderId="2" xfId="17" applyNumberFormat="1" applyFont="1" applyFill="1" applyBorder="1" applyAlignment="1">
      <alignment horizontal="left" vertical="center" wrapText="1"/>
    </xf>
    <xf numFmtId="3" fontId="74" fillId="2" borderId="2" xfId="17" quotePrefix="1" applyNumberFormat="1" applyFont="1" applyFill="1" applyBorder="1" applyAlignment="1">
      <alignment horizontal="center" vertical="center" wrapText="1"/>
    </xf>
    <xf numFmtId="3" fontId="189" fillId="2" borderId="2" xfId="17" applyNumberFormat="1" applyFont="1" applyFill="1" applyBorder="1" applyAlignment="1">
      <alignment horizontal="center" vertical="center" wrapText="1"/>
    </xf>
    <xf numFmtId="167" fontId="74" fillId="2" borderId="2" xfId="17" applyNumberFormat="1" applyFont="1" applyFill="1" applyBorder="1" applyAlignment="1">
      <alignment horizontal="right" vertical="center" wrapText="1"/>
    </xf>
    <xf numFmtId="3" fontId="209" fillId="2" borderId="2" xfId="17" applyNumberFormat="1" applyFont="1" applyFill="1" applyBorder="1" applyAlignment="1">
      <alignment horizontal="right" vertical="center" wrapText="1"/>
    </xf>
    <xf numFmtId="3" fontId="190" fillId="2" borderId="2" xfId="19" applyNumberFormat="1" applyFont="1" applyFill="1" applyBorder="1" applyAlignment="1">
      <alignment vertical="center" wrapText="1"/>
    </xf>
    <xf numFmtId="3" fontId="189" fillId="2" borderId="2" xfId="0" applyNumberFormat="1" applyFont="1" applyFill="1" applyBorder="1" applyAlignment="1">
      <alignment horizontal="center" vertical="center" wrapText="1"/>
    </xf>
    <xf numFmtId="3" fontId="186" fillId="2" borderId="2" xfId="17" applyNumberFormat="1" applyFont="1" applyFill="1" applyBorder="1" applyAlignment="1">
      <alignment vertical="center" wrapText="1"/>
    </xf>
    <xf numFmtId="0" fontId="199" fillId="2" borderId="2" xfId="0" applyFont="1" applyFill="1" applyBorder="1" applyAlignment="1">
      <alignment vertical="center" wrapText="1"/>
    </xf>
    <xf numFmtId="3" fontId="199" fillId="2" borderId="2" xfId="0" applyNumberFormat="1" applyFont="1" applyFill="1" applyBorder="1" applyAlignment="1">
      <alignment horizontal="right" vertical="center" wrapText="1"/>
    </xf>
    <xf numFmtId="0" fontId="185" fillId="2" borderId="2" xfId="0" applyFont="1" applyFill="1" applyBorder="1" applyAlignment="1">
      <alignment horizontal="right" wrapText="1"/>
    </xf>
    <xf numFmtId="0" fontId="185" fillId="2" borderId="2" xfId="0" applyFont="1" applyFill="1" applyBorder="1" applyAlignment="1">
      <alignment horizontal="center" wrapText="1"/>
    </xf>
    <xf numFmtId="0" fontId="210" fillId="2" borderId="2" xfId="21" applyFont="1" applyFill="1" applyBorder="1" applyAlignment="1">
      <alignment horizontal="center" vertical="center"/>
    </xf>
    <xf numFmtId="3" fontId="210" fillId="2" borderId="2" xfId="17" applyNumberFormat="1" applyFont="1" applyFill="1" applyBorder="1" applyAlignment="1">
      <alignment horizontal="left" vertical="center" wrapText="1"/>
    </xf>
    <xf numFmtId="0" fontId="211" fillId="2" borderId="2" xfId="0" applyFont="1" applyFill="1" applyBorder="1" applyAlignment="1">
      <alignment horizontal="center" wrapText="1"/>
    </xf>
    <xf numFmtId="0" fontId="211" fillId="2" borderId="2" xfId="0" applyFont="1" applyFill="1" applyBorder="1" applyAlignment="1">
      <alignment horizontal="right" wrapText="1"/>
    </xf>
    <xf numFmtId="3" fontId="212" fillId="2" borderId="2" xfId="0" applyNumberFormat="1" applyFont="1" applyFill="1" applyBorder="1" applyAlignment="1">
      <alignment horizontal="right" vertical="center" wrapText="1"/>
    </xf>
    <xf numFmtId="3" fontId="73" fillId="2" borderId="2" xfId="17" applyNumberFormat="1" applyFont="1" applyFill="1" applyBorder="1" applyAlignment="1">
      <alignment vertical="center" wrapText="1"/>
    </xf>
    <xf numFmtId="3" fontId="207" fillId="2" borderId="2" xfId="17" applyNumberFormat="1" applyFont="1" applyFill="1" applyBorder="1" applyAlignment="1">
      <alignment vertical="center" wrapText="1"/>
    </xf>
    <xf numFmtId="0" fontId="80" fillId="2" borderId="2" xfId="0" applyFont="1" applyFill="1" applyBorder="1" applyAlignment="1">
      <alignment vertical="center" wrapText="1"/>
    </xf>
    <xf numFmtId="0" fontId="80" fillId="2" borderId="21" xfId="0" applyFont="1" applyFill="1" applyBorder="1" applyAlignment="1">
      <alignment vertical="center" wrapText="1"/>
    </xf>
    <xf numFmtId="166" fontId="73" fillId="2" borderId="2" xfId="1" applyNumberFormat="1" applyFont="1" applyFill="1" applyBorder="1" applyAlignment="1">
      <alignment vertical="center"/>
    </xf>
    <xf numFmtId="3" fontId="74" fillId="2" borderId="0" xfId="17" applyNumberFormat="1" applyFont="1" applyFill="1" applyAlignment="1">
      <alignment horizontal="right" vertical="center" wrapText="1"/>
    </xf>
    <xf numFmtId="3" fontId="184" fillId="2" borderId="0" xfId="17" applyNumberFormat="1" applyFont="1" applyFill="1" applyAlignment="1">
      <alignment vertical="center" wrapText="1"/>
    </xf>
    <xf numFmtId="3" fontId="74" fillId="2" borderId="0" xfId="17" applyNumberFormat="1" applyFont="1" applyFill="1" applyBorder="1" applyAlignment="1">
      <alignment vertical="center" wrapText="1"/>
    </xf>
    <xf numFmtId="3" fontId="186" fillId="2" borderId="5" xfId="17" quotePrefix="1" applyNumberFormat="1" applyFont="1" applyFill="1" applyBorder="1" applyAlignment="1">
      <alignment horizontal="center" vertical="center" wrapText="1"/>
    </xf>
    <xf numFmtId="3" fontId="186" fillId="2" borderId="5" xfId="17" applyNumberFormat="1" applyFont="1" applyFill="1" applyBorder="1" applyAlignment="1">
      <alignment horizontal="left" vertical="center" wrapText="1"/>
    </xf>
    <xf numFmtId="3" fontId="186" fillId="2" borderId="5" xfId="17" quotePrefix="1" applyNumberFormat="1" applyFont="1" applyFill="1" applyBorder="1" applyAlignment="1">
      <alignment horizontal="right" vertical="center" wrapText="1"/>
    </xf>
    <xf numFmtId="4" fontId="186" fillId="2" borderId="5" xfId="17" quotePrefix="1" applyNumberFormat="1" applyFont="1" applyFill="1" applyBorder="1" applyAlignment="1">
      <alignment horizontal="right" vertical="center" wrapText="1"/>
    </xf>
    <xf numFmtId="3" fontId="74" fillId="2" borderId="5" xfId="17" quotePrefix="1" applyNumberFormat="1" applyFont="1" applyFill="1" applyBorder="1" applyAlignment="1">
      <alignment horizontal="center" vertical="center" wrapText="1"/>
    </xf>
    <xf numFmtId="3" fontId="188" fillId="2" borderId="2" xfId="0" applyNumberFormat="1" applyFont="1" applyFill="1" applyBorder="1" applyAlignment="1">
      <alignment horizontal="left" vertical="center" wrapText="1"/>
    </xf>
    <xf numFmtId="1" fontId="188" fillId="2" borderId="2" xfId="17" applyNumberFormat="1" applyFont="1" applyFill="1" applyBorder="1" applyAlignment="1">
      <alignment vertical="center" wrapText="1"/>
    </xf>
    <xf numFmtId="3" fontId="190" fillId="2" borderId="0" xfId="17" applyNumberFormat="1" applyFont="1" applyFill="1" applyAlignment="1">
      <alignment vertical="center" wrapText="1"/>
    </xf>
    <xf numFmtId="1" fontId="189" fillId="2" borderId="2" xfId="17" applyNumberFormat="1" applyFont="1" applyFill="1" applyBorder="1" applyAlignment="1">
      <alignment vertical="center" wrapText="1"/>
    </xf>
    <xf numFmtId="3" fontId="189" fillId="2" borderId="0" xfId="17" applyNumberFormat="1" applyFont="1" applyFill="1" applyAlignment="1">
      <alignment vertical="center" wrapText="1"/>
    </xf>
    <xf numFmtId="167" fontId="188" fillId="2" borderId="2" xfId="0" applyNumberFormat="1" applyFont="1" applyFill="1" applyBorder="1" applyAlignment="1">
      <alignment horizontal="center" vertical="center" wrapText="1"/>
    </xf>
    <xf numFmtId="3" fontId="206" fillId="2" borderId="2" xfId="0" applyNumberFormat="1" applyFont="1" applyFill="1" applyBorder="1" applyAlignment="1">
      <alignment horizontal="left" vertical="center" wrapText="1"/>
    </xf>
    <xf numFmtId="3" fontId="206" fillId="2" borderId="2" xfId="17" applyNumberFormat="1" applyFont="1" applyFill="1" applyBorder="1" applyAlignment="1">
      <alignment horizontal="right" vertical="center" wrapText="1"/>
    </xf>
    <xf numFmtId="3" fontId="209" fillId="2" borderId="0" xfId="17" applyNumberFormat="1" applyFont="1" applyFill="1" applyAlignment="1">
      <alignment vertical="center" wrapText="1"/>
    </xf>
    <xf numFmtId="0" fontId="1" fillId="0" borderId="5" xfId="29" applyFont="1" applyBorder="1" applyAlignment="1">
      <alignment horizontal="center" vertical="center" wrapText="1"/>
    </xf>
    <xf numFmtId="0" fontId="2" fillId="0" borderId="5" xfId="29" applyFont="1" applyBorder="1" applyAlignment="1">
      <alignment horizontal="center" vertical="center" wrapText="1"/>
    </xf>
    <xf numFmtId="0" fontId="2" fillId="0" borderId="2" xfId="29" applyFont="1" applyBorder="1" applyAlignment="1">
      <alignment horizontal="center" vertical="center" wrapText="1"/>
    </xf>
    <xf numFmtId="0" fontId="2" fillId="0" borderId="2" xfId="29" applyFont="1" applyBorder="1" applyAlignment="1">
      <alignment vertical="center" wrapText="1"/>
    </xf>
    <xf numFmtId="166" fontId="2" fillId="0" borderId="2" xfId="1" applyNumberFormat="1" applyFont="1" applyBorder="1" applyAlignment="1">
      <alignment horizontal="center" vertical="center" wrapText="1"/>
    </xf>
    <xf numFmtId="2" fontId="2" fillId="0" borderId="2" xfId="29" applyNumberFormat="1" applyFont="1" applyBorder="1" applyAlignment="1">
      <alignment horizontal="right" vertical="center" wrapText="1"/>
    </xf>
    <xf numFmtId="0" fontId="3" fillId="0" borderId="2" xfId="29" applyFont="1" applyBorder="1" applyAlignment="1">
      <alignment vertical="center" wrapText="1"/>
    </xf>
    <xf numFmtId="49" fontId="15" fillId="2" borderId="5" xfId="0" applyNumberFormat="1" applyFont="1" applyFill="1" applyBorder="1" applyAlignment="1">
      <alignment horizontal="center" vertical="center" wrapText="1"/>
    </xf>
    <xf numFmtId="3" fontId="73" fillId="2" borderId="7" xfId="17" quotePrefix="1" applyNumberFormat="1" applyFont="1" applyFill="1" applyBorder="1" applyAlignment="1">
      <alignment horizontal="center" vertical="center" wrapText="1"/>
    </xf>
    <xf numFmtId="3" fontId="73" fillId="2" borderId="7" xfId="17" quotePrefix="1" applyNumberFormat="1" applyFont="1" applyFill="1" applyBorder="1" applyAlignment="1">
      <alignment horizontal="right" vertical="center" wrapText="1"/>
    </xf>
    <xf numFmtId="3" fontId="73" fillId="2" borderId="0" xfId="17" applyNumberFormat="1" applyFont="1" applyFill="1" applyBorder="1" applyAlignment="1">
      <alignment horizontal="center" vertical="center" wrapText="1"/>
    </xf>
    <xf numFmtId="3" fontId="73" fillId="2" borderId="0" xfId="17" applyNumberFormat="1" applyFont="1" applyFill="1" applyBorder="1" applyAlignment="1">
      <alignment vertical="center" wrapText="1"/>
    </xf>
    <xf numFmtId="0" fontId="80" fillId="2" borderId="2" xfId="0" applyFont="1" applyFill="1" applyBorder="1" applyAlignment="1">
      <alignment horizontal="center" vertical="center" wrapText="1"/>
    </xf>
    <xf numFmtId="3" fontId="32" fillId="2" borderId="2" xfId="17" applyNumberFormat="1" applyFont="1" applyFill="1" applyBorder="1" applyAlignment="1">
      <alignment vertical="center" wrapText="1"/>
    </xf>
    <xf numFmtId="3" fontId="32" fillId="2" borderId="2" xfId="0" applyNumberFormat="1" applyFont="1" applyFill="1" applyBorder="1" applyAlignment="1">
      <alignment vertical="center" wrapText="1"/>
    </xf>
    <xf numFmtId="3" fontId="32" fillId="2" borderId="2" xfId="17" quotePrefix="1" applyNumberFormat="1" applyFont="1" applyFill="1" applyBorder="1" applyAlignment="1">
      <alignment vertical="center" wrapText="1"/>
    </xf>
    <xf numFmtId="3" fontId="73" fillId="2" borderId="0" xfId="17" applyNumberFormat="1" applyFont="1" applyFill="1" applyAlignment="1">
      <alignment horizontal="center" vertical="center" wrapText="1"/>
    </xf>
    <xf numFmtId="3" fontId="0" fillId="0" borderId="0" xfId="0" applyNumberFormat="1" applyAlignment="1">
      <alignment horizontal="center"/>
    </xf>
    <xf numFmtId="3" fontId="29" fillId="0" borderId="0" xfId="0" applyNumberFormat="1" applyFont="1" applyAlignment="1">
      <alignment horizontal="center"/>
    </xf>
    <xf numFmtId="3" fontId="50" fillId="2" borderId="2" xfId="0" applyNumberFormat="1" applyFont="1" applyFill="1" applyBorder="1" applyAlignment="1">
      <alignment vertical="center" wrapText="1"/>
    </xf>
    <xf numFmtId="3" fontId="27" fillId="2" borderId="4" xfId="0" applyNumberFormat="1" applyFont="1" applyFill="1" applyBorder="1" applyAlignment="1">
      <alignment horizontal="center" vertical="center"/>
    </xf>
    <xf numFmtId="3" fontId="29" fillId="0" borderId="0" xfId="0" applyNumberFormat="1" applyFont="1" applyAlignment="1">
      <alignment horizontal="center" vertical="center" wrapText="1"/>
    </xf>
    <xf numFmtId="3" fontId="213" fillId="0" borderId="0" xfId="0" applyNumberFormat="1" applyFont="1" applyAlignment="1">
      <alignment horizontal="center" vertical="center" wrapText="1"/>
    </xf>
    <xf numFmtId="3" fontId="0" fillId="0" borderId="5" xfId="0" applyNumberFormat="1" applyBorder="1" applyAlignment="1">
      <alignment horizontal="center"/>
    </xf>
    <xf numFmtId="3" fontId="29" fillId="0" borderId="5" xfId="0" applyNumberFormat="1" applyFont="1" applyBorder="1" applyAlignment="1">
      <alignment horizontal="right"/>
    </xf>
    <xf numFmtId="3" fontId="0" fillId="0" borderId="2" xfId="0" applyNumberFormat="1" applyBorder="1" applyAlignment="1">
      <alignment horizontal="center"/>
    </xf>
    <xf numFmtId="3" fontId="29" fillId="0" borderId="2" xfId="0" applyNumberFormat="1" applyFont="1" applyBorder="1" applyAlignment="1">
      <alignment horizontal="right"/>
    </xf>
    <xf numFmtId="3" fontId="29" fillId="0" borderId="2" xfId="0" applyNumberFormat="1" applyFont="1" applyBorder="1" applyAlignment="1">
      <alignment horizontal="center"/>
    </xf>
    <xf numFmtId="3" fontId="29" fillId="0" borderId="2" xfId="0" applyNumberFormat="1" applyFont="1" applyBorder="1"/>
    <xf numFmtId="3" fontId="0" fillId="0" borderId="2" xfId="0" applyNumberFormat="1" applyBorder="1"/>
    <xf numFmtId="3" fontId="0" fillId="0" borderId="3" xfId="0" applyNumberFormat="1" applyBorder="1" applyAlignment="1">
      <alignment horizontal="center"/>
    </xf>
    <xf numFmtId="3" fontId="0" fillId="0" borderId="3" xfId="0" applyNumberFormat="1" applyBorder="1"/>
    <xf numFmtId="3" fontId="29" fillId="0" borderId="1" xfId="0" applyNumberFormat="1" applyFont="1" applyBorder="1" applyAlignment="1">
      <alignment horizontal="center"/>
    </xf>
    <xf numFmtId="49" fontId="15" fillId="2" borderId="3" xfId="0" applyNumberFormat="1" applyFont="1" applyFill="1" applyBorder="1" applyAlignment="1">
      <alignment horizontal="center"/>
    </xf>
    <xf numFmtId="0" fontId="15" fillId="2" borderId="3" xfId="0" applyFont="1" applyFill="1" applyBorder="1"/>
    <xf numFmtId="0" fontId="32" fillId="2" borderId="3" xfId="0" applyFont="1" applyFill="1" applyBorder="1" applyAlignment="1"/>
    <xf numFmtId="0" fontId="14" fillId="2" borderId="2" xfId="0" applyFont="1" applyFill="1" applyBorder="1" applyAlignment="1">
      <alignment wrapText="1"/>
    </xf>
    <xf numFmtId="3" fontId="146" fillId="2" borderId="1" xfId="17" quotePrefix="1" applyNumberFormat="1" applyFont="1" applyFill="1" applyBorder="1" applyAlignment="1">
      <alignment horizontal="center" vertical="center" wrapText="1"/>
    </xf>
    <xf numFmtId="3" fontId="163" fillId="2" borderId="1" xfId="17" applyNumberFormat="1" applyFont="1" applyFill="1" applyBorder="1" applyAlignment="1">
      <alignment horizontal="center" vertical="center" wrapText="1"/>
    </xf>
    <xf numFmtId="3" fontId="73" fillId="0" borderId="24" xfId="0" applyNumberFormat="1" applyFont="1" applyFill="1" applyBorder="1" applyAlignment="1">
      <alignment horizontal="center" vertical="center" wrapText="1"/>
    </xf>
    <xf numFmtId="4" fontId="73" fillId="0" borderId="25" xfId="0" applyNumberFormat="1" applyFont="1" applyFill="1" applyBorder="1" applyAlignment="1">
      <alignment vertical="center" wrapText="1"/>
    </xf>
    <xf numFmtId="3" fontId="74" fillId="0" borderId="24" xfId="0" applyNumberFormat="1" applyFont="1" applyFill="1" applyBorder="1" applyAlignment="1">
      <alignment horizontal="center" vertical="center" wrapText="1"/>
    </xf>
    <xf numFmtId="0" fontId="194" fillId="0" borderId="25" xfId="0" applyFont="1" applyBorder="1" applyAlignment="1">
      <alignment vertical="center" wrapText="1"/>
    </xf>
    <xf numFmtId="0" fontId="194" fillId="0" borderId="25" xfId="0" applyFont="1" applyBorder="1" applyAlignment="1">
      <alignment horizontal="center" vertical="center" wrapText="1"/>
    </xf>
    <xf numFmtId="166" fontId="194" fillId="0" borderId="25" xfId="1" applyNumberFormat="1" applyFont="1" applyBorder="1" applyAlignment="1">
      <alignment horizontal="right" vertical="center" wrapText="1"/>
    </xf>
    <xf numFmtId="166" fontId="194" fillId="0" borderId="25" xfId="1" applyNumberFormat="1" applyFont="1" applyFill="1" applyBorder="1" applyAlignment="1">
      <alignment horizontal="right" vertical="center" wrapText="1"/>
    </xf>
    <xf numFmtId="166" fontId="74" fillId="2" borderId="25" xfId="1" applyNumberFormat="1" applyFont="1" applyFill="1" applyBorder="1" applyAlignment="1">
      <alignment vertical="center"/>
    </xf>
    <xf numFmtId="4" fontId="74" fillId="0" borderId="26" xfId="0" applyNumberFormat="1" applyFont="1" applyFill="1" applyBorder="1" applyAlignment="1">
      <alignment horizontal="center" vertical="center" wrapText="1"/>
    </xf>
    <xf numFmtId="4" fontId="74" fillId="0" borderId="25" xfId="0" applyNumberFormat="1" applyFont="1" applyFill="1" applyBorder="1" applyAlignment="1">
      <alignment vertical="center" wrapText="1"/>
    </xf>
    <xf numFmtId="166" fontId="74" fillId="0" borderId="25" xfId="1" applyNumberFormat="1" applyFont="1" applyFill="1" applyBorder="1" applyAlignment="1">
      <alignment horizontal="right" vertical="center"/>
    </xf>
    <xf numFmtId="166" fontId="74" fillId="2" borderId="25" xfId="1" applyNumberFormat="1" applyFont="1" applyFill="1" applyBorder="1" applyAlignment="1">
      <alignment horizontal="right" vertical="center" wrapText="1"/>
    </xf>
    <xf numFmtId="0" fontId="74" fillId="0" borderId="24" xfId="0" applyFont="1" applyBorder="1" applyAlignment="1">
      <alignment horizontal="center" vertical="center" wrapText="1"/>
    </xf>
    <xf numFmtId="0" fontId="74" fillId="0" borderId="25" xfId="0" applyFont="1" applyFill="1" applyBorder="1" applyAlignment="1">
      <alignment horizontal="left" vertical="center" wrapText="1"/>
    </xf>
    <xf numFmtId="0" fontId="74" fillId="0" borderId="25" xfId="37" applyFont="1" applyFill="1" applyBorder="1" applyAlignment="1">
      <alignment horizontal="center" vertical="center" wrapText="1"/>
    </xf>
    <xf numFmtId="166" fontId="74" fillId="0" borderId="25" xfId="1" applyNumberFormat="1" applyFont="1" applyFill="1" applyBorder="1" applyAlignment="1">
      <alignment horizontal="right" vertical="center" wrapText="1"/>
    </xf>
    <xf numFmtId="0" fontId="74" fillId="0" borderId="25" xfId="0" applyFont="1" applyBorder="1" applyAlignment="1">
      <alignment horizontal="left" vertical="center" wrapText="1"/>
    </xf>
    <xf numFmtId="166" fontId="74" fillId="0" borderId="25" xfId="1" applyNumberFormat="1" applyFont="1" applyBorder="1" applyAlignment="1">
      <alignment vertical="center" wrapText="1"/>
    </xf>
    <xf numFmtId="166" fontId="74" fillId="0" borderId="25" xfId="1" applyNumberFormat="1" applyFont="1" applyFill="1" applyBorder="1" applyAlignment="1">
      <alignment vertical="center" wrapText="1"/>
    </xf>
    <xf numFmtId="166" fontId="74" fillId="0" borderId="25" xfId="1" applyNumberFormat="1" applyFont="1" applyBorder="1" applyAlignment="1">
      <alignment horizontal="right" vertical="center" wrapText="1"/>
    </xf>
    <xf numFmtId="0" fontId="74" fillId="0" borderId="25" xfId="0" applyFont="1" applyBorder="1" applyAlignment="1">
      <alignment vertical="center" wrapText="1"/>
    </xf>
    <xf numFmtId="0" fontId="74" fillId="0" borderId="25" xfId="0" applyFont="1" applyFill="1" applyBorder="1" applyAlignment="1">
      <alignment vertical="center" wrapText="1"/>
    </xf>
    <xf numFmtId="0" fontId="74" fillId="0" borderId="25" xfId="0" applyFont="1" applyBorder="1" applyAlignment="1">
      <alignment horizontal="center" vertical="center" wrapText="1"/>
    </xf>
    <xf numFmtId="1" fontId="74" fillId="0" borderId="25" xfId="17" applyNumberFormat="1" applyFont="1" applyFill="1" applyBorder="1" applyAlignment="1">
      <alignment vertical="center" wrapText="1"/>
    </xf>
    <xf numFmtId="0" fontId="194" fillId="0" borderId="26" xfId="0" applyFont="1" applyBorder="1" applyAlignment="1">
      <alignment horizontal="center" vertical="center" wrapText="1"/>
    </xf>
    <xf numFmtId="0" fontId="215" fillId="2" borderId="25" xfId="0" applyFont="1" applyFill="1" applyBorder="1" applyAlignment="1">
      <alignment horizontal="left" vertical="center" wrapText="1"/>
    </xf>
    <xf numFmtId="0" fontId="73" fillId="2" borderId="25" xfId="37" applyFont="1" applyFill="1" applyBorder="1" applyAlignment="1">
      <alignment vertical="center" wrapText="1"/>
    </xf>
    <xf numFmtId="0" fontId="194" fillId="2" borderId="25" xfId="0" applyFont="1" applyFill="1" applyBorder="1" applyAlignment="1">
      <alignment vertical="center"/>
    </xf>
    <xf numFmtId="0" fontId="194" fillId="2" borderId="25" xfId="0" applyFont="1" applyFill="1" applyBorder="1" applyAlignment="1">
      <alignment horizontal="center" vertical="center" wrapText="1"/>
    </xf>
    <xf numFmtId="166" fontId="194" fillId="2" borderId="25" xfId="1" applyNumberFormat="1" applyFont="1" applyFill="1" applyBorder="1" applyAlignment="1">
      <alignment horizontal="right" vertical="center" wrapText="1"/>
    </xf>
    <xf numFmtId="4" fontId="74" fillId="2" borderId="26" xfId="0" applyNumberFormat="1" applyFont="1" applyFill="1" applyBorder="1" applyAlignment="1">
      <alignment horizontal="center" vertical="center" wrapText="1"/>
    </xf>
    <xf numFmtId="0" fontId="215" fillId="2" borderId="24" xfId="0" applyFont="1" applyFill="1" applyBorder="1" applyAlignment="1">
      <alignment horizontal="center" vertical="center" wrapText="1"/>
    </xf>
    <xf numFmtId="166" fontId="215" fillId="2" borderId="25" xfId="1" applyNumberFormat="1" applyFont="1" applyFill="1" applyBorder="1" applyAlignment="1">
      <alignment horizontal="right" vertical="center" wrapText="1"/>
    </xf>
    <xf numFmtId="0" fontId="73" fillId="0" borderId="24" xfId="0" applyFont="1" applyBorder="1" applyAlignment="1">
      <alignment horizontal="center" vertical="center" wrapText="1"/>
    </xf>
    <xf numFmtId="0" fontId="73" fillId="9" borderId="25" xfId="37" applyFont="1" applyFill="1" applyBorder="1" applyAlignment="1">
      <alignment vertical="center" wrapText="1"/>
    </xf>
    <xf numFmtId="0" fontId="73" fillId="0" borderId="25" xfId="0" applyFont="1" applyBorder="1" applyAlignment="1">
      <alignment horizontal="center" vertical="center" wrapText="1"/>
    </xf>
    <xf numFmtId="166" fontId="73" fillId="0" borderId="25" xfId="1" applyNumberFormat="1" applyFont="1" applyBorder="1" applyAlignment="1">
      <alignment horizontal="center" vertical="center" wrapText="1"/>
    </xf>
    <xf numFmtId="166" fontId="73" fillId="0" borderId="25" xfId="1" applyNumberFormat="1" applyFont="1" applyFill="1" applyBorder="1" applyAlignment="1">
      <alignment horizontal="center" vertical="center" wrapText="1"/>
    </xf>
    <xf numFmtId="0" fontId="194" fillId="0" borderId="24" xfId="0" applyFont="1" applyBorder="1" applyAlignment="1">
      <alignment horizontal="center" vertical="center" wrapText="1"/>
    </xf>
    <xf numFmtId="0" fontId="194" fillId="0" borderId="25" xfId="0" applyFont="1" applyFill="1" applyBorder="1" applyAlignment="1">
      <alignment vertical="center" wrapText="1"/>
    </xf>
    <xf numFmtId="0" fontId="194" fillId="0" borderId="25" xfId="0" applyFont="1" applyBorder="1" applyAlignment="1">
      <alignment vertical="center"/>
    </xf>
    <xf numFmtId="166" fontId="194" fillId="0" borderId="25" xfId="1" applyNumberFormat="1" applyFont="1" applyBorder="1" applyAlignment="1">
      <alignment vertical="center"/>
    </xf>
    <xf numFmtId="166" fontId="194" fillId="0" borderId="25" xfId="1" applyNumberFormat="1" applyFont="1" applyFill="1" applyBorder="1" applyAlignment="1">
      <alignment vertical="center"/>
    </xf>
    <xf numFmtId="0" fontId="194" fillId="2" borderId="25" xfId="0" applyFont="1" applyFill="1" applyBorder="1" applyAlignment="1">
      <alignment vertical="center" wrapText="1"/>
    </xf>
    <xf numFmtId="0" fontId="86" fillId="0" borderId="25" xfId="0" applyFont="1" applyBorder="1" applyAlignment="1">
      <alignment vertical="center" wrapText="1"/>
    </xf>
    <xf numFmtId="166" fontId="86" fillId="0" borderId="25" xfId="1" applyNumberFormat="1" applyFont="1" applyBorder="1" applyAlignment="1">
      <alignment horizontal="right" vertical="center" wrapText="1"/>
    </xf>
    <xf numFmtId="166" fontId="86" fillId="0" borderId="25" xfId="1" applyNumberFormat="1" applyFont="1" applyFill="1" applyBorder="1" applyAlignment="1">
      <alignment horizontal="right" vertical="center" wrapText="1"/>
    </xf>
    <xf numFmtId="3" fontId="73" fillId="2" borderId="3" xfId="17" applyNumberFormat="1" applyFont="1" applyFill="1" applyBorder="1" applyAlignment="1">
      <alignment horizontal="center" vertical="center" wrapText="1"/>
    </xf>
    <xf numFmtId="3" fontId="73" fillId="2" borderId="3" xfId="17" applyNumberFormat="1" applyFont="1" applyFill="1" applyBorder="1" applyAlignment="1">
      <alignment vertical="center" wrapText="1"/>
    </xf>
    <xf numFmtId="0" fontId="48" fillId="2" borderId="10" xfId="0" applyFont="1" applyFill="1" applyBorder="1" applyAlignment="1">
      <alignment vertical="center"/>
    </xf>
    <xf numFmtId="0" fontId="48" fillId="2" borderId="10" xfId="0" applyFont="1" applyFill="1" applyBorder="1" applyAlignment="1">
      <alignment horizontal="right"/>
    </xf>
    <xf numFmtId="0" fontId="48" fillId="2" borderId="10" xfId="0" applyFont="1" applyFill="1" applyBorder="1" applyAlignment="1"/>
    <xf numFmtId="0" fontId="177" fillId="2" borderId="0" xfId="0" applyFont="1" applyFill="1"/>
    <xf numFmtId="0" fontId="14" fillId="0" borderId="8" xfId="0" applyFont="1" applyFill="1" applyBorder="1" applyAlignment="1">
      <alignment horizontal="center" vertical="center" wrapText="1"/>
    </xf>
    <xf numFmtId="0" fontId="14" fillId="0" borderId="8" xfId="0" applyFont="1" applyFill="1" applyBorder="1" applyAlignment="1">
      <alignment vertical="center" wrapText="1"/>
    </xf>
    <xf numFmtId="3" fontId="15" fillId="0" borderId="8" xfId="0" applyNumberFormat="1" applyFont="1" applyFill="1" applyBorder="1" applyAlignment="1">
      <alignment horizontal="center" vertical="center" wrapText="1"/>
    </xf>
    <xf numFmtId="3" fontId="15" fillId="0" borderId="4" xfId="0" applyNumberFormat="1" applyFont="1" applyFill="1" applyBorder="1" applyAlignment="1">
      <alignment horizontal="right" vertical="center" wrapText="1"/>
    </xf>
    <xf numFmtId="0" fontId="15" fillId="0" borderId="8" xfId="0" applyFont="1" applyFill="1" applyBorder="1" applyAlignment="1">
      <alignment horizontal="center" vertical="center" wrapText="1"/>
    </xf>
    <xf numFmtId="3" fontId="15" fillId="2" borderId="3" xfId="2" applyNumberFormat="1" applyFont="1" applyFill="1" applyBorder="1" applyAlignment="1">
      <alignment horizontal="right"/>
    </xf>
    <xf numFmtId="3" fontId="15" fillId="0" borderId="3" xfId="0" applyNumberFormat="1" applyFont="1" applyFill="1" applyBorder="1" applyAlignment="1">
      <alignment horizontal="right" vertical="center" wrapText="1"/>
    </xf>
    <xf numFmtId="169" fontId="15" fillId="0" borderId="3" xfId="0" applyNumberFormat="1" applyFont="1" applyFill="1" applyBorder="1" applyAlignment="1">
      <alignment vertical="center" wrapText="1"/>
    </xf>
    <xf numFmtId="0" fontId="50" fillId="2" borderId="0" xfId="0" applyFont="1" applyFill="1" applyAlignment="1">
      <alignment horizontal="center"/>
    </xf>
    <xf numFmtId="3" fontId="163" fillId="2" borderId="1" xfId="17" applyNumberFormat="1" applyFont="1" applyFill="1" applyBorder="1" applyAlignment="1">
      <alignment horizontal="center" vertical="center" wrapText="1"/>
    </xf>
    <xf numFmtId="0" fontId="26" fillId="0" borderId="1" xfId="0" applyFont="1" applyFill="1" applyBorder="1" applyAlignment="1">
      <alignment horizontal="center" vertical="center" wrapText="1"/>
    </xf>
    <xf numFmtId="0" fontId="39" fillId="2" borderId="1" xfId="0" applyFont="1" applyFill="1" applyBorder="1" applyAlignment="1">
      <alignment horizontal="center" vertical="center" wrapText="1"/>
    </xf>
    <xf numFmtId="0" fontId="39" fillId="2" borderId="7" xfId="0" applyFont="1" applyFill="1" applyBorder="1" applyAlignment="1">
      <alignment horizontal="center" vertical="center" wrapText="1"/>
    </xf>
    <xf numFmtId="0" fontId="39" fillId="2" borderId="8" xfId="0" applyFont="1" applyFill="1" applyBorder="1" applyAlignment="1">
      <alignment horizontal="center" vertical="center" wrapText="1"/>
    </xf>
    <xf numFmtId="3" fontId="5" fillId="2" borderId="1" xfId="0" applyNumberFormat="1" applyFont="1" applyFill="1" applyBorder="1" applyAlignment="1">
      <alignment horizontal="center" vertical="center" wrapText="1"/>
    </xf>
    <xf numFmtId="3" fontId="26" fillId="2" borderId="1" xfId="0" applyNumberFormat="1" applyFont="1" applyFill="1" applyBorder="1" applyAlignment="1">
      <alignment horizontal="center" vertical="center" wrapText="1"/>
    </xf>
    <xf numFmtId="3" fontId="15" fillId="2" borderId="1" xfId="17" applyNumberFormat="1" applyFont="1" applyFill="1" applyBorder="1" applyAlignment="1">
      <alignment horizontal="center" vertical="center" wrapText="1"/>
    </xf>
    <xf numFmtId="3" fontId="53" fillId="2" borderId="0" xfId="17" applyNumberFormat="1" applyFont="1" applyFill="1" applyAlignment="1">
      <alignment vertical="center" wrapText="1"/>
    </xf>
    <xf numFmtId="3" fontId="74" fillId="2" borderId="13" xfId="17" applyNumberFormat="1" applyFont="1" applyFill="1" applyBorder="1" applyAlignment="1">
      <alignment horizontal="center" vertical="center" wrapText="1"/>
    </xf>
    <xf numFmtId="3" fontId="183" fillId="2" borderId="13" xfId="17" applyNumberFormat="1" applyFont="1" applyFill="1" applyBorder="1" applyAlignment="1">
      <alignment horizontal="center" vertical="center" wrapText="1"/>
    </xf>
    <xf numFmtId="3" fontId="183" fillId="2" borderId="1" xfId="17" applyNumberFormat="1" applyFont="1" applyFill="1" applyBorder="1" applyAlignment="1">
      <alignment horizontal="center" vertical="center" wrapText="1"/>
    </xf>
    <xf numFmtId="3" fontId="74" fillId="2" borderId="5" xfId="17" applyNumberFormat="1" applyFont="1" applyFill="1" applyBorder="1" applyAlignment="1">
      <alignment horizontal="center" vertical="center" wrapText="1"/>
    </xf>
    <xf numFmtId="1" fontId="74" fillId="2" borderId="2" xfId="17" applyNumberFormat="1" applyFont="1" applyFill="1" applyBorder="1" applyAlignment="1">
      <alignment vertical="center" wrapText="1"/>
    </xf>
    <xf numFmtId="176" fontId="74" fillId="2" borderId="2" xfId="20" applyNumberFormat="1" applyFont="1" applyFill="1" applyBorder="1" applyAlignment="1">
      <alignment horizontal="right" vertical="center" wrapText="1"/>
    </xf>
    <xf numFmtId="167" fontId="26" fillId="2" borderId="1" xfId="0" applyNumberFormat="1" applyFont="1" applyFill="1" applyBorder="1" applyAlignment="1">
      <alignment horizontal="center" vertical="center" wrapText="1"/>
    </xf>
    <xf numFmtId="0" fontId="26" fillId="2" borderId="4" xfId="0" applyFont="1" applyFill="1" applyBorder="1" applyAlignment="1">
      <alignment horizontal="center" vertical="center" wrapText="1"/>
    </xf>
    <xf numFmtId="0" fontId="26" fillId="2" borderId="4" xfId="0" applyFont="1" applyFill="1" applyBorder="1" applyAlignment="1">
      <alignment vertical="center" wrapText="1"/>
    </xf>
    <xf numFmtId="166" fontId="26" fillId="2" borderId="4" xfId="1" applyNumberFormat="1" applyFont="1" applyFill="1" applyBorder="1" applyAlignment="1">
      <alignment horizontal="center" vertical="center" wrapText="1"/>
    </xf>
    <xf numFmtId="3" fontId="26" fillId="2" borderId="2" xfId="1" applyNumberFormat="1" applyFont="1" applyFill="1" applyBorder="1" applyAlignment="1">
      <alignment horizontal="right" vertical="center" wrapText="1"/>
    </xf>
    <xf numFmtId="166" fontId="21" fillId="2" borderId="2" xfId="1" applyNumberFormat="1" applyFont="1" applyFill="1" applyBorder="1" applyAlignment="1">
      <alignment horizontal="center" vertical="center" wrapText="1"/>
    </xf>
    <xf numFmtId="3" fontId="21" fillId="2" borderId="2" xfId="1" applyNumberFormat="1" applyFont="1" applyFill="1" applyBorder="1" applyAlignment="1">
      <alignment horizontal="right" vertical="center" wrapText="1"/>
    </xf>
    <xf numFmtId="166" fontId="26" fillId="2" borderId="0" xfId="0" applyNumberFormat="1" applyFont="1" applyFill="1"/>
    <xf numFmtId="175" fontId="26" fillId="2" borderId="0" xfId="0" applyNumberFormat="1" applyFont="1" applyFill="1"/>
    <xf numFmtId="166" fontId="21" fillId="2" borderId="0" xfId="0" applyNumberFormat="1" applyFont="1" applyFill="1"/>
    <xf numFmtId="1" fontId="21" fillId="2" borderId="2" xfId="1" applyNumberFormat="1" applyFont="1" applyFill="1" applyBorder="1" applyAlignment="1">
      <alignment horizontal="right" vertical="center" wrapText="1"/>
    </xf>
    <xf numFmtId="0" fontId="21" fillId="2" borderId="22" xfId="0" applyFont="1" applyFill="1" applyBorder="1" applyAlignment="1">
      <alignment vertical="center" wrapText="1"/>
    </xf>
    <xf numFmtId="0" fontId="26" fillId="2" borderId="3" xfId="0" applyFont="1" applyFill="1" applyBorder="1" applyAlignment="1">
      <alignment horizontal="center" vertical="center" wrapText="1"/>
    </xf>
    <xf numFmtId="0" fontId="26" fillId="2" borderId="3" xfId="0" applyFont="1" applyFill="1" applyBorder="1" applyAlignment="1">
      <alignment vertical="center" wrapText="1"/>
    </xf>
    <xf numFmtId="3" fontId="21" fillId="2" borderId="3" xfId="1" applyNumberFormat="1" applyFont="1" applyFill="1" applyBorder="1" applyAlignment="1">
      <alignment horizontal="right" vertical="center" wrapText="1"/>
    </xf>
    <xf numFmtId="166" fontId="26" fillId="2" borderId="3" xfId="1" applyNumberFormat="1" applyFont="1" applyFill="1" applyBorder="1" applyAlignment="1">
      <alignment horizontal="center" vertical="center" wrapText="1"/>
    </xf>
    <xf numFmtId="3" fontId="26" fillId="2" borderId="3" xfId="1" applyNumberFormat="1" applyFont="1" applyFill="1" applyBorder="1" applyAlignment="1">
      <alignment horizontal="right" vertical="center" wrapText="1"/>
    </xf>
    <xf numFmtId="3" fontId="73" fillId="2" borderId="2" xfId="17" quotePrefix="1" applyNumberFormat="1" applyFont="1" applyFill="1" applyBorder="1" applyAlignment="1">
      <alignment horizontal="center" vertical="center" wrapText="1"/>
    </xf>
    <xf numFmtId="3" fontId="73" fillId="2" borderId="2" xfId="17" quotePrefix="1" applyNumberFormat="1" applyFont="1" applyFill="1" applyBorder="1" applyAlignment="1">
      <alignment horizontal="right" vertical="center" wrapText="1"/>
    </xf>
    <xf numFmtId="0" fontId="203" fillId="2" borderId="2" xfId="0" applyFont="1" applyFill="1" applyBorder="1" applyAlignment="1">
      <alignment horizontal="center" vertical="center" wrapText="1"/>
    </xf>
    <xf numFmtId="3" fontId="207" fillId="2" borderId="2" xfId="17" applyNumberFormat="1" applyFont="1" applyFill="1" applyBorder="1" applyAlignment="1">
      <alignment horizontal="center" vertical="center" wrapText="1"/>
    </xf>
    <xf numFmtId="3" fontId="207" fillId="2" borderId="2" xfId="18" applyNumberFormat="1" applyFont="1" applyFill="1" applyBorder="1" applyAlignment="1">
      <alignment vertical="center" wrapText="1"/>
    </xf>
    <xf numFmtId="3" fontId="207" fillId="2" borderId="2" xfId="0" applyNumberFormat="1" applyFont="1" applyFill="1" applyBorder="1" applyAlignment="1">
      <alignment horizontal="center" vertical="center" wrapText="1"/>
    </xf>
    <xf numFmtId="3" fontId="74" fillId="2" borderId="1" xfId="17" quotePrefix="1" applyNumberFormat="1" applyFont="1" applyFill="1" applyBorder="1" applyAlignment="1">
      <alignment horizontal="center" vertical="center" wrapText="1"/>
    </xf>
    <xf numFmtId="3" fontId="73" fillId="2" borderId="5" xfId="17" quotePrefix="1" applyNumberFormat="1" applyFont="1" applyFill="1" applyBorder="1" applyAlignment="1">
      <alignment horizontal="center" vertical="center" wrapText="1"/>
    </xf>
    <xf numFmtId="3" fontId="73" fillId="2" borderId="5" xfId="17" applyNumberFormat="1" applyFont="1" applyFill="1" applyBorder="1" applyAlignment="1">
      <alignment horizontal="left" vertical="center" wrapText="1"/>
    </xf>
    <xf numFmtId="3" fontId="73" fillId="2" borderId="5" xfId="17" quotePrefix="1" applyNumberFormat="1" applyFont="1" applyFill="1" applyBorder="1" applyAlignment="1">
      <alignment horizontal="right" vertical="center" wrapText="1"/>
    </xf>
    <xf numFmtId="3" fontId="74" fillId="2" borderId="3" xfId="17" applyNumberFormat="1" applyFont="1" applyFill="1" applyBorder="1" applyAlignment="1">
      <alignment horizontal="center" vertical="center" wrapText="1"/>
    </xf>
    <xf numFmtId="3" fontId="74" fillId="2" borderId="3" xfId="17" applyNumberFormat="1" applyFont="1" applyFill="1" applyBorder="1" applyAlignment="1">
      <alignment vertical="center" wrapText="1"/>
    </xf>
    <xf numFmtId="3" fontId="53" fillId="2" borderId="0" xfId="17" applyNumberFormat="1" applyFont="1" applyFill="1" applyAlignment="1">
      <alignment horizontal="center" vertical="center" wrapText="1"/>
    </xf>
    <xf numFmtId="3" fontId="53" fillId="2" borderId="0" xfId="17" applyNumberFormat="1" applyFont="1" applyFill="1" applyAlignment="1">
      <alignment horizontal="right" vertical="center" wrapText="1"/>
    </xf>
    <xf numFmtId="3" fontId="74" fillId="2" borderId="7" xfId="17" quotePrefix="1" applyNumberFormat="1" applyFont="1" applyFill="1" applyBorder="1" applyAlignment="1">
      <alignment horizontal="center" vertical="center" wrapText="1"/>
    </xf>
    <xf numFmtId="3" fontId="202" fillId="2" borderId="2" xfId="17" applyNumberFormat="1" applyFont="1" applyFill="1" applyBorder="1" applyAlignment="1">
      <alignment horizontal="center" vertical="center" wrapText="1"/>
    </xf>
    <xf numFmtId="3" fontId="202" fillId="2" borderId="2" xfId="17" applyNumberFormat="1" applyFont="1" applyFill="1" applyBorder="1" applyAlignment="1">
      <alignment horizontal="left" vertical="center" wrapText="1"/>
    </xf>
    <xf numFmtId="3" fontId="202" fillId="2" borderId="2" xfId="17" applyNumberFormat="1" applyFont="1" applyFill="1" applyBorder="1" applyAlignment="1">
      <alignment horizontal="right" vertical="center" wrapText="1"/>
    </xf>
    <xf numFmtId="3" fontId="202" fillId="2" borderId="2" xfId="0" applyNumberFormat="1" applyFont="1" applyFill="1" applyBorder="1" applyAlignment="1">
      <alignment horizontal="center" vertical="center" wrapText="1"/>
    </xf>
    <xf numFmtId="3" fontId="202" fillId="2" borderId="2" xfId="17" applyNumberFormat="1" applyFont="1" applyFill="1" applyBorder="1" applyAlignment="1">
      <alignment vertical="center" wrapText="1"/>
    </xf>
    <xf numFmtId="0" fontId="2" fillId="0" borderId="5" xfId="29" applyFont="1" applyBorder="1" applyAlignment="1">
      <alignment vertical="center" wrapText="1"/>
    </xf>
    <xf numFmtId="166" fontId="2" fillId="0" borderId="5" xfId="1" applyNumberFormat="1" applyFont="1" applyBorder="1" applyAlignment="1">
      <alignment horizontal="center" vertical="center" wrapText="1"/>
    </xf>
    <xf numFmtId="165" fontId="2" fillId="0" borderId="5" xfId="1" applyFont="1" applyBorder="1" applyAlignment="1">
      <alignment horizontal="center" vertical="center" wrapText="1"/>
    </xf>
    <xf numFmtId="165" fontId="2" fillId="0" borderId="2" xfId="1" applyFont="1" applyBorder="1" applyAlignment="1">
      <alignment horizontal="center" vertical="center" wrapText="1"/>
    </xf>
    <xf numFmtId="0" fontId="3" fillId="0" borderId="2" xfId="29" applyFont="1" applyBorder="1" applyAlignment="1">
      <alignment horizontal="center" vertical="center" wrapText="1"/>
    </xf>
    <xf numFmtId="166" fontId="3" fillId="0" borderId="2" xfId="1" applyNumberFormat="1" applyFont="1" applyBorder="1" applyAlignment="1">
      <alignment horizontal="center" vertical="center" wrapText="1"/>
    </xf>
    <xf numFmtId="165" fontId="3" fillId="0" borderId="2" xfId="1" applyFont="1" applyBorder="1" applyAlignment="1">
      <alignment horizontal="center" vertical="center" wrapText="1"/>
    </xf>
    <xf numFmtId="0" fontId="3" fillId="0" borderId="8" xfId="29" applyFont="1" applyBorder="1" applyAlignment="1">
      <alignment horizontal="center" vertical="center" wrapText="1"/>
    </xf>
    <xf numFmtId="0" fontId="3" fillId="0" borderId="8" xfId="29" applyFont="1" applyBorder="1" applyAlignment="1">
      <alignment vertical="center" wrapText="1"/>
    </xf>
    <xf numFmtId="166" fontId="3" fillId="0" borderId="8" xfId="1" applyNumberFormat="1" applyFont="1" applyBorder="1" applyAlignment="1">
      <alignment horizontal="center" vertical="center" wrapText="1"/>
    </xf>
    <xf numFmtId="165" fontId="3" fillId="0" borderId="8" xfId="1" applyFont="1" applyBorder="1" applyAlignment="1">
      <alignment horizontal="center" vertical="center" wrapText="1"/>
    </xf>
    <xf numFmtId="0" fontId="2" fillId="0" borderId="3" xfId="29" applyFont="1" applyBorder="1" applyAlignment="1">
      <alignment horizontal="center" vertical="center" wrapText="1"/>
    </xf>
    <xf numFmtId="0" fontId="2" fillId="0" borderId="3" xfId="29" applyFont="1" applyBorder="1" applyAlignment="1">
      <alignment vertical="center" wrapText="1"/>
    </xf>
    <xf numFmtId="166" fontId="2" fillId="0" borderId="3" xfId="1" applyNumberFormat="1" applyFont="1" applyBorder="1" applyAlignment="1">
      <alignment horizontal="center" vertical="center" wrapText="1"/>
    </xf>
    <xf numFmtId="165" fontId="2" fillId="0" borderId="3" xfId="1" applyFont="1" applyBorder="1" applyAlignment="1">
      <alignment horizontal="center" vertical="center" wrapText="1"/>
    </xf>
    <xf numFmtId="0" fontId="32" fillId="0" borderId="0" xfId="0" applyFont="1"/>
    <xf numFmtId="0" fontId="50" fillId="0" borderId="0" xfId="0" applyFont="1" applyAlignment="1">
      <alignment horizontal="right" vertical="center"/>
    </xf>
    <xf numFmtId="0" fontId="32" fillId="0" borderId="0" xfId="0" applyFont="1" applyFill="1"/>
    <xf numFmtId="0" fontId="50" fillId="0" borderId="10" xfId="0" applyFont="1" applyBorder="1" applyAlignment="1">
      <alignment vertical="center"/>
    </xf>
    <xf numFmtId="0" fontId="26" fillId="0" borderId="1"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4" xfId="0" applyFont="1" applyBorder="1" applyAlignment="1">
      <alignment vertical="center" wrapText="1"/>
    </xf>
    <xf numFmtId="166" fontId="26" fillId="0" borderId="4" xfId="1" applyNumberFormat="1" applyFont="1" applyFill="1" applyBorder="1" applyAlignment="1">
      <alignment horizontal="right" vertical="center" wrapText="1"/>
    </xf>
    <xf numFmtId="166" fontId="26" fillId="0" borderId="4" xfId="1" applyNumberFormat="1" applyFont="1" applyBorder="1" applyAlignment="1">
      <alignment horizontal="right" vertical="center" wrapText="1"/>
    </xf>
    <xf numFmtId="3" fontId="32" fillId="0" borderId="0" xfId="0" applyNumberFormat="1" applyFont="1"/>
    <xf numFmtId="0" fontId="12" fillId="0" borderId="2" xfId="0" applyFont="1" applyBorder="1" applyAlignment="1">
      <alignment horizontal="center" vertical="center" wrapText="1"/>
    </xf>
    <xf numFmtId="0" fontId="12" fillId="0" borderId="2" xfId="0" applyFont="1" applyBorder="1" applyAlignment="1">
      <alignment vertical="center" wrapText="1"/>
    </xf>
    <xf numFmtId="166" fontId="26" fillId="0" borderId="2" xfId="1" applyNumberFormat="1" applyFont="1" applyFill="1" applyBorder="1" applyAlignment="1">
      <alignment horizontal="right" vertical="center" wrapText="1"/>
    </xf>
    <xf numFmtId="166" fontId="26" fillId="0" borderId="2" xfId="1" applyNumberFormat="1" applyFont="1" applyBorder="1" applyAlignment="1">
      <alignment horizontal="right" vertical="center" wrapText="1"/>
    </xf>
    <xf numFmtId="166" fontId="21" fillId="0" borderId="2" xfId="1" applyNumberFormat="1" applyFont="1" applyBorder="1" applyAlignment="1">
      <alignment horizontal="center" vertical="center" wrapText="1"/>
    </xf>
    <xf numFmtId="166" fontId="21" fillId="0" borderId="2" xfId="1" applyNumberFormat="1" applyFont="1" applyBorder="1" applyAlignment="1">
      <alignment horizontal="right" vertical="center" wrapText="1"/>
    </xf>
    <xf numFmtId="166" fontId="21" fillId="2" borderId="2" xfId="1" applyNumberFormat="1" applyFont="1" applyFill="1" applyBorder="1" applyAlignment="1">
      <alignment horizontal="right" vertical="center" wrapText="1"/>
    </xf>
    <xf numFmtId="0" fontId="21" fillId="2" borderId="2" xfId="0" applyFont="1" applyFill="1" applyBorder="1" applyAlignment="1">
      <alignment vertical="center"/>
    </xf>
    <xf numFmtId="0" fontId="26" fillId="2" borderId="2" xfId="0" applyFont="1" applyFill="1" applyBorder="1" applyAlignment="1">
      <alignment horizontal="center" vertical="center"/>
    </xf>
    <xf numFmtId="0" fontId="26" fillId="2" borderId="2" xfId="0" applyFont="1" applyFill="1" applyBorder="1" applyAlignment="1">
      <alignment horizontal="left" vertical="center" wrapText="1"/>
    </xf>
    <xf numFmtId="0" fontId="21" fillId="2" borderId="2" xfId="0" applyFont="1" applyFill="1" applyBorder="1" applyAlignment="1">
      <alignment horizontal="center" vertical="center"/>
    </xf>
    <xf numFmtId="0" fontId="21" fillId="2" borderId="9" xfId="0" applyFont="1" applyFill="1" applyBorder="1" applyAlignment="1">
      <alignment horizontal="center" vertical="center"/>
    </xf>
    <xf numFmtId="0" fontId="21" fillId="2" borderId="9" xfId="0" applyFont="1" applyFill="1" applyBorder="1" applyAlignment="1">
      <alignment vertical="center"/>
    </xf>
    <xf numFmtId="166" fontId="21" fillId="0" borderId="2" xfId="1" applyNumberFormat="1" applyFont="1" applyFill="1" applyBorder="1" applyAlignment="1">
      <alignment horizontal="right" vertical="center" wrapText="1"/>
    </xf>
    <xf numFmtId="0" fontId="26" fillId="2" borderId="9" xfId="0" applyFont="1" applyFill="1" applyBorder="1" applyAlignment="1">
      <alignment horizontal="center" vertical="center"/>
    </xf>
    <xf numFmtId="166" fontId="26" fillId="0" borderId="2" xfId="1" applyNumberFormat="1" applyFont="1" applyBorder="1" applyAlignment="1">
      <alignment horizontal="center" vertical="center" wrapText="1"/>
    </xf>
    <xf numFmtId="0" fontId="5" fillId="0" borderId="2" xfId="0" applyFont="1" applyBorder="1" applyAlignment="1">
      <alignment horizontal="center" vertical="center" wrapText="1"/>
    </xf>
    <xf numFmtId="0" fontId="5" fillId="0" borderId="2" xfId="0" applyFont="1" applyBorder="1" applyAlignment="1">
      <alignment vertical="center" wrapText="1"/>
    </xf>
    <xf numFmtId="166" fontId="5" fillId="0" borderId="2" xfId="1" applyNumberFormat="1" applyFont="1" applyBorder="1" applyAlignment="1">
      <alignment horizontal="center" vertical="center" wrapText="1"/>
    </xf>
    <xf numFmtId="166" fontId="5" fillId="0" borderId="2" xfId="1" applyNumberFormat="1" applyFont="1" applyFill="1" applyBorder="1" applyAlignment="1">
      <alignment horizontal="center" vertical="center" wrapText="1"/>
    </xf>
    <xf numFmtId="0" fontId="5" fillId="0" borderId="0" xfId="0" applyFont="1"/>
    <xf numFmtId="0" fontId="32" fillId="0" borderId="2" xfId="0" applyFont="1" applyBorder="1" applyAlignment="1">
      <alignment horizontal="center" vertical="center" wrapText="1"/>
    </xf>
    <xf numFmtId="0" fontId="32" fillId="0" borderId="2" xfId="0" applyFont="1" applyBorder="1" applyAlignment="1">
      <alignment vertical="center" wrapText="1"/>
    </xf>
    <xf numFmtId="166" fontId="6" fillId="0" borderId="2" xfId="1" applyNumberFormat="1" applyFont="1" applyBorder="1" applyAlignment="1">
      <alignment horizontal="center" vertical="center" wrapText="1"/>
    </xf>
    <xf numFmtId="0" fontId="32" fillId="0" borderId="9" xfId="0" applyFont="1" applyBorder="1" applyAlignment="1">
      <alignment horizontal="center" vertical="center" wrapText="1"/>
    </xf>
    <xf numFmtId="0" fontId="32" fillId="0" borderId="9" xfId="0" applyFont="1" applyBorder="1" applyAlignment="1">
      <alignment vertical="center" wrapText="1"/>
    </xf>
    <xf numFmtId="166" fontId="6" fillId="0" borderId="2" xfId="1" applyNumberFormat="1" applyFont="1" applyFill="1" applyBorder="1" applyAlignment="1">
      <alignment horizontal="center" vertical="center" wrapText="1"/>
    </xf>
    <xf numFmtId="0" fontId="6" fillId="0" borderId="0" xfId="0" applyFont="1"/>
    <xf numFmtId="0" fontId="5" fillId="0" borderId="3" xfId="0" applyFont="1" applyBorder="1" applyAlignment="1">
      <alignment horizontal="center" vertical="center" wrapText="1"/>
    </xf>
    <xf numFmtId="0" fontId="5" fillId="0" borderId="3" xfId="0" applyFont="1" applyBorder="1" applyAlignment="1">
      <alignment vertical="center" wrapText="1"/>
    </xf>
    <xf numFmtId="166" fontId="5" fillId="0" borderId="3" xfId="1" applyNumberFormat="1" applyFont="1" applyBorder="1" applyAlignment="1">
      <alignment horizontal="center" vertical="center" wrapText="1"/>
    </xf>
    <xf numFmtId="166" fontId="5" fillId="0" borderId="3" xfId="1" applyNumberFormat="1" applyFont="1" applyFill="1" applyBorder="1" applyAlignment="1">
      <alignment horizontal="center" vertical="center" wrapText="1"/>
    </xf>
    <xf numFmtId="0" fontId="5" fillId="0" borderId="4" xfId="0" applyFont="1" applyBorder="1" applyAlignment="1">
      <alignment horizontal="center" vertical="center" wrapText="1"/>
    </xf>
    <xf numFmtId="0" fontId="5" fillId="0" borderId="4" xfId="0" applyFont="1" applyBorder="1" applyAlignment="1">
      <alignment vertical="center" wrapText="1"/>
    </xf>
    <xf numFmtId="166" fontId="6" fillId="0" borderId="4" xfId="1" applyNumberFormat="1" applyFont="1" applyBorder="1" applyAlignment="1">
      <alignment horizontal="center" vertical="center" wrapText="1"/>
    </xf>
    <xf numFmtId="166" fontId="6" fillId="0" borderId="4" xfId="1" applyNumberFormat="1" applyFont="1" applyFill="1" applyBorder="1" applyAlignment="1">
      <alignment horizontal="center" vertical="center" wrapText="1"/>
    </xf>
    <xf numFmtId="3" fontId="138" fillId="2" borderId="3" xfId="0" applyNumberFormat="1" applyFont="1" applyFill="1" applyBorder="1" applyAlignment="1">
      <alignment vertical="center" wrapText="1"/>
    </xf>
    <xf numFmtId="166" fontId="39" fillId="2" borderId="3" xfId="1" applyNumberFormat="1" applyFont="1" applyFill="1" applyBorder="1" applyAlignment="1">
      <alignment vertical="center"/>
    </xf>
    <xf numFmtId="0" fontId="39" fillId="2" borderId="3" xfId="0" applyFont="1" applyFill="1" applyBorder="1"/>
    <xf numFmtId="0" fontId="138" fillId="2" borderId="1" xfId="0" applyFont="1" applyFill="1" applyBorder="1" applyAlignment="1">
      <alignment horizontal="center" vertical="center" wrapText="1"/>
    </xf>
    <xf numFmtId="0" fontId="21" fillId="2" borderId="0" xfId="0" applyFont="1" applyFill="1" applyAlignment="1">
      <alignment horizontal="center" vertical="center"/>
    </xf>
    <xf numFmtId="3" fontId="26" fillId="2" borderId="5" xfId="2" applyNumberFormat="1" applyFont="1" applyFill="1" applyBorder="1" applyAlignment="1">
      <alignment horizontal="right"/>
    </xf>
    <xf numFmtId="3" fontId="21" fillId="2" borderId="4" xfId="2" applyNumberFormat="1" applyFont="1" applyFill="1" applyBorder="1" applyAlignment="1">
      <alignment horizontal="right"/>
    </xf>
    <xf numFmtId="3" fontId="95" fillId="2" borderId="4" xfId="2" applyNumberFormat="1" applyFont="1" applyFill="1" applyBorder="1" applyAlignment="1">
      <alignment horizontal="right"/>
    </xf>
    <xf numFmtId="2" fontId="21" fillId="2" borderId="2" xfId="0" applyNumberFormat="1" applyFont="1" applyFill="1" applyBorder="1" applyAlignment="1">
      <alignment vertical="center" wrapText="1"/>
    </xf>
    <xf numFmtId="3" fontId="95" fillId="2" borderId="2" xfId="2" applyNumberFormat="1" applyFont="1" applyFill="1" applyBorder="1" applyAlignment="1">
      <alignment horizontal="right"/>
    </xf>
    <xf numFmtId="2" fontId="21" fillId="2" borderId="3" xfId="0" applyNumberFormat="1" applyFont="1" applyFill="1" applyBorder="1" applyAlignment="1">
      <alignment vertical="center" wrapText="1"/>
    </xf>
    <xf numFmtId="164" fontId="26" fillId="2" borderId="0" xfId="0" applyNumberFormat="1" applyFont="1" applyFill="1" applyAlignment="1">
      <alignment horizontal="center"/>
    </xf>
    <xf numFmtId="170" fontId="21" fillId="2" borderId="2" xfId="15" applyNumberFormat="1" applyFont="1" applyFill="1" applyBorder="1"/>
    <xf numFmtId="170" fontId="21" fillId="2" borderId="0" xfId="15" applyNumberFormat="1" applyFont="1" applyFill="1" applyBorder="1"/>
    <xf numFmtId="170" fontId="21" fillId="2" borderId="0" xfId="0" applyNumberFormat="1" applyFont="1" applyFill="1"/>
    <xf numFmtId="0" fontId="26" fillId="2" borderId="0" xfId="0" applyFont="1" applyFill="1" applyAlignment="1">
      <alignment horizontal="center" vertical="center"/>
    </xf>
    <xf numFmtId="170" fontId="26" fillId="2" borderId="0" xfId="0" applyNumberFormat="1" applyFont="1" applyFill="1"/>
    <xf numFmtId="0" fontId="27" fillId="2" borderId="0" xfId="0" applyFont="1" applyFill="1" applyAlignment="1">
      <alignment horizontal="center" vertical="center"/>
    </xf>
    <xf numFmtId="3" fontId="26" fillId="2" borderId="4" xfId="2" applyNumberFormat="1" applyFont="1" applyFill="1" applyBorder="1"/>
    <xf numFmtId="0" fontId="131" fillId="2" borderId="0" xfId="0" applyFont="1" applyFill="1"/>
    <xf numFmtId="3" fontId="21" fillId="2" borderId="0" xfId="17" applyNumberFormat="1" applyFont="1" applyFill="1" applyBorder="1" applyAlignment="1">
      <alignment vertical="center" wrapText="1"/>
    </xf>
    <xf numFmtId="3" fontId="12" fillId="2" borderId="0" xfId="17" applyNumberFormat="1" applyFont="1" applyFill="1" applyBorder="1" applyAlignment="1">
      <alignment vertical="center" wrapText="1"/>
    </xf>
    <xf numFmtId="14" fontId="12" fillId="2" borderId="0" xfId="17" applyNumberFormat="1" applyFont="1" applyFill="1" applyAlignment="1">
      <alignment vertical="center" wrapText="1"/>
    </xf>
    <xf numFmtId="3" fontId="32" fillId="2" borderId="0" xfId="17" applyNumberFormat="1" applyFont="1" applyFill="1" applyAlignment="1">
      <alignment horizontal="center" vertical="center" wrapText="1"/>
    </xf>
    <xf numFmtId="0" fontId="221" fillId="2" borderId="0" xfId="0" applyFont="1" applyFill="1"/>
    <xf numFmtId="49" fontId="220" fillId="2" borderId="10" xfId="0" applyNumberFormat="1" applyFont="1" applyFill="1" applyBorder="1" applyAlignment="1"/>
    <xf numFmtId="0" fontId="220" fillId="2" borderId="5" xfId="0" applyFont="1" applyFill="1" applyBorder="1" applyAlignment="1">
      <alignment horizontal="center" vertical="center" wrapText="1"/>
    </xf>
    <xf numFmtId="0" fontId="220" fillId="2" borderId="5" xfId="0" applyNumberFormat="1" applyFont="1" applyFill="1" applyBorder="1" applyAlignment="1">
      <alignment horizontal="center" vertical="center" wrapText="1"/>
    </xf>
    <xf numFmtId="3" fontId="220" fillId="2" borderId="5" xfId="0" applyNumberFormat="1" applyFont="1" applyFill="1" applyBorder="1" applyAlignment="1">
      <alignment horizontal="right" vertical="center" wrapText="1"/>
    </xf>
    <xf numFmtId="0" fontId="221" fillId="2" borderId="5" xfId="0" applyFont="1" applyFill="1" applyBorder="1"/>
    <xf numFmtId="3" fontId="221" fillId="2" borderId="0" xfId="0" applyNumberFormat="1" applyFont="1" applyFill="1"/>
    <xf numFmtId="0" fontId="220" fillId="2" borderId="2" xfId="0" applyFont="1" applyFill="1" applyBorder="1" applyAlignment="1">
      <alignment horizontal="center" wrapText="1"/>
    </xf>
    <xf numFmtId="0" fontId="223" fillId="2" borderId="2" xfId="0" applyNumberFormat="1" applyFont="1" applyFill="1" applyBorder="1" applyAlignment="1">
      <alignment horizontal="left" wrapText="1"/>
    </xf>
    <xf numFmtId="0" fontId="220" fillId="2" borderId="2" xfId="0" applyNumberFormat="1" applyFont="1" applyFill="1" applyBorder="1" applyAlignment="1">
      <alignment horizontal="center" wrapText="1"/>
    </xf>
    <xf numFmtId="3" fontId="220" fillId="2" borderId="2" xfId="0" applyNumberFormat="1" applyFont="1" applyFill="1" applyBorder="1" applyAlignment="1">
      <alignment horizontal="right" wrapText="1"/>
    </xf>
    <xf numFmtId="0" fontId="221" fillId="2" borderId="2" xfId="0" applyFont="1" applyFill="1" applyBorder="1" applyAlignment="1"/>
    <xf numFmtId="3" fontId="221" fillId="2" borderId="0" xfId="0" applyNumberFormat="1" applyFont="1" applyFill="1" applyAlignment="1"/>
    <xf numFmtId="0" fontId="221" fillId="2" borderId="0" xfId="0" applyFont="1" applyFill="1" applyAlignment="1"/>
    <xf numFmtId="0" fontId="221" fillId="2" borderId="2" xfId="0" applyFont="1" applyFill="1" applyBorder="1" applyAlignment="1">
      <alignment horizontal="center"/>
    </xf>
    <xf numFmtId="0" fontId="221" fillId="2" borderId="2" xfId="0" applyFont="1" applyFill="1" applyBorder="1" applyAlignment="1">
      <alignment horizontal="left" wrapText="1"/>
    </xf>
    <xf numFmtId="0" fontId="221" fillId="2" borderId="2" xfId="0" applyFont="1" applyFill="1" applyBorder="1" applyAlignment="1">
      <alignment horizontal="center" wrapText="1"/>
    </xf>
    <xf numFmtId="3" fontId="221" fillId="2" borderId="2" xfId="0" applyNumberFormat="1" applyFont="1" applyFill="1" applyBorder="1" applyAlignment="1">
      <alignment horizontal="right"/>
    </xf>
    <xf numFmtId="0" fontId="223" fillId="2" borderId="2" xfId="0" applyFont="1" applyFill="1" applyBorder="1" applyAlignment="1">
      <alignment horizontal="left" wrapText="1"/>
    </xf>
    <xf numFmtId="0" fontId="223" fillId="2" borderId="2" xfId="0" applyFont="1" applyFill="1" applyBorder="1" applyAlignment="1">
      <alignment horizontal="center" wrapText="1"/>
    </xf>
    <xf numFmtId="3" fontId="223" fillId="2" borderId="2" xfId="0" applyNumberFormat="1" applyFont="1" applyFill="1" applyBorder="1" applyAlignment="1">
      <alignment horizontal="right"/>
    </xf>
    <xf numFmtId="3" fontId="223" fillId="2" borderId="0" xfId="0" applyNumberFormat="1" applyFont="1" applyFill="1" applyAlignment="1"/>
    <xf numFmtId="0" fontId="223" fillId="2" borderId="0" xfId="0" applyFont="1" applyFill="1" applyAlignment="1"/>
    <xf numFmtId="3" fontId="221" fillId="2" borderId="2" xfId="0" applyNumberFormat="1" applyFont="1" applyFill="1" applyBorder="1" applyAlignment="1">
      <alignment wrapText="1"/>
    </xf>
    <xf numFmtId="0" fontId="221" fillId="2" borderId="3" xfId="0" applyFont="1" applyFill="1" applyBorder="1" applyAlignment="1">
      <alignment horizontal="center"/>
    </xf>
    <xf numFmtId="0" fontId="221" fillId="2" borderId="3" xfId="0" applyFont="1" applyFill="1" applyBorder="1" applyAlignment="1">
      <alignment horizontal="left" wrapText="1"/>
    </xf>
    <xf numFmtId="3" fontId="221" fillId="2" borderId="3" xfId="0" applyNumberFormat="1" applyFont="1" applyFill="1" applyBorder="1" applyAlignment="1"/>
    <xf numFmtId="3" fontId="221" fillId="2" borderId="3" xfId="0" applyNumberFormat="1" applyFont="1" applyFill="1" applyBorder="1" applyAlignment="1">
      <alignment horizontal="right"/>
    </xf>
    <xf numFmtId="0" fontId="221" fillId="2" borderId="3" xfId="0" applyFont="1" applyFill="1" applyBorder="1" applyAlignment="1">
      <alignment horizontal="center" wrapText="1"/>
    </xf>
    <xf numFmtId="0" fontId="221" fillId="2" borderId="18" xfId="0" applyFont="1" applyFill="1" applyBorder="1"/>
    <xf numFmtId="0" fontId="221" fillId="2" borderId="18" xfId="0" applyFont="1" applyFill="1" applyBorder="1" applyAlignment="1">
      <alignment horizontal="center"/>
    </xf>
    <xf numFmtId="0" fontId="222" fillId="2" borderId="0" xfId="0" applyFont="1" applyFill="1"/>
    <xf numFmtId="0" fontId="221" fillId="2" borderId="0" xfId="0" applyFont="1" applyFill="1" applyAlignment="1">
      <alignment horizontal="center"/>
    </xf>
    <xf numFmtId="0" fontId="21" fillId="2" borderId="2" xfId="0" applyFont="1" applyFill="1" applyBorder="1" applyAlignment="1">
      <alignment horizontal="center" wrapText="1"/>
    </xf>
    <xf numFmtId="3" fontId="21" fillId="2" borderId="9" xfId="0" applyNumberFormat="1" applyFont="1" applyFill="1" applyBorder="1" applyAlignment="1">
      <alignment horizontal="center"/>
    </xf>
    <xf numFmtId="3" fontId="21" fillId="2" borderId="9" xfId="0" applyNumberFormat="1" applyFont="1" applyFill="1" applyBorder="1"/>
    <xf numFmtId="164" fontId="21" fillId="2" borderId="3" xfId="0" applyNumberFormat="1" applyFont="1" applyFill="1" applyBorder="1" applyAlignment="1">
      <alignment vertical="center" wrapText="1"/>
    </xf>
    <xf numFmtId="3" fontId="21" fillId="2" borderId="3" xfId="0" applyNumberFormat="1" applyFont="1" applyFill="1" applyBorder="1" applyAlignment="1">
      <alignment horizontal="right" vertical="center"/>
    </xf>
    <xf numFmtId="0" fontId="85" fillId="2" borderId="1" xfId="0" applyFont="1" applyFill="1" applyBorder="1" applyAlignment="1">
      <alignment horizontal="center" vertical="center" wrapText="1"/>
    </xf>
    <xf numFmtId="0" fontId="73" fillId="2" borderId="1" xfId="13" applyFont="1" applyFill="1" applyBorder="1" applyAlignment="1">
      <alignment horizontal="center" vertical="center" wrapText="1"/>
    </xf>
    <xf numFmtId="166" fontId="87" fillId="2" borderId="1" xfId="1" applyNumberFormat="1" applyFont="1" applyFill="1" applyBorder="1"/>
    <xf numFmtId="0" fontId="85" fillId="2" borderId="1" xfId="0" applyFont="1" applyFill="1" applyBorder="1" applyAlignment="1">
      <alignment vertical="center" wrapText="1"/>
    </xf>
    <xf numFmtId="0" fontId="88" fillId="2" borderId="1" xfId="0" applyFont="1" applyFill="1" applyBorder="1" applyAlignment="1">
      <alignment horizontal="center" vertical="center" wrapText="1"/>
    </xf>
    <xf numFmtId="0" fontId="74" fillId="2" borderId="1" xfId="14" applyNumberFormat="1" applyFont="1" applyFill="1" applyBorder="1" applyAlignment="1" applyProtection="1">
      <alignment horizontal="left"/>
    </xf>
    <xf numFmtId="166" fontId="88" fillId="2" borderId="1" xfId="1" applyNumberFormat="1" applyFont="1" applyFill="1" applyBorder="1" applyAlignment="1">
      <alignment horizontal="center" vertical="center" wrapText="1"/>
    </xf>
    <xf numFmtId="166" fontId="86" fillId="2" borderId="1" xfId="1" applyNumberFormat="1" applyFont="1" applyFill="1" applyBorder="1"/>
    <xf numFmtId="166" fontId="85" fillId="2" borderId="1" xfId="1" applyNumberFormat="1" applyFont="1" applyFill="1" applyBorder="1" applyAlignment="1">
      <alignment horizontal="center" vertical="center" wrapText="1"/>
    </xf>
    <xf numFmtId="0" fontId="89" fillId="2" borderId="1" xfId="0" applyFont="1" applyFill="1" applyBorder="1" applyAlignment="1">
      <alignment vertical="center" wrapText="1"/>
    </xf>
    <xf numFmtId="0" fontId="26" fillId="2" borderId="1" xfId="0" applyFont="1" applyFill="1" applyBorder="1" applyAlignment="1">
      <alignment horizontal="center" vertical="center" wrapText="1"/>
    </xf>
    <xf numFmtId="0" fontId="60" fillId="2" borderId="0" xfId="0" applyFont="1" applyFill="1" applyAlignment="1">
      <alignment horizontal="center" vertical="center"/>
    </xf>
    <xf numFmtId="0" fontId="17" fillId="2" borderId="0" xfId="0" applyFont="1" applyFill="1" applyAlignment="1">
      <alignment horizontal="center" vertical="center"/>
    </xf>
    <xf numFmtId="0" fontId="17" fillId="2" borderId="0" xfId="0" applyFont="1" applyFill="1" applyBorder="1" applyAlignment="1">
      <alignment horizontal="center" vertical="center"/>
    </xf>
    <xf numFmtId="167" fontId="26" fillId="2" borderId="1" xfId="0" applyNumberFormat="1" applyFont="1" applyFill="1" applyBorder="1" applyAlignment="1">
      <alignment horizontal="center" vertical="center" wrapText="1"/>
    </xf>
    <xf numFmtId="0" fontId="17" fillId="0" borderId="0" xfId="0" applyFont="1" applyAlignment="1">
      <alignment horizontal="left" vertical="center" wrapText="1"/>
    </xf>
    <xf numFmtId="0" fontId="12" fillId="0" borderId="0" xfId="0" applyFont="1" applyAlignment="1">
      <alignment horizontal="center" vertical="center"/>
    </xf>
    <xf numFmtId="0" fontId="50" fillId="0" borderId="0" xfId="0" applyFont="1" applyAlignment="1">
      <alignment horizontal="center" vertical="center"/>
    </xf>
    <xf numFmtId="0" fontId="60" fillId="2" borderId="0" xfId="0" applyFont="1" applyFill="1" applyAlignment="1">
      <alignment horizontal="center" vertical="center" wrapText="1"/>
    </xf>
    <xf numFmtId="0" fontId="90" fillId="2" borderId="0" xfId="0" applyFont="1" applyFill="1" applyAlignment="1">
      <alignment horizontal="center" vertical="center"/>
    </xf>
    <xf numFmtId="0" fontId="17" fillId="2" borderId="6" xfId="0" applyFont="1" applyFill="1" applyBorder="1" applyAlignment="1">
      <alignment horizontal="left" vertical="center" wrapText="1"/>
    </xf>
    <xf numFmtId="0" fontId="14" fillId="0" borderId="0" xfId="0" applyFont="1" applyAlignment="1">
      <alignment horizontal="right" vertical="center"/>
    </xf>
    <xf numFmtId="0" fontId="60" fillId="0" borderId="0" xfId="0" applyFont="1" applyAlignment="1">
      <alignment horizontal="center" vertical="center" wrapText="1"/>
    </xf>
    <xf numFmtId="0" fontId="90" fillId="0" borderId="0" xfId="0" applyFont="1" applyAlignment="1">
      <alignment horizontal="center" vertical="center"/>
    </xf>
    <xf numFmtId="0" fontId="17" fillId="0" borderId="0" xfId="0" applyFont="1" applyBorder="1" applyAlignment="1">
      <alignment horizontal="center" vertical="center"/>
    </xf>
    <xf numFmtId="3" fontId="18" fillId="0" borderId="6" xfId="0" applyNumberFormat="1" applyFont="1" applyBorder="1" applyAlignment="1">
      <alignment horizontal="left" vertical="center" wrapText="1"/>
    </xf>
    <xf numFmtId="3" fontId="17" fillId="0" borderId="0" xfId="0" applyNumberFormat="1" applyFont="1" applyAlignment="1">
      <alignment horizontal="left" vertical="center" wrapText="1"/>
    </xf>
    <xf numFmtId="3" fontId="14" fillId="0" borderId="0" xfId="0" applyNumberFormat="1" applyFont="1" applyAlignment="1">
      <alignment horizontal="center" vertical="center" wrapText="1"/>
    </xf>
    <xf numFmtId="3" fontId="17" fillId="0" borderId="0" xfId="0" applyNumberFormat="1" applyFont="1" applyAlignment="1">
      <alignment horizontal="center" vertical="center" wrapText="1"/>
    </xf>
    <xf numFmtId="3" fontId="17" fillId="0" borderId="0" xfId="0" applyNumberFormat="1" applyFont="1" applyBorder="1" applyAlignment="1">
      <alignment horizontal="center" vertical="center"/>
    </xf>
    <xf numFmtId="3" fontId="14" fillId="0" borderId="1" xfId="0" applyNumberFormat="1" applyFont="1" applyBorder="1" applyAlignment="1">
      <alignment horizontal="center" vertical="center" wrapText="1"/>
    </xf>
    <xf numFmtId="0" fontId="18" fillId="2" borderId="0" xfId="0" applyFont="1" applyFill="1" applyBorder="1" applyAlignment="1">
      <alignment horizontal="left" vertical="center" wrapText="1"/>
    </xf>
    <xf numFmtId="0" fontId="16" fillId="2" borderId="0" xfId="0" applyFont="1" applyFill="1" applyAlignment="1">
      <alignment horizontal="center" vertical="center" wrapText="1"/>
    </xf>
    <xf numFmtId="3" fontId="17" fillId="2" borderId="0" xfId="21" applyNumberFormat="1" applyFont="1" applyFill="1" applyAlignment="1">
      <alignment horizontal="center" vertical="center" wrapText="1"/>
    </xf>
    <xf numFmtId="0" fontId="17" fillId="2" borderId="0" xfId="0" applyFont="1" applyFill="1" applyBorder="1" applyAlignment="1">
      <alignment horizontal="center" vertical="center" wrapText="1"/>
    </xf>
    <xf numFmtId="0" fontId="14" fillId="2" borderId="1" xfId="0" applyFont="1" applyFill="1" applyBorder="1" applyAlignment="1">
      <alignment horizontal="center" vertical="center" wrapText="1"/>
    </xf>
    <xf numFmtId="0" fontId="48" fillId="2" borderId="10" xfId="0" applyFont="1" applyFill="1" applyBorder="1" applyAlignment="1">
      <alignment horizontal="center"/>
    </xf>
    <xf numFmtId="0" fontId="48" fillId="2" borderId="10" xfId="0" applyFont="1" applyFill="1" applyBorder="1" applyAlignment="1">
      <alignment horizontal="right"/>
    </xf>
    <xf numFmtId="3" fontId="85" fillId="2" borderId="11" xfId="0" applyNumberFormat="1" applyFont="1" applyFill="1" applyBorder="1" applyAlignment="1">
      <alignment horizontal="center" vertical="center" wrapText="1"/>
    </xf>
    <xf numFmtId="3" fontId="85" fillId="2" borderId="12" xfId="0" applyNumberFormat="1" applyFont="1" applyFill="1" applyBorder="1" applyAlignment="1">
      <alignment horizontal="center" vertical="center" wrapText="1"/>
    </xf>
    <xf numFmtId="3" fontId="85" fillId="2" borderId="13" xfId="0" applyNumberFormat="1" applyFont="1" applyFill="1" applyBorder="1" applyAlignment="1">
      <alignment horizontal="center" vertical="center" wrapText="1"/>
    </xf>
    <xf numFmtId="0" fontId="85" fillId="2" borderId="1" xfId="0" applyFont="1" applyFill="1" applyBorder="1" applyAlignment="1">
      <alignment horizontal="center" vertical="center" wrapText="1"/>
    </xf>
    <xf numFmtId="0" fontId="73" fillId="2" borderId="11" xfId="13" applyFont="1" applyFill="1" applyBorder="1" applyAlignment="1">
      <alignment horizontal="center" vertical="center" wrapText="1"/>
    </xf>
    <xf numFmtId="0" fontId="73" fillId="2" borderId="12" xfId="13" applyFont="1" applyFill="1" applyBorder="1" applyAlignment="1">
      <alignment horizontal="center" vertical="center" wrapText="1"/>
    </xf>
    <xf numFmtId="0" fontId="73" fillId="2" borderId="13" xfId="13" applyFont="1" applyFill="1" applyBorder="1" applyAlignment="1">
      <alignment horizontal="center" vertical="center" wrapText="1"/>
    </xf>
    <xf numFmtId="0" fontId="7" fillId="2" borderId="0" xfId="0" applyFont="1" applyFill="1" applyAlignment="1">
      <alignment horizontal="center" vertical="center" wrapText="1"/>
    </xf>
    <xf numFmtId="166" fontId="134" fillId="2" borderId="0" xfId="0" applyNumberFormat="1" applyFont="1" applyFill="1" applyAlignment="1">
      <alignment horizontal="center"/>
    </xf>
    <xf numFmtId="0" fontId="73" fillId="2" borderId="1" xfId="13" applyFont="1" applyFill="1" applyBorder="1" applyAlignment="1">
      <alignment horizontal="center" vertical="center" wrapText="1"/>
    </xf>
    <xf numFmtId="3" fontId="18" fillId="0" borderId="6" xfId="0" applyNumberFormat="1" applyFont="1" applyFill="1" applyBorder="1" applyAlignment="1">
      <alignment horizontal="left" vertical="center" wrapText="1"/>
    </xf>
    <xf numFmtId="3" fontId="12" fillId="0" borderId="0" xfId="0" applyNumberFormat="1" applyFont="1" applyFill="1" applyAlignment="1">
      <alignment horizontal="center" vertical="center" wrapText="1"/>
    </xf>
    <xf numFmtId="3" fontId="17" fillId="0" borderId="0" xfId="0" applyNumberFormat="1" applyFont="1" applyFill="1" applyAlignment="1">
      <alignment horizontal="center" vertical="center" wrapText="1"/>
    </xf>
    <xf numFmtId="3" fontId="17" fillId="0" borderId="0" xfId="0" applyNumberFormat="1" applyFont="1" applyFill="1" applyBorder="1" applyAlignment="1">
      <alignment horizontal="center" vertical="center" wrapText="1"/>
    </xf>
    <xf numFmtId="3" fontId="14" fillId="0" borderId="1" xfId="0" applyNumberFormat="1" applyFont="1" applyFill="1" applyBorder="1" applyAlignment="1">
      <alignment horizontal="center" vertical="center" wrapText="1"/>
    </xf>
    <xf numFmtId="3" fontId="14" fillId="0" borderId="7" xfId="0" applyNumberFormat="1" applyFont="1" applyFill="1" applyBorder="1" applyAlignment="1">
      <alignment horizontal="center" vertical="center" wrapText="1"/>
    </xf>
    <xf numFmtId="3" fontId="14" fillId="0" borderId="8" xfId="0" applyNumberFormat="1" applyFont="1" applyFill="1" applyBorder="1" applyAlignment="1">
      <alignment horizontal="center" vertical="center" wrapText="1"/>
    </xf>
    <xf numFmtId="0" fontId="16" fillId="0" borderId="0" xfId="22" applyFont="1" applyFill="1" applyAlignment="1">
      <alignment horizontal="center" vertical="center"/>
    </xf>
    <xf numFmtId="0" fontId="32" fillId="0" borderId="2" xfId="22" applyFont="1" applyFill="1" applyBorder="1" applyAlignment="1">
      <alignment horizontal="left" vertical="center" wrapText="1"/>
    </xf>
    <xf numFmtId="0" fontId="16" fillId="0" borderId="0" xfId="22" applyFont="1" applyFill="1" applyBorder="1" applyAlignment="1">
      <alignment horizontal="center" vertical="center" wrapText="1"/>
    </xf>
    <xf numFmtId="3" fontId="50" fillId="0" borderId="10" xfId="22" applyNumberFormat="1" applyFont="1" applyFill="1" applyBorder="1" applyAlignment="1">
      <alignment horizontal="center" vertical="center" wrapText="1"/>
    </xf>
    <xf numFmtId="0" fontId="50" fillId="0" borderId="10" xfId="22" applyFont="1" applyFill="1" applyBorder="1" applyAlignment="1">
      <alignment horizontal="center" vertical="center" wrapText="1"/>
    </xf>
    <xf numFmtId="0" fontId="17" fillId="2" borderId="0" xfId="0" applyFont="1" applyFill="1" applyAlignment="1">
      <alignment horizontal="left" vertical="center" wrapText="1"/>
    </xf>
    <xf numFmtId="0" fontId="14" fillId="2" borderId="7" xfId="0" applyFont="1" applyFill="1" applyBorder="1" applyAlignment="1">
      <alignment horizontal="center" vertical="center" wrapText="1"/>
    </xf>
    <xf numFmtId="0" fontId="14" fillId="2" borderId="8" xfId="0" applyFont="1" applyFill="1" applyBorder="1" applyAlignment="1">
      <alignment horizontal="center" vertical="center" wrapText="1"/>
    </xf>
    <xf numFmtId="0" fontId="12" fillId="2" borderId="0" xfId="0" applyFont="1" applyFill="1" applyAlignment="1">
      <alignment horizontal="center" vertical="center" wrapText="1"/>
    </xf>
    <xf numFmtId="3" fontId="17" fillId="2" borderId="0" xfId="0" applyNumberFormat="1" applyFont="1" applyFill="1" applyAlignment="1">
      <alignment horizontal="center" vertical="center" wrapText="1"/>
    </xf>
    <xf numFmtId="0" fontId="17" fillId="2" borderId="0" xfId="0" applyFont="1" applyFill="1" applyAlignment="1">
      <alignment horizontal="center" vertical="center" wrapText="1"/>
    </xf>
    <xf numFmtId="0" fontId="26" fillId="0" borderId="1" xfId="13" applyFont="1" applyFill="1" applyBorder="1" applyAlignment="1">
      <alignment horizontal="center" vertical="center" wrapText="1"/>
    </xf>
    <xf numFmtId="0" fontId="26" fillId="0" borderId="11" xfId="13" applyFont="1" applyFill="1" applyBorder="1" applyAlignment="1">
      <alignment horizontal="center" vertical="center" wrapText="1"/>
    </xf>
    <xf numFmtId="0" fontId="26" fillId="0" borderId="13" xfId="13" applyFont="1" applyFill="1" applyBorder="1" applyAlignment="1">
      <alignment horizontal="center" vertical="center" wrapText="1"/>
    </xf>
    <xf numFmtId="0" fontId="16" fillId="0" borderId="0" xfId="0" applyFont="1" applyFill="1" applyAlignment="1">
      <alignment horizontal="center" vertical="center"/>
    </xf>
    <xf numFmtId="3" fontId="50" fillId="0" borderId="0" xfId="0" applyNumberFormat="1" applyFont="1" applyFill="1" applyAlignment="1">
      <alignment horizontal="center" vertical="center"/>
    </xf>
    <xf numFmtId="0" fontId="50" fillId="0" borderId="0" xfId="0" applyFont="1" applyFill="1" applyAlignment="1">
      <alignment horizontal="center" vertical="center"/>
    </xf>
    <xf numFmtId="0" fontId="27" fillId="0" borderId="0" xfId="0" applyFont="1" applyFill="1" applyBorder="1" applyAlignment="1">
      <alignment horizontal="center" vertical="center"/>
    </xf>
    <xf numFmtId="0" fontId="26" fillId="0" borderId="11" xfId="0" applyFont="1" applyFill="1" applyBorder="1" applyAlignment="1">
      <alignment horizontal="center" vertical="center" wrapText="1"/>
    </xf>
    <xf numFmtId="0" fontId="26" fillId="0" borderId="13" xfId="0" applyFont="1" applyFill="1" applyBorder="1" applyAlignment="1">
      <alignment horizontal="center" vertical="center" wrapText="1"/>
    </xf>
    <xf numFmtId="0" fontId="26" fillId="0" borderId="1" xfId="0" applyFont="1" applyFill="1" applyBorder="1" applyAlignment="1">
      <alignment horizontal="center" vertical="center" wrapText="1"/>
    </xf>
    <xf numFmtId="0" fontId="16" fillId="2" borderId="0" xfId="33" applyFont="1" applyFill="1" applyAlignment="1" applyProtection="1">
      <alignment horizontal="center" vertical="center"/>
      <protection locked="0"/>
    </xf>
    <xf numFmtId="3" fontId="90" fillId="2" borderId="0" xfId="33" applyNumberFormat="1" applyFont="1" applyFill="1" applyAlignment="1" applyProtection="1">
      <alignment horizontal="center"/>
      <protection locked="0"/>
    </xf>
    <xf numFmtId="0" fontId="5" fillId="2" borderId="0" xfId="33" applyFont="1" applyFill="1" applyAlignment="1" applyProtection="1">
      <alignment horizontal="center" vertical="top"/>
      <protection locked="0"/>
    </xf>
    <xf numFmtId="0" fontId="61" fillId="2" borderId="10" xfId="33" applyNumberFormat="1" applyFont="1" applyFill="1" applyBorder="1" applyAlignment="1" applyProtection="1">
      <alignment horizontal="right"/>
      <protection locked="0"/>
    </xf>
    <xf numFmtId="0" fontId="85" fillId="2" borderId="7" xfId="0" applyFont="1" applyFill="1" applyBorder="1" applyAlignment="1">
      <alignment horizontal="center" vertical="center" wrapText="1"/>
    </xf>
    <xf numFmtId="0" fontId="85" fillId="2" borderId="8" xfId="0" applyFont="1" applyFill="1" applyBorder="1" applyAlignment="1">
      <alignment horizontal="center" vertical="center" wrapText="1"/>
    </xf>
    <xf numFmtId="0" fontId="85" fillId="2" borderId="11" xfId="0" applyFont="1" applyFill="1" applyBorder="1" applyAlignment="1">
      <alignment horizontal="center" vertical="center" wrapText="1"/>
    </xf>
    <xf numFmtId="0" fontId="85" fillId="2" borderId="13" xfId="0" applyFont="1" applyFill="1" applyBorder="1" applyAlignment="1">
      <alignment horizontal="center" vertical="center" wrapText="1"/>
    </xf>
    <xf numFmtId="0" fontId="8" fillId="2" borderId="0" xfId="0" applyFont="1" applyFill="1" applyAlignment="1">
      <alignment horizontal="center" vertical="center"/>
    </xf>
    <xf numFmtId="3" fontId="226" fillId="2" borderId="0" xfId="0" applyNumberFormat="1" applyFont="1" applyFill="1" applyAlignment="1">
      <alignment horizontal="center" vertical="center"/>
    </xf>
    <xf numFmtId="0" fontId="226" fillId="2" borderId="0" xfId="0" applyFont="1" applyFill="1" applyAlignment="1">
      <alignment horizontal="center" vertical="center"/>
    </xf>
    <xf numFmtId="0" fontId="48" fillId="2" borderId="0" xfId="0" applyFont="1" applyFill="1" applyBorder="1" applyAlignment="1">
      <alignment horizontal="center" vertical="center"/>
    </xf>
    <xf numFmtId="0" fontId="4" fillId="0" borderId="6" xfId="0" applyFont="1" applyBorder="1" applyAlignment="1">
      <alignment horizontal="left" vertical="center" wrapText="1"/>
    </xf>
    <xf numFmtId="0" fontId="3" fillId="0" borderId="10" xfId="0" applyFont="1" applyBorder="1" applyAlignment="1">
      <alignment horizontal="center" vertical="center"/>
    </xf>
    <xf numFmtId="0" fontId="3" fillId="0" borderId="0" xfId="0" applyFont="1" applyAlignment="1">
      <alignment horizontal="left" vertical="center" wrapText="1"/>
    </xf>
    <xf numFmtId="0" fontId="84" fillId="0" borderId="0" xfId="0" applyFont="1" applyAlignment="1">
      <alignment horizontal="center" vertical="center" wrapText="1"/>
    </xf>
    <xf numFmtId="3" fontId="3" fillId="0" borderId="0" xfId="0" applyNumberFormat="1" applyFont="1" applyAlignment="1">
      <alignment horizontal="center" vertical="center"/>
    </xf>
    <xf numFmtId="0" fontId="3" fillId="0" borderId="0" xfId="0" applyFont="1" applyAlignment="1">
      <alignment horizontal="center" vertical="center"/>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3" fillId="0" borderId="0" xfId="0" applyFont="1" applyBorder="1" applyAlignment="1">
      <alignment horizontal="center" vertical="center"/>
    </xf>
    <xf numFmtId="0" fontId="9" fillId="0" borderId="1" xfId="0" applyFont="1" applyBorder="1" applyAlignment="1">
      <alignment horizontal="center" vertical="center" wrapText="1"/>
    </xf>
    <xf numFmtId="3" fontId="3" fillId="0" borderId="0" xfId="0" applyNumberFormat="1" applyFont="1" applyAlignment="1">
      <alignment horizontal="center" vertical="center" wrapText="1"/>
    </xf>
    <xf numFmtId="0" fontId="18" fillId="0" borderId="6" xfId="0" applyFont="1" applyFill="1" applyBorder="1" applyAlignment="1">
      <alignment horizontal="left" vertical="center" wrapText="1"/>
    </xf>
    <xf numFmtId="0" fontId="17" fillId="0" borderId="0" xfId="0" applyFont="1" applyFill="1" applyAlignment="1">
      <alignment horizontal="left" vertical="center" wrapText="1"/>
    </xf>
    <xf numFmtId="0" fontId="60" fillId="0" borderId="0" xfId="0" applyFont="1" applyFill="1" applyAlignment="1">
      <alignment horizontal="center" vertical="center"/>
    </xf>
    <xf numFmtId="3" fontId="90" fillId="0" borderId="0" xfId="0" applyNumberFormat="1" applyFont="1" applyFill="1" applyAlignment="1">
      <alignment horizontal="center" vertical="center" wrapText="1"/>
    </xf>
    <xf numFmtId="0" fontId="90" fillId="0" borderId="0" xfId="0" applyFont="1" applyFill="1" applyAlignment="1">
      <alignment horizontal="center" vertical="center" wrapText="1"/>
    </xf>
    <xf numFmtId="0" fontId="17" fillId="0" borderId="0" xfId="0" applyFont="1" applyFill="1" applyBorder="1" applyAlignment="1">
      <alignment horizontal="center" vertical="center"/>
    </xf>
    <xf numFmtId="0" fontId="14" fillId="0" borderId="1" xfId="0" applyFont="1" applyFill="1" applyBorder="1" applyAlignment="1">
      <alignment horizontal="center" vertical="center" wrapText="1"/>
    </xf>
    <xf numFmtId="3" fontId="17" fillId="2" borderId="0" xfId="0" applyNumberFormat="1" applyFont="1" applyFill="1" applyAlignment="1">
      <alignment horizontal="center" wrapText="1"/>
    </xf>
    <xf numFmtId="0" fontId="14" fillId="3" borderId="1" xfId="0" applyFont="1" applyFill="1" applyBorder="1" applyAlignment="1">
      <alignment horizontal="center" vertical="center" wrapText="1"/>
    </xf>
    <xf numFmtId="0" fontId="12" fillId="0" borderId="0" xfId="0" applyFont="1" applyAlignment="1">
      <alignment horizontal="center" vertical="center" wrapText="1"/>
    </xf>
    <xf numFmtId="0" fontId="17" fillId="0" borderId="0" xfId="0" applyFont="1" applyAlignment="1">
      <alignment horizontal="center" vertical="center" wrapText="1"/>
    </xf>
    <xf numFmtId="0" fontId="17" fillId="0" borderId="0" xfId="0" applyFont="1" applyBorder="1" applyAlignment="1">
      <alignment horizontal="center" vertical="center" wrapText="1"/>
    </xf>
    <xf numFmtId="0" fontId="5" fillId="3" borderId="1" xfId="0" applyFont="1" applyFill="1" applyBorder="1" applyAlignment="1">
      <alignment horizontal="center" vertical="center" wrapText="1"/>
    </xf>
    <xf numFmtId="0" fontId="26" fillId="0" borderId="0" xfId="0" applyFont="1" applyAlignment="1">
      <alignment horizontal="right" vertical="center" wrapText="1"/>
    </xf>
    <xf numFmtId="3" fontId="50" fillId="0" borderId="0" xfId="0" applyNumberFormat="1" applyFont="1" applyAlignment="1">
      <alignment horizontal="center" vertical="center" wrapText="1"/>
    </xf>
    <xf numFmtId="0" fontId="50" fillId="0" borderId="0" xfId="0" applyFont="1" applyAlignment="1">
      <alignment horizontal="center" vertical="center" wrapText="1"/>
    </xf>
    <xf numFmtId="0" fontId="27" fillId="0" borderId="10" xfId="0" applyFont="1" applyBorder="1" applyAlignment="1">
      <alignment horizontal="center" vertical="center"/>
    </xf>
    <xf numFmtId="3" fontId="50" fillId="2" borderId="0" xfId="0" applyNumberFormat="1" applyFont="1" applyFill="1" applyAlignment="1">
      <alignment horizontal="center" vertical="center"/>
    </xf>
    <xf numFmtId="0" fontId="50" fillId="2" borderId="0" xfId="0" applyFont="1" applyFill="1" applyAlignment="1">
      <alignment horizontal="center" vertical="center"/>
    </xf>
    <xf numFmtId="0" fontId="5" fillId="2" borderId="1" xfId="0" applyFont="1" applyFill="1" applyBorder="1" applyAlignment="1">
      <alignment horizontal="center" vertical="center" wrapText="1"/>
    </xf>
    <xf numFmtId="0" fontId="17" fillId="2" borderId="0" xfId="0" applyFont="1" applyFill="1" applyAlignment="1">
      <alignment horizontal="left" vertical="center"/>
    </xf>
    <xf numFmtId="3" fontId="39" fillId="2" borderId="1" xfId="0" applyNumberFormat="1" applyFont="1" applyFill="1" applyBorder="1" applyAlignment="1">
      <alignment horizontal="center" vertical="center" wrapText="1"/>
    </xf>
    <xf numFmtId="3" fontId="77" fillId="2" borderId="0" xfId="0" applyNumberFormat="1" applyFont="1" applyFill="1" applyAlignment="1">
      <alignment horizontal="center" vertical="center" wrapText="1"/>
    </xf>
    <xf numFmtId="3" fontId="97" fillId="2" borderId="0" xfId="0" applyNumberFormat="1" applyFont="1" applyFill="1" applyAlignment="1">
      <alignment horizontal="center" vertical="center"/>
    </xf>
    <xf numFmtId="0" fontId="39" fillId="2" borderId="1" xfId="0" applyFont="1" applyFill="1" applyBorder="1" applyAlignment="1">
      <alignment horizontal="center" vertical="center" wrapText="1"/>
    </xf>
    <xf numFmtId="0" fontId="77" fillId="2" borderId="0" xfId="0" applyFont="1" applyFill="1" applyAlignment="1">
      <alignment horizontal="center" vertical="center"/>
    </xf>
    <xf numFmtId="0" fontId="97" fillId="2" borderId="0" xfId="0" applyFont="1" applyFill="1" applyAlignment="1">
      <alignment horizontal="center" vertical="center"/>
    </xf>
    <xf numFmtId="0" fontId="39" fillId="2" borderId="11" xfId="0" applyFont="1" applyFill="1" applyBorder="1" applyAlignment="1">
      <alignment horizontal="center" vertical="center" wrapText="1"/>
    </xf>
    <xf numFmtId="0" fontId="39" fillId="2" borderId="12" xfId="0" applyFont="1" applyFill="1" applyBorder="1" applyAlignment="1">
      <alignment horizontal="center" vertical="center" wrapText="1"/>
    </xf>
    <xf numFmtId="0" fontId="39" fillId="2" borderId="13" xfId="0" applyFont="1" applyFill="1" applyBorder="1" applyAlignment="1">
      <alignment horizontal="center" vertical="center" wrapText="1"/>
    </xf>
    <xf numFmtId="0" fontId="79" fillId="2" borderId="1" xfId="0" applyFont="1" applyFill="1" applyBorder="1" applyAlignment="1">
      <alignment horizontal="center" vertical="center" wrapText="1"/>
    </xf>
    <xf numFmtId="0" fontId="39" fillId="2" borderId="7" xfId="0" applyFont="1" applyFill="1" applyBorder="1" applyAlignment="1">
      <alignment horizontal="center" vertical="center" wrapText="1"/>
    </xf>
    <xf numFmtId="0" fontId="39" fillId="2" borderId="8" xfId="0" applyFont="1" applyFill="1" applyBorder="1" applyAlignment="1">
      <alignment horizontal="center" vertical="center" wrapText="1"/>
    </xf>
    <xf numFmtId="0" fontId="136" fillId="2" borderId="10" xfId="0" applyFont="1" applyFill="1" applyBorder="1" applyAlignment="1">
      <alignment horizontal="center" vertical="center"/>
    </xf>
    <xf numFmtId="0" fontId="77" fillId="2" borderId="0" xfId="0" applyFont="1" applyFill="1" applyAlignment="1">
      <alignment horizontal="center" vertical="center" wrapText="1"/>
    </xf>
    <xf numFmtId="166" fontId="39" fillId="2" borderId="7" xfId="1" applyNumberFormat="1" applyFont="1" applyFill="1" applyBorder="1" applyAlignment="1">
      <alignment horizontal="center" vertical="center" wrapText="1"/>
    </xf>
    <xf numFmtId="166" fontId="39" fillId="2" borderId="8" xfId="1" applyNumberFormat="1" applyFont="1" applyFill="1" applyBorder="1" applyAlignment="1">
      <alignment horizontal="center" vertical="center" wrapText="1"/>
    </xf>
    <xf numFmtId="3" fontId="77" fillId="0" borderId="0" xfId="0" applyNumberFormat="1" applyFont="1" applyFill="1" applyAlignment="1">
      <alignment horizontal="center" vertical="center"/>
    </xf>
    <xf numFmtId="3" fontId="79" fillId="0" borderId="1" xfId="0" applyNumberFormat="1" applyFont="1" applyFill="1" applyBorder="1" applyAlignment="1">
      <alignment horizontal="center" vertical="center" wrapText="1"/>
    </xf>
    <xf numFmtId="3" fontId="79" fillId="0" borderId="14" xfId="0" applyNumberFormat="1" applyFont="1" applyFill="1" applyBorder="1" applyAlignment="1">
      <alignment horizontal="center" vertical="center" wrapText="1"/>
    </xf>
    <xf numFmtId="3" fontId="79" fillId="0" borderId="16" xfId="0" applyNumberFormat="1" applyFont="1" applyFill="1" applyBorder="1" applyAlignment="1">
      <alignment horizontal="center" vertical="center" wrapText="1"/>
    </xf>
    <xf numFmtId="3" fontId="79" fillId="0" borderId="11" xfId="0" applyNumberFormat="1" applyFont="1" applyFill="1" applyBorder="1" applyAlignment="1">
      <alignment horizontal="center" vertical="center" wrapText="1"/>
    </xf>
    <xf numFmtId="3" fontId="79" fillId="0" borderId="12" xfId="0" applyNumberFormat="1" applyFont="1" applyFill="1" applyBorder="1" applyAlignment="1">
      <alignment horizontal="center" vertical="center" wrapText="1"/>
    </xf>
    <xf numFmtId="3" fontId="79" fillId="0" borderId="13" xfId="0" applyNumberFormat="1" applyFont="1" applyFill="1" applyBorder="1" applyAlignment="1">
      <alignment horizontal="center" vertical="center" wrapText="1"/>
    </xf>
    <xf numFmtId="3" fontId="79" fillId="0" borderId="6" xfId="0" applyNumberFormat="1" applyFont="1" applyFill="1" applyBorder="1" applyAlignment="1">
      <alignment horizontal="center" vertical="center" wrapText="1"/>
    </xf>
    <xf numFmtId="3" fontId="79" fillId="0" borderId="15" xfId="0" applyNumberFormat="1" applyFont="1" applyFill="1" applyBorder="1" applyAlignment="1">
      <alignment horizontal="center" vertical="center" wrapText="1"/>
    </xf>
    <xf numFmtId="3" fontId="79" fillId="0" borderId="10" xfId="0" applyNumberFormat="1" applyFont="1" applyFill="1" applyBorder="1" applyAlignment="1">
      <alignment horizontal="center" vertical="center" wrapText="1"/>
    </xf>
    <xf numFmtId="3" fontId="79" fillId="0" borderId="17" xfId="0" applyNumberFormat="1" applyFont="1" applyFill="1" applyBorder="1" applyAlignment="1">
      <alignment horizontal="center" vertical="center" wrapText="1"/>
    </xf>
    <xf numFmtId="3" fontId="79" fillId="0" borderId="7" xfId="0" applyNumberFormat="1" applyFont="1" applyFill="1" applyBorder="1" applyAlignment="1">
      <alignment horizontal="center" vertical="center" wrapText="1"/>
    </xf>
    <xf numFmtId="3" fontId="79" fillId="0" borderId="18" xfId="0" applyNumberFormat="1" applyFont="1" applyFill="1" applyBorder="1" applyAlignment="1">
      <alignment horizontal="center" vertical="center" wrapText="1"/>
    </xf>
    <xf numFmtId="3" fontId="79" fillId="0" borderId="8" xfId="0" applyNumberFormat="1" applyFont="1" applyFill="1" applyBorder="1" applyAlignment="1">
      <alignment horizontal="center" vertical="center" wrapText="1"/>
    </xf>
    <xf numFmtId="3" fontId="141" fillId="0" borderId="0" xfId="0" applyNumberFormat="1" applyFont="1" applyFill="1" applyAlignment="1">
      <alignment horizontal="center" vertical="center"/>
    </xf>
    <xf numFmtId="3" fontId="80" fillId="0" borderId="0" xfId="0" applyNumberFormat="1" applyFont="1" applyFill="1" applyAlignment="1">
      <alignment horizontal="center"/>
    </xf>
    <xf numFmtId="3" fontId="80" fillId="0" borderId="0" xfId="0" applyNumberFormat="1" applyFont="1" applyFill="1" applyBorder="1" applyAlignment="1">
      <alignment horizontal="center"/>
    </xf>
    <xf numFmtId="0" fontId="1" fillId="0" borderId="0" xfId="29" applyFont="1" applyAlignment="1">
      <alignment horizontal="center" vertical="center" wrapText="1"/>
    </xf>
    <xf numFmtId="3" fontId="3" fillId="0" borderId="0" xfId="29" applyNumberFormat="1" applyFont="1" applyAlignment="1">
      <alignment horizontal="center" vertical="center"/>
    </xf>
    <xf numFmtId="0" fontId="3" fillId="0" borderId="0" xfId="29" applyFont="1" applyAlignment="1">
      <alignment horizontal="center" vertical="center"/>
    </xf>
    <xf numFmtId="0" fontId="34" fillId="0" borderId="1" xfId="0" applyFont="1" applyBorder="1" applyAlignment="1">
      <alignment horizontal="center" vertical="center" wrapText="1"/>
    </xf>
    <xf numFmtId="0" fontId="77" fillId="0" borderId="0" xfId="0" applyFont="1" applyAlignment="1">
      <alignment horizontal="center" vertical="center" wrapText="1"/>
    </xf>
    <xf numFmtId="3" fontId="136" fillId="0" borderId="0" xfId="0" applyNumberFormat="1" applyFont="1" applyAlignment="1">
      <alignment horizontal="center" vertical="center" wrapText="1"/>
    </xf>
    <xf numFmtId="0" fontId="136" fillId="0" borderId="0" xfId="0" applyFont="1" applyAlignment="1">
      <alignment horizontal="center" vertical="center" wrapText="1"/>
    </xf>
    <xf numFmtId="0" fontId="26" fillId="3" borderId="1" xfId="0" applyFont="1" applyFill="1" applyBorder="1" applyAlignment="1">
      <alignment horizontal="center" vertical="center" wrapText="1"/>
    </xf>
    <xf numFmtId="3" fontId="5" fillId="2" borderId="1" xfId="0" applyNumberFormat="1" applyFont="1" applyFill="1" applyBorder="1" applyAlignment="1">
      <alignment horizontal="center" vertical="center" wrapText="1"/>
    </xf>
    <xf numFmtId="3" fontId="26" fillId="2" borderId="7" xfId="0" applyNumberFormat="1" applyFont="1" applyFill="1" applyBorder="1" applyAlignment="1">
      <alignment horizontal="center" vertical="center" wrapText="1"/>
    </xf>
    <xf numFmtId="3" fontId="26" fillId="2" borderId="8" xfId="0" applyNumberFormat="1" applyFont="1" applyFill="1" applyBorder="1" applyAlignment="1">
      <alignment horizontal="center" vertical="center" wrapText="1"/>
    </xf>
    <xf numFmtId="3" fontId="21" fillId="2" borderId="6" xfId="0" applyNumberFormat="1" applyFont="1" applyFill="1" applyBorder="1" applyAlignment="1">
      <alignment horizontal="left" vertical="center" wrapText="1"/>
    </xf>
    <xf numFmtId="3" fontId="26" fillId="2" borderId="1" xfId="0" applyNumberFormat="1" applyFont="1" applyFill="1" applyBorder="1" applyAlignment="1">
      <alignment horizontal="center" vertical="center" wrapText="1"/>
    </xf>
    <xf numFmtId="3" fontId="60" fillId="2" borderId="0" xfId="0" applyNumberFormat="1" applyFont="1" applyFill="1" applyAlignment="1">
      <alignment horizontal="center" vertical="center" wrapText="1"/>
    </xf>
    <xf numFmtId="3" fontId="50" fillId="2" borderId="10" xfId="0" applyNumberFormat="1" applyFont="1" applyFill="1" applyBorder="1" applyAlignment="1">
      <alignment horizontal="right" vertical="center"/>
    </xf>
    <xf numFmtId="166" fontId="5" fillId="2" borderId="1" xfId="1" applyNumberFormat="1" applyFont="1" applyFill="1" applyBorder="1" applyAlignment="1">
      <alignment horizontal="center" vertical="center" wrapText="1"/>
    </xf>
    <xf numFmtId="49" fontId="224" fillId="2" borderId="0" xfId="0" applyNumberFormat="1" applyFont="1" applyFill="1" applyAlignment="1">
      <alignment horizontal="center"/>
    </xf>
    <xf numFmtId="3" fontId="225" fillId="2" borderId="0" xfId="0" applyNumberFormat="1" applyFont="1" applyFill="1" applyAlignment="1">
      <alignment horizontal="center"/>
    </xf>
    <xf numFmtId="0" fontId="222" fillId="2" borderId="10" xfId="0" applyFont="1" applyFill="1" applyBorder="1" applyAlignment="1">
      <alignment horizontal="center"/>
    </xf>
    <xf numFmtId="0" fontId="220" fillId="2" borderId="5" xfId="0" applyFont="1" applyFill="1" applyBorder="1" applyAlignment="1">
      <alignment horizontal="center" vertical="center" wrapText="1"/>
    </xf>
    <xf numFmtId="0" fontId="220" fillId="2" borderId="2" xfId="0" applyFont="1" applyFill="1" applyBorder="1" applyAlignment="1">
      <alignment horizontal="center" vertical="center" wrapText="1"/>
    </xf>
    <xf numFmtId="0" fontId="220" fillId="2" borderId="3" xfId="0" applyFont="1" applyFill="1" applyBorder="1" applyAlignment="1">
      <alignment horizontal="center" vertical="center" wrapText="1"/>
    </xf>
    <xf numFmtId="0" fontId="220" fillId="2" borderId="5" xfId="0" applyNumberFormat="1" applyFont="1" applyFill="1" applyBorder="1" applyAlignment="1">
      <alignment horizontal="center" vertical="center" wrapText="1"/>
    </xf>
    <xf numFmtId="0" fontId="220" fillId="2" borderId="2" xfId="0" applyNumberFormat="1" applyFont="1" applyFill="1" applyBorder="1" applyAlignment="1">
      <alignment horizontal="center" vertical="center" wrapText="1"/>
    </xf>
    <xf numFmtId="0" fontId="220" fillId="2" borderId="3" xfId="0" applyNumberFormat="1" applyFont="1" applyFill="1" applyBorder="1" applyAlignment="1">
      <alignment horizontal="center" vertical="center" wrapText="1"/>
    </xf>
    <xf numFmtId="3" fontId="220" fillId="2" borderId="5" xfId="0" applyNumberFormat="1" applyFont="1" applyFill="1" applyBorder="1" applyAlignment="1">
      <alignment horizontal="center" vertical="center" wrapText="1"/>
    </xf>
    <xf numFmtId="3" fontId="220" fillId="2" borderId="2" xfId="0" applyNumberFormat="1" applyFont="1" applyFill="1" applyBorder="1" applyAlignment="1">
      <alignment horizontal="center" vertical="center" wrapText="1"/>
    </xf>
    <xf numFmtId="3" fontId="220" fillId="2" borderId="3" xfId="0" applyNumberFormat="1" applyFont="1" applyFill="1" applyBorder="1" applyAlignment="1">
      <alignment horizontal="center" vertical="center" wrapText="1"/>
    </xf>
    <xf numFmtId="0" fontId="48" fillId="0" borderId="10" xfId="0" applyFont="1" applyBorder="1" applyAlignment="1">
      <alignment horizontal="center" vertical="center"/>
    </xf>
    <xf numFmtId="0" fontId="7" fillId="0" borderId="0" xfId="0" applyFont="1" applyAlignment="1">
      <alignment horizontal="center" vertical="center"/>
    </xf>
    <xf numFmtId="0" fontId="49" fillId="0" borderId="0" xfId="0" applyFont="1" applyBorder="1" applyAlignment="1">
      <alignment horizontal="left" vertical="center"/>
    </xf>
    <xf numFmtId="0" fontId="48" fillId="0" borderId="0" xfId="0" applyFont="1" applyAlignment="1">
      <alignment horizontal="left" vertical="center"/>
    </xf>
    <xf numFmtId="0" fontId="4" fillId="0" borderId="0" xfId="0" applyFont="1" applyBorder="1" applyAlignment="1">
      <alignment horizontal="left" vertical="center" wrapText="1"/>
    </xf>
    <xf numFmtId="49" fontId="1" fillId="0" borderId="0" xfId="0" applyNumberFormat="1" applyFont="1" applyAlignment="1">
      <alignment horizontal="center" vertical="center" wrapText="1"/>
    </xf>
    <xf numFmtId="0" fontId="11" fillId="0" borderId="0" xfId="0" applyFont="1" applyAlignment="1">
      <alignment horizontal="center" vertical="center" wrapText="1"/>
    </xf>
    <xf numFmtId="2" fontId="27" fillId="2" borderId="0" xfId="0" applyNumberFormat="1" applyFont="1" applyFill="1" applyAlignment="1">
      <alignment horizontal="left" wrapText="1"/>
    </xf>
    <xf numFmtId="3" fontId="90" fillId="2" borderId="0" xfId="0" applyNumberFormat="1" applyFont="1" applyFill="1" applyAlignment="1">
      <alignment horizontal="center" vertical="center"/>
    </xf>
    <xf numFmtId="3" fontId="50" fillId="2" borderId="0" xfId="0" applyNumberFormat="1" applyFont="1" applyFill="1" applyAlignment="1">
      <alignment horizontal="center"/>
    </xf>
    <xf numFmtId="0" fontId="50" fillId="2" borderId="0" xfId="0" applyFont="1" applyFill="1" applyAlignment="1">
      <alignment horizontal="center"/>
    </xf>
    <xf numFmtId="0" fontId="27" fillId="2" borderId="10" xfId="0" applyFont="1" applyFill="1" applyBorder="1" applyAlignment="1">
      <alignment horizontal="center" vertical="center"/>
    </xf>
    <xf numFmtId="0" fontId="27" fillId="2" borderId="6" xfId="0" applyFont="1" applyFill="1" applyBorder="1" applyAlignment="1">
      <alignment horizontal="left" vertical="center" wrapText="1"/>
    </xf>
    <xf numFmtId="0" fontId="1" fillId="0" borderId="0" xfId="0" applyFont="1" applyAlignment="1">
      <alignment horizontal="center" vertical="center"/>
    </xf>
    <xf numFmtId="0" fontId="8" fillId="0" borderId="0" xfId="0" applyFont="1" applyAlignment="1">
      <alignment horizontal="center" vertical="center" wrapText="1"/>
    </xf>
    <xf numFmtId="0" fontId="8" fillId="0" borderId="0" xfId="0" applyFont="1" applyAlignment="1">
      <alignment horizontal="center" vertical="center"/>
    </xf>
    <xf numFmtId="3" fontId="50" fillId="0" borderId="0" xfId="0" applyNumberFormat="1" applyFont="1" applyAlignment="1">
      <alignment horizontal="center" vertical="center"/>
    </xf>
    <xf numFmtId="0" fontId="50" fillId="0" borderId="0" xfId="0" applyFont="1" applyBorder="1" applyAlignment="1">
      <alignment horizontal="center" vertical="center"/>
    </xf>
    <xf numFmtId="0" fontId="3" fillId="0" borderId="19" xfId="0" applyFont="1" applyBorder="1" applyAlignment="1">
      <alignment horizontal="left" vertical="center"/>
    </xf>
    <xf numFmtId="0" fontId="26" fillId="0" borderId="1" xfId="0" applyFont="1" applyBorder="1" applyAlignment="1">
      <alignment horizontal="center" vertical="center" wrapText="1"/>
    </xf>
    <xf numFmtId="0" fontId="26" fillId="0" borderId="7" xfId="0" applyFont="1" applyBorder="1" applyAlignment="1">
      <alignment horizontal="center" vertical="center" wrapText="1"/>
    </xf>
    <xf numFmtId="0" fontId="26" fillId="0" borderId="8" xfId="0" applyFont="1" applyBorder="1" applyAlignment="1">
      <alignment horizontal="center" vertical="center" wrapText="1"/>
    </xf>
    <xf numFmtId="3" fontId="77" fillId="2" borderId="0" xfId="0" applyNumberFormat="1" applyFont="1" applyFill="1" applyAlignment="1">
      <alignment horizontal="center" vertical="center"/>
    </xf>
    <xf numFmtId="0" fontId="218" fillId="2" borderId="0" xfId="0" applyFont="1" applyFill="1" applyAlignment="1">
      <alignment horizontal="center" vertical="center"/>
    </xf>
    <xf numFmtId="0" fontId="138" fillId="2" borderId="1" xfId="0" applyFont="1" applyFill="1" applyBorder="1" applyAlignment="1">
      <alignment horizontal="center" vertical="center" wrapText="1"/>
    </xf>
    <xf numFmtId="3" fontId="141" fillId="2" borderId="0" xfId="0" applyNumberFormat="1" applyFont="1" applyFill="1" applyAlignment="1">
      <alignment horizontal="center" vertical="center"/>
    </xf>
    <xf numFmtId="3" fontId="181" fillId="2" borderId="0" xfId="17" applyNumberFormat="1" applyFont="1" applyFill="1" applyBorder="1" applyAlignment="1">
      <alignment horizontal="left" vertical="center" wrapText="1"/>
    </xf>
    <xf numFmtId="3" fontId="12" fillId="2" borderId="0" xfId="17" applyNumberFormat="1" applyFont="1" applyFill="1" applyAlignment="1">
      <alignment horizontal="center" vertical="center"/>
    </xf>
    <xf numFmtId="3" fontId="50" fillId="2" borderId="10" xfId="17" applyNumberFormat="1" applyFont="1" applyFill="1" applyBorder="1" applyAlignment="1">
      <alignment horizontal="right" vertical="center" wrapText="1"/>
    </xf>
    <xf numFmtId="3" fontId="15" fillId="2" borderId="1" xfId="17" applyNumberFormat="1" applyFont="1" applyFill="1" applyBorder="1" applyAlignment="1">
      <alignment horizontal="center" vertical="center" wrapText="1"/>
    </xf>
    <xf numFmtId="0" fontId="14" fillId="2" borderId="22" xfId="3" applyFont="1" applyFill="1" applyBorder="1" applyAlignment="1">
      <alignment horizontal="center" vertical="center"/>
    </xf>
    <xf numFmtId="0" fontId="14" fillId="2" borderId="21" xfId="3" applyFont="1" applyFill="1" applyBorder="1" applyAlignment="1">
      <alignment horizontal="center" vertical="center"/>
    </xf>
    <xf numFmtId="3" fontId="14" fillId="2" borderId="20" xfId="0" applyNumberFormat="1" applyFont="1" applyFill="1" applyBorder="1" applyAlignment="1">
      <alignment horizontal="center" wrapText="1"/>
    </xf>
    <xf numFmtId="3" fontId="14" fillId="2" borderId="0" xfId="0" applyNumberFormat="1" applyFont="1" applyFill="1" applyBorder="1" applyAlignment="1">
      <alignment horizontal="center" wrapText="1"/>
    </xf>
    <xf numFmtId="0" fontId="12" fillId="2" borderId="0" xfId="0" applyFont="1" applyFill="1" applyAlignment="1">
      <alignment horizontal="center" wrapText="1"/>
    </xf>
    <xf numFmtId="0" fontId="50" fillId="2" borderId="0" xfId="0" applyFont="1" applyFill="1" applyBorder="1" applyAlignment="1">
      <alignment horizontal="center" vertical="center"/>
    </xf>
    <xf numFmtId="0" fontId="50" fillId="2" borderId="6" xfId="0" applyFont="1" applyFill="1" applyBorder="1" applyAlignment="1">
      <alignment horizontal="left" vertical="center" wrapText="1"/>
    </xf>
    <xf numFmtId="0" fontId="20" fillId="2" borderId="0" xfId="0" applyFont="1" applyFill="1" applyAlignment="1">
      <alignment horizontal="center"/>
    </xf>
    <xf numFmtId="0" fontId="69" fillId="2" borderId="0" xfId="0" applyFont="1" applyFill="1" applyAlignment="1">
      <alignment horizontal="center"/>
    </xf>
    <xf numFmtId="0" fontId="11" fillId="2" borderId="10" xfId="0" applyFont="1" applyFill="1" applyBorder="1" applyAlignment="1">
      <alignment horizontal="center"/>
    </xf>
    <xf numFmtId="0" fontId="0" fillId="2" borderId="0" xfId="0" applyFill="1" applyAlignment="1">
      <alignment horizontal="left" wrapText="1"/>
    </xf>
    <xf numFmtId="0" fontId="20" fillId="2" borderId="0" xfId="0" applyFont="1" applyFill="1" applyAlignment="1">
      <alignment horizontal="center" wrapText="1"/>
    </xf>
    <xf numFmtId="0" fontId="56" fillId="2" borderId="0" xfId="0" applyFont="1" applyFill="1" applyAlignment="1">
      <alignment horizontal="left" wrapText="1"/>
    </xf>
    <xf numFmtId="0" fontId="181" fillId="2" borderId="0" xfId="0" applyFont="1" applyFill="1" applyAlignment="1">
      <alignment horizontal="left" wrapText="1"/>
    </xf>
    <xf numFmtId="3" fontId="11" fillId="2" borderId="0" xfId="0" applyNumberFormat="1" applyFont="1" applyFill="1" applyAlignment="1">
      <alignment horizontal="center"/>
    </xf>
    <xf numFmtId="0" fontId="11" fillId="2" borderId="0" xfId="0" applyFont="1" applyFill="1" applyAlignment="1">
      <alignment horizontal="center"/>
    </xf>
    <xf numFmtId="3" fontId="12" fillId="2" borderId="0" xfId="8" applyNumberFormat="1" applyFont="1" applyFill="1" applyAlignment="1" applyProtection="1">
      <alignment horizontal="center" vertical="center" wrapText="1"/>
      <protection locked="0"/>
    </xf>
    <xf numFmtId="3" fontId="50" fillId="2" borderId="0" xfId="8" applyNumberFormat="1" applyFont="1" applyFill="1" applyAlignment="1" applyProtection="1">
      <alignment horizontal="center" vertical="center" wrapText="1"/>
      <protection locked="0"/>
    </xf>
    <xf numFmtId="3" fontId="15" fillId="2" borderId="0" xfId="8" applyNumberFormat="1" applyFont="1" applyFill="1" applyAlignment="1" applyProtection="1">
      <alignment horizontal="center"/>
      <protection locked="0"/>
    </xf>
    <xf numFmtId="3" fontId="16" fillId="2" borderId="0" xfId="17" applyNumberFormat="1" applyFont="1" applyFill="1" applyAlignment="1">
      <alignment horizontal="center" vertical="center" wrapText="1"/>
    </xf>
    <xf numFmtId="3" fontId="90" fillId="2" borderId="10" xfId="17" applyNumberFormat="1" applyFont="1" applyFill="1" applyBorder="1" applyAlignment="1">
      <alignment horizontal="right" vertical="center" wrapText="1"/>
    </xf>
    <xf numFmtId="3" fontId="74" fillId="2" borderId="1" xfId="17" applyNumberFormat="1" applyFont="1" applyFill="1" applyBorder="1" applyAlignment="1">
      <alignment horizontal="center" vertical="center" wrapText="1"/>
    </xf>
    <xf numFmtId="3" fontId="74" fillId="2" borderId="14" xfId="17" applyNumberFormat="1" applyFont="1" applyFill="1" applyBorder="1" applyAlignment="1">
      <alignment horizontal="center" vertical="center" wrapText="1"/>
    </xf>
    <xf numFmtId="3" fontId="74" fillId="2" borderId="15" xfId="17" applyNumberFormat="1" applyFont="1" applyFill="1" applyBorder="1" applyAlignment="1">
      <alignment horizontal="center" vertical="center" wrapText="1"/>
    </xf>
    <xf numFmtId="3" fontId="74" fillId="2" borderId="20" xfId="17" applyNumberFormat="1" applyFont="1" applyFill="1" applyBorder="1" applyAlignment="1">
      <alignment horizontal="center" vertical="center" wrapText="1"/>
    </xf>
    <xf numFmtId="3" fontId="74" fillId="2" borderId="23" xfId="17" applyNumberFormat="1" applyFont="1" applyFill="1" applyBorder="1" applyAlignment="1">
      <alignment horizontal="center" vertical="center" wrapText="1"/>
    </xf>
    <xf numFmtId="3" fontId="74" fillId="2" borderId="16" xfId="17" applyNumberFormat="1" applyFont="1" applyFill="1" applyBorder="1" applyAlignment="1">
      <alignment horizontal="center" vertical="center" wrapText="1"/>
    </xf>
    <xf numFmtId="3" fontId="74" fillId="2" borderId="17" xfId="17" applyNumberFormat="1" applyFont="1" applyFill="1" applyBorder="1" applyAlignment="1">
      <alignment horizontal="center" vertical="center" wrapText="1"/>
    </xf>
    <xf numFmtId="3" fontId="74" fillId="2" borderId="6" xfId="17" applyNumberFormat="1" applyFont="1" applyFill="1" applyBorder="1" applyAlignment="1">
      <alignment horizontal="center" vertical="center" wrapText="1"/>
    </xf>
    <xf numFmtId="3" fontId="74" fillId="2" borderId="10" xfId="17" applyNumberFormat="1" applyFont="1" applyFill="1" applyBorder="1" applyAlignment="1">
      <alignment horizontal="center" vertical="center" wrapText="1"/>
    </xf>
    <xf numFmtId="3" fontId="183" fillId="2" borderId="1" xfId="17" applyNumberFormat="1" applyFont="1" applyFill="1" applyBorder="1" applyAlignment="1">
      <alignment horizontal="center" vertical="center" wrapText="1"/>
    </xf>
    <xf numFmtId="3" fontId="74" fillId="2" borderId="7" xfId="17" applyNumberFormat="1" applyFont="1" applyFill="1" applyBorder="1" applyAlignment="1">
      <alignment horizontal="center" vertical="center" wrapText="1"/>
    </xf>
    <xf numFmtId="3" fontId="74" fillId="2" borderId="8" xfId="17" applyNumberFormat="1" applyFont="1" applyFill="1" applyBorder="1" applyAlignment="1">
      <alignment horizontal="center" vertical="center" wrapText="1"/>
    </xf>
    <xf numFmtId="3" fontId="74" fillId="2" borderId="18" xfId="17" applyNumberFormat="1" applyFont="1" applyFill="1" applyBorder="1" applyAlignment="1">
      <alignment horizontal="center" vertical="center" wrapText="1"/>
    </xf>
    <xf numFmtId="3" fontId="74" fillId="2" borderId="18" xfId="0" applyNumberFormat="1" applyFont="1" applyFill="1" applyBorder="1" applyAlignment="1">
      <alignment vertical="center" wrapText="1"/>
    </xf>
    <xf numFmtId="3" fontId="74" fillId="2" borderId="8" xfId="0" applyNumberFormat="1" applyFont="1" applyFill="1" applyBorder="1" applyAlignment="1">
      <alignment vertical="center" wrapText="1"/>
    </xf>
    <xf numFmtId="3" fontId="38" fillId="2" borderId="7" xfId="0" applyNumberFormat="1" applyFont="1" applyFill="1" applyBorder="1" applyAlignment="1">
      <alignment horizontal="center" vertical="center" wrapText="1"/>
    </xf>
    <xf numFmtId="3" fontId="38" fillId="2" borderId="8" xfId="0" applyNumberFormat="1" applyFont="1" applyFill="1" applyBorder="1" applyAlignment="1">
      <alignment horizontal="center" vertical="center" wrapText="1"/>
    </xf>
    <xf numFmtId="3" fontId="39" fillId="2" borderId="1" xfId="0" applyNumberFormat="1" applyFont="1" applyFill="1" applyBorder="1" applyAlignment="1">
      <alignment horizontal="center" vertical="center"/>
    </xf>
    <xf numFmtId="3" fontId="38" fillId="2" borderId="11" xfId="0" applyNumberFormat="1" applyFont="1" applyFill="1" applyBorder="1" applyAlignment="1">
      <alignment horizontal="center" vertical="center"/>
    </xf>
    <xf numFmtId="3" fontId="38" fillId="2" borderId="13" xfId="0" applyNumberFormat="1" applyFont="1" applyFill="1" applyBorder="1" applyAlignment="1">
      <alignment horizontal="center" vertical="center"/>
    </xf>
    <xf numFmtId="0" fontId="37" fillId="2" borderId="0" xfId="0" applyFont="1" applyFill="1" applyAlignment="1">
      <alignment horizontal="center"/>
    </xf>
    <xf numFmtId="3" fontId="38" fillId="2" borderId="14" xfId="0" applyNumberFormat="1" applyFont="1" applyFill="1" applyBorder="1" applyAlignment="1">
      <alignment horizontal="center" vertical="center"/>
    </xf>
    <xf numFmtId="3" fontId="38" fillId="2" borderId="15" xfId="0" applyNumberFormat="1" applyFont="1" applyFill="1" applyBorder="1" applyAlignment="1">
      <alignment horizontal="center" vertical="center"/>
    </xf>
    <xf numFmtId="3" fontId="38" fillId="2" borderId="1" xfId="0" applyNumberFormat="1" applyFont="1" applyFill="1" applyBorder="1" applyAlignment="1">
      <alignment horizontal="center" vertical="center" wrapText="1"/>
    </xf>
    <xf numFmtId="3" fontId="1" fillId="2" borderId="0" xfId="0" applyNumberFormat="1" applyFont="1" applyFill="1" applyAlignment="1">
      <alignment horizontal="center" vertical="center" wrapText="1"/>
    </xf>
    <xf numFmtId="3" fontId="100" fillId="2" borderId="0" xfId="0" applyNumberFormat="1" applyFont="1" applyFill="1" applyAlignment="1">
      <alignment horizontal="center" vertical="center"/>
    </xf>
    <xf numFmtId="0" fontId="100" fillId="2" borderId="0" xfId="0" applyFont="1" applyFill="1" applyAlignment="1">
      <alignment horizontal="center" vertical="center"/>
    </xf>
    <xf numFmtId="3" fontId="100" fillId="2" borderId="10" xfId="0" applyNumberFormat="1" applyFont="1" applyFill="1" applyBorder="1" applyAlignment="1">
      <alignment horizontal="center" vertical="center"/>
    </xf>
    <xf numFmtId="3" fontId="38" fillId="2" borderId="1" xfId="0" applyNumberFormat="1" applyFont="1" applyFill="1" applyBorder="1" applyAlignment="1">
      <alignment horizontal="center" vertical="center"/>
    </xf>
    <xf numFmtId="3" fontId="103" fillId="2" borderId="1" xfId="0" applyNumberFormat="1" applyFont="1" applyFill="1" applyBorder="1" applyAlignment="1">
      <alignment horizontal="center" vertical="center"/>
    </xf>
    <xf numFmtId="0" fontId="14" fillId="0" borderId="0" xfId="0" applyFont="1" applyAlignment="1">
      <alignment horizontal="center"/>
    </xf>
    <xf numFmtId="49" fontId="16" fillId="0" borderId="0" xfId="0" applyNumberFormat="1" applyFont="1" applyAlignment="1">
      <alignment horizontal="center"/>
    </xf>
    <xf numFmtId="2" fontId="50" fillId="0" borderId="0" xfId="0" applyNumberFormat="1" applyFont="1" applyAlignment="1">
      <alignment horizontal="center"/>
    </xf>
    <xf numFmtId="49" fontId="14" fillId="2" borderId="1" xfId="0" applyNumberFormat="1" applyFont="1" applyFill="1" applyBorder="1" applyAlignment="1">
      <alignment horizontal="center" vertical="center" wrapText="1"/>
    </xf>
    <xf numFmtId="3" fontId="145" fillId="2" borderId="1" xfId="17" applyNumberFormat="1" applyFont="1" applyFill="1" applyBorder="1" applyAlignment="1">
      <alignment horizontal="center" vertical="center" wrapText="1"/>
    </xf>
    <xf numFmtId="3" fontId="163" fillId="2" borderId="1" xfId="17" applyNumberFormat="1" applyFont="1" applyFill="1" applyBorder="1" applyAlignment="1">
      <alignment horizontal="center" vertical="center" wrapText="1"/>
    </xf>
    <xf numFmtId="3" fontId="145" fillId="2" borderId="7" xfId="17" applyNumberFormat="1" applyFont="1" applyFill="1" applyBorder="1" applyAlignment="1">
      <alignment horizontal="center" vertical="center" wrapText="1"/>
    </xf>
    <xf numFmtId="3" fontId="145" fillId="2" borderId="18" xfId="17" applyNumberFormat="1" applyFont="1" applyFill="1" applyBorder="1" applyAlignment="1">
      <alignment horizontal="center" vertical="center" wrapText="1"/>
    </xf>
    <xf numFmtId="3" fontId="145" fillId="2" borderId="8" xfId="17" applyNumberFormat="1" applyFont="1" applyFill="1" applyBorder="1" applyAlignment="1">
      <alignment horizontal="center" vertical="center" wrapText="1"/>
    </xf>
    <xf numFmtId="3" fontId="145" fillId="2" borderId="18" xfId="0" applyNumberFormat="1" applyFont="1" applyFill="1" applyBorder="1" applyAlignment="1">
      <alignment wrapText="1"/>
    </xf>
    <xf numFmtId="3" fontId="145" fillId="2" borderId="8" xfId="0" applyNumberFormat="1" applyFont="1" applyFill="1" applyBorder="1" applyAlignment="1">
      <alignment wrapText="1"/>
    </xf>
    <xf numFmtId="3" fontId="145" fillId="2" borderId="14" xfId="17" applyNumberFormat="1" applyFont="1" applyFill="1" applyBorder="1" applyAlignment="1">
      <alignment horizontal="center" vertical="center" wrapText="1"/>
    </xf>
    <xf numFmtId="3" fontId="145" fillId="2" borderId="6" xfId="17" applyNumberFormat="1" applyFont="1" applyFill="1" applyBorder="1" applyAlignment="1">
      <alignment horizontal="center" vertical="center" wrapText="1"/>
    </xf>
    <xf numFmtId="3" fontId="145" fillId="2" borderId="15" xfId="17" applyNumberFormat="1" applyFont="1" applyFill="1" applyBorder="1" applyAlignment="1">
      <alignment horizontal="center" vertical="center" wrapText="1"/>
    </xf>
    <xf numFmtId="3" fontId="145" fillId="2" borderId="16" xfId="17" applyNumberFormat="1" applyFont="1" applyFill="1" applyBorder="1" applyAlignment="1">
      <alignment horizontal="center" vertical="center" wrapText="1"/>
    </xf>
    <xf numFmtId="3" fontId="145" fillId="2" borderId="10" xfId="17" applyNumberFormat="1" applyFont="1" applyFill="1" applyBorder="1" applyAlignment="1">
      <alignment horizontal="center" vertical="center" wrapText="1"/>
    </xf>
    <xf numFmtId="3" fontId="145" fillId="2" borderId="17" xfId="17" applyNumberFormat="1" applyFont="1" applyFill="1" applyBorder="1" applyAlignment="1">
      <alignment horizontal="center" vertical="center" wrapText="1"/>
    </xf>
    <xf numFmtId="3" fontId="145" fillId="2" borderId="20" xfId="17" applyNumberFormat="1" applyFont="1" applyFill="1" applyBorder="1" applyAlignment="1">
      <alignment horizontal="center" vertical="center" wrapText="1"/>
    </xf>
    <xf numFmtId="3" fontId="145" fillId="2" borderId="23" xfId="17" applyNumberFormat="1" applyFont="1" applyFill="1" applyBorder="1" applyAlignment="1">
      <alignment horizontal="center" vertical="center" wrapText="1"/>
    </xf>
    <xf numFmtId="3" fontId="163" fillId="2" borderId="11" xfId="17" applyNumberFormat="1" applyFont="1" applyFill="1" applyBorder="1" applyAlignment="1">
      <alignment horizontal="center" vertical="center" wrapText="1"/>
    </xf>
    <xf numFmtId="3" fontId="163" fillId="2" borderId="13" xfId="17" applyNumberFormat="1" applyFont="1" applyFill="1" applyBorder="1" applyAlignment="1">
      <alignment horizontal="center" vertical="center" wrapText="1"/>
    </xf>
    <xf numFmtId="3" fontId="60" fillId="2" borderId="0" xfId="17" applyNumberFormat="1" applyFont="1" applyFill="1" applyAlignment="1">
      <alignment horizontal="center" vertical="center" wrapText="1"/>
    </xf>
    <xf numFmtId="3" fontId="50" fillId="2" borderId="0" xfId="17" applyNumberFormat="1" applyFont="1" applyFill="1" applyAlignment="1">
      <alignment horizontal="center" vertical="center" wrapText="1"/>
    </xf>
    <xf numFmtId="3" fontId="27" fillId="2" borderId="0" xfId="0" applyNumberFormat="1" applyFont="1" applyFill="1" applyAlignment="1">
      <alignment horizontal="center" wrapText="1"/>
    </xf>
    <xf numFmtId="3" fontId="142" fillId="2" borderId="1" xfId="17" applyNumberFormat="1" applyFont="1" applyFill="1" applyBorder="1" applyAlignment="1">
      <alignment horizontal="center" vertical="center" wrapText="1"/>
    </xf>
    <xf numFmtId="3" fontId="144" fillId="2" borderId="1" xfId="17" applyNumberFormat="1" applyFont="1" applyFill="1" applyBorder="1" applyAlignment="1">
      <alignment horizontal="center" vertical="center" wrapText="1"/>
    </xf>
    <xf numFmtId="3" fontId="26" fillId="2" borderId="0" xfId="17" applyNumberFormat="1" applyFont="1" applyFill="1" applyAlignment="1">
      <alignment horizontal="center" vertical="center" wrapText="1"/>
    </xf>
    <xf numFmtId="3" fontId="27" fillId="2" borderId="10" xfId="17" applyNumberFormat="1" applyFont="1" applyFill="1" applyBorder="1" applyAlignment="1">
      <alignment horizontal="right" vertical="center" wrapText="1"/>
    </xf>
    <xf numFmtId="3" fontId="179" fillId="2" borderId="1" xfId="0" applyNumberFormat="1" applyFont="1" applyFill="1" applyBorder="1" applyAlignment="1">
      <alignment wrapText="1"/>
    </xf>
    <xf numFmtId="3" fontId="6" fillId="2" borderId="0" xfId="0" applyNumberFormat="1" applyFont="1" applyFill="1" applyAlignment="1">
      <alignment horizontal="left" vertical="center" wrapText="1"/>
    </xf>
    <xf numFmtId="3" fontId="62" fillId="4" borderId="0" xfId="0" applyNumberFormat="1" applyFont="1" applyFill="1" applyAlignment="1">
      <alignment horizontal="center"/>
    </xf>
    <xf numFmtId="3" fontId="6" fillId="2" borderId="0" xfId="0" applyNumberFormat="1" applyFont="1" applyFill="1" applyAlignment="1">
      <alignment horizontal="left" wrapText="1"/>
    </xf>
    <xf numFmtId="3" fontId="5" fillId="2" borderId="1" xfId="2" applyNumberFormat="1" applyFont="1" applyFill="1" applyBorder="1" applyAlignment="1">
      <alignment horizontal="center" vertical="center" wrapText="1"/>
    </xf>
    <xf numFmtId="3" fontId="60" fillId="2" borderId="0" xfId="0" applyNumberFormat="1" applyFont="1" applyFill="1" applyAlignment="1">
      <alignment horizontal="center"/>
    </xf>
    <xf numFmtId="3" fontId="17" fillId="2" borderId="10" xfId="0" applyNumberFormat="1" applyFont="1" applyFill="1" applyBorder="1" applyAlignment="1">
      <alignment horizontal="center"/>
    </xf>
    <xf numFmtId="3" fontId="5" fillId="2" borderId="7" xfId="0" applyNumberFormat="1" applyFont="1" applyFill="1" applyBorder="1" applyAlignment="1">
      <alignment horizontal="center" vertical="center" wrapText="1"/>
    </xf>
    <xf numFmtId="3" fontId="5" fillId="2" borderId="18" xfId="0" applyNumberFormat="1" applyFont="1" applyFill="1" applyBorder="1" applyAlignment="1">
      <alignment horizontal="center" vertical="center" wrapText="1"/>
    </xf>
    <xf numFmtId="3" fontId="5" fillId="2" borderId="8" xfId="0" applyNumberFormat="1" applyFont="1" applyFill="1" applyBorder="1" applyAlignment="1">
      <alignment horizontal="center" vertical="center" wrapText="1"/>
    </xf>
    <xf numFmtId="3" fontId="5" fillId="2" borderId="11" xfId="0" applyNumberFormat="1" applyFont="1" applyFill="1" applyBorder="1" applyAlignment="1">
      <alignment horizontal="center" vertical="center"/>
    </xf>
    <xf numFmtId="3" fontId="5" fillId="2" borderId="12" xfId="0" applyNumberFormat="1" applyFont="1" applyFill="1" applyBorder="1" applyAlignment="1">
      <alignment horizontal="center" vertical="center"/>
    </xf>
    <xf numFmtId="3" fontId="5" fillId="2" borderId="13" xfId="0" applyNumberFormat="1" applyFont="1" applyFill="1" applyBorder="1" applyAlignment="1">
      <alignment horizontal="center" vertical="center"/>
    </xf>
    <xf numFmtId="3" fontId="5" fillId="2" borderId="14" xfId="0" applyNumberFormat="1" applyFont="1" applyFill="1" applyBorder="1" applyAlignment="1">
      <alignment horizontal="center" vertical="center" wrapText="1"/>
    </xf>
    <xf numFmtId="3" fontId="5" fillId="2" borderId="16" xfId="0" applyNumberFormat="1" applyFont="1" applyFill="1" applyBorder="1" applyAlignment="1">
      <alignment horizontal="center" vertical="center" wrapText="1"/>
    </xf>
    <xf numFmtId="3" fontId="29" fillId="0" borderId="0" xfId="0" applyNumberFormat="1" applyFont="1" applyAlignment="1">
      <alignment horizontal="center" vertical="center" wrapText="1"/>
    </xf>
    <xf numFmtId="0" fontId="26" fillId="4" borderId="7" xfId="13" applyNumberFormat="1" applyFont="1" applyFill="1" applyBorder="1" applyAlignment="1">
      <alignment horizontal="center" vertical="center" wrapText="1"/>
    </xf>
    <xf numFmtId="0" fontId="26" fillId="4" borderId="8" xfId="13" applyNumberFormat="1" applyFont="1" applyFill="1" applyBorder="1" applyAlignment="1">
      <alignment horizontal="center" vertical="center" wrapText="1"/>
    </xf>
    <xf numFmtId="0" fontId="26" fillId="2" borderId="11" xfId="0" applyNumberFormat="1" applyFont="1" applyFill="1" applyBorder="1" applyAlignment="1">
      <alignment horizontal="center" vertical="center"/>
    </xf>
    <xf numFmtId="0" fontId="26" fillId="2" borderId="12" xfId="0" applyNumberFormat="1" applyFont="1" applyFill="1" applyBorder="1" applyAlignment="1">
      <alignment horizontal="center" vertical="center"/>
    </xf>
    <xf numFmtId="0" fontId="26" fillId="2" borderId="13" xfId="0" applyNumberFormat="1" applyFont="1" applyFill="1" applyBorder="1" applyAlignment="1">
      <alignment horizontal="center" vertical="center"/>
    </xf>
    <xf numFmtId="0" fontId="120" fillId="2" borderId="0" xfId="0" applyNumberFormat="1" applyFont="1" applyFill="1" applyAlignment="1" applyProtection="1">
      <alignment horizontal="center"/>
    </xf>
    <xf numFmtId="0" fontId="16" fillId="2" borderId="0" xfId="0" applyNumberFormat="1" applyFont="1" applyFill="1" applyAlignment="1">
      <alignment horizontal="center"/>
    </xf>
  </cellXfs>
  <cellStyles count="39">
    <cellStyle name="Comma" xfId="1" builtinId="3"/>
    <cellStyle name="Comma [0]" xfId="2" builtinId="6"/>
    <cellStyle name="Comma [0] 2" xfId="24"/>
    <cellStyle name="Comma 10 10" xfId="20"/>
    <cellStyle name="Comma 11" xfId="28"/>
    <cellStyle name="Comma 2" xfId="9"/>
    <cellStyle name="Comma 2 4" xfId="7"/>
    <cellStyle name="Comma 3" xfId="5"/>
    <cellStyle name="Comma 4" xfId="6"/>
    <cellStyle name="Comma 5" xfId="25"/>
    <cellStyle name="Hyperlink" xfId="23" builtinId="8"/>
    <cellStyle name="Normal" xfId="0" builtinId="0"/>
    <cellStyle name="Normal 10" xfId="29"/>
    <cellStyle name="Normal 10 2" xfId="30"/>
    <cellStyle name="Normal 2" xfId="3"/>
    <cellStyle name="Normal 2 2" xfId="31"/>
    <cellStyle name="Normal 2 3 2" xfId="27"/>
    <cellStyle name="Normal 2 6" xfId="34"/>
    <cellStyle name="Normal 2_160507 Bieu mau NSDP ND sua ND73" xfId="16"/>
    <cellStyle name="Normal 2_TK hang nam" xfId="36"/>
    <cellStyle name="Normal 3" xfId="22"/>
    <cellStyle name="Normal 4" xfId="35"/>
    <cellStyle name="Normal 5" xfId="32"/>
    <cellStyle name="Normal 8" xfId="21"/>
    <cellStyle name="Normal 9" xfId="8"/>
    <cellStyle name="Normal_060331 Bieu tinh chi thuong xuyen NSDP 2007 theo DM bc TTg" xfId="15"/>
    <cellStyle name="Normal_060719 QN-He thong bieu mau lam du toan chi NSDP Vong I nam 2007 2" xfId="12"/>
    <cellStyle name="Normal_Bieu 01" xfId="14"/>
    <cellStyle name="Normal_Bieu 4-7" xfId="38"/>
    <cellStyle name="Normal_Bieu mau (CV )" xfId="17"/>
    <cellStyle name="Normal_Bieu mau (CV ) 2 2" xfId="19"/>
    <cellStyle name="Normal_DT thu NSNN 2007 phan bo lai 2" xfId="33"/>
    <cellStyle name="Normal_Mau Tong hop DT2010" xfId="13"/>
    <cellStyle name="Normal_Sheet1" xfId="4"/>
    <cellStyle name="Normal_Sheet1 2" xfId="11"/>
    <cellStyle name="Normal_Sheet1 3" xfId="26"/>
    <cellStyle name="Normal_Tong hop KH XS 2014" xfId="37"/>
    <cellStyle name="Normal_Vu Quan ly QH_BieuBaocaoQuyhoach2011" xfId="18"/>
    <cellStyle name="Percent" xfId="10" builtinId="5"/>
  </cellStyles>
  <dxfs count="54">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externalLink" Target="externalLinks/externalLink5.xml"/><Relationship Id="rId68"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externalLink" Target="externalLinks/externalLink3.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externalLink" Target="externalLinks/externalLink6.xml"/><Relationship Id="rId69"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externalLink" Target="externalLinks/externalLink1.xml"/><Relationship Id="rId67"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externalLink" Target="externalLinks/externalLink4.xml"/><Relationship Id="rId7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externalLink" Target="externalLinks/externalLink2.xml"/><Relationship Id="rId6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drawings/drawing1.xml><?xml version="1.0" encoding="utf-8"?>
<xdr:wsDr xmlns:xdr="http://schemas.openxmlformats.org/drawingml/2006/spreadsheetDrawing" xmlns:a="http://schemas.openxmlformats.org/drawingml/2006/main">
  <xdr:twoCellAnchor>
    <xdr:from>
      <xdr:col>0</xdr:col>
      <xdr:colOff>413385</xdr:colOff>
      <xdr:row>2</xdr:row>
      <xdr:rowOff>38100</xdr:rowOff>
    </xdr:from>
    <xdr:to>
      <xdr:col>1</xdr:col>
      <xdr:colOff>826781</xdr:colOff>
      <xdr:row>2</xdr:row>
      <xdr:rowOff>38100</xdr:rowOff>
    </xdr:to>
    <xdr:cxnSp macro="">
      <xdr:nvCxnSpPr>
        <xdr:cNvPr id="2" name="Straight Connector 1"/>
        <xdr:cNvCxnSpPr/>
      </xdr:nvCxnSpPr>
      <xdr:spPr>
        <a:xfrm>
          <a:off x="413385" y="514350"/>
          <a:ext cx="870596"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ownloads/Bi&#7875;u%20m&#7851;u%20BC%2003%20n&#259;m%20theo%20ND%2031%20(t&#7915;%20bi&#7875;u%207%20&#273;&#7871;n%2011)%20(3)%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dministrator/Downloads/SKH%20DT/Ban%20sau%20ph&#226;n%20b&#7893;%20ng&#226;n%20s&#225;ch%20huy&#7879;n%202017%20(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dministrator/Downloads/1BM%20PL%20III%20Bieu%20mau%20%20ND%2031%20(t&#7915;%2012%20&#273;&#7871;n%204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CV%20n&#259;m%202018/PNS/DT%202019/Ph&#226;n%20b&#7893;%20DT%202019/SKH%20&#272;T/SKH%20Bi&#7875;u%20ch&#237;nh%20th&#7913;c%20K&#7871;%20ho&#7841;ch%202019%20tr&#432;&#7899;c%20b&#225;o%20c&#225;o%20BCS%20ng&#224;y%2015.11.201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CV%20n&#259;m%202018/PNS/DT%202019/Ph&#226;n%20b&#7893;%20DT%202019/SKH%20&#272;T/SKH%20&#272;T%20K&#7871;%20ho&#7841;ch%202019%20(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Administrator/Downloads/PB%20DT%20nam%202017%20Trinh%20HDND%20Tinh(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ểu 07"/>
      <sheetName val="Biểu 08"/>
      <sheetName val="Biểu 09"/>
      <sheetName val="Biểu 10"/>
      <sheetName val="Biểu 11"/>
      <sheetName val="Biểu 16a2020"/>
      <sheetName val="Biểu 16a2019"/>
      <sheetName val="Biểu 13"/>
    </sheetNames>
    <sheetDataSet>
      <sheetData sheetId="0">
        <row r="3">
          <cell r="A3" t="str">
            <v>(Kèm theo Báo cáo số               /BC-UBND ngày       tháng 11 năm 2017 của UBND tỉnh Bắc Kạn)</v>
          </cell>
        </row>
      </sheetData>
      <sheetData sheetId="1">
        <row r="2">
          <cell r="A2" t="str">
            <v>(Kèm theo Báo cáo số               /BC-UBND ngày       tháng 11 năm 2017 của UBND tỉnh Bắc Kạn)</v>
          </cell>
        </row>
      </sheetData>
      <sheetData sheetId="2">
        <row r="2">
          <cell r="A2" t="str">
            <v>(Kèm theo Báo cáo số               /BC-UBND ngày       tháng 11 năm 2017 của UBND tỉnh Bắc Kạn)</v>
          </cell>
        </row>
      </sheetData>
      <sheetData sheetId="3">
        <row r="3">
          <cell r="A3" t="str">
            <v>(Kèm theo Báo cáo số               /BC-UBND ngày       tháng 11 năm 2017 của UBND tỉnh Bắc Kạn)</v>
          </cell>
        </row>
      </sheetData>
      <sheetData sheetId="4">
        <row r="10">
          <cell r="E10">
            <v>1875042</v>
          </cell>
          <cell r="G10">
            <v>1438143</v>
          </cell>
        </row>
        <row r="24">
          <cell r="G24">
            <v>86486</v>
          </cell>
        </row>
      </sheetData>
      <sheetData sheetId="5">
        <row r="7">
          <cell r="C7">
            <v>686000</v>
          </cell>
        </row>
      </sheetData>
      <sheetData sheetId="6">
        <row r="7">
          <cell r="C7">
            <v>633000</v>
          </cell>
        </row>
      </sheetData>
      <sheetData sheetId="7">
        <row r="10">
          <cell r="F10">
            <v>496941.2</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ểu 02"/>
      <sheetName val="Sheet4"/>
      <sheetName val="biểu 3.1"/>
    </sheetNames>
    <sheetDataSet>
      <sheetData sheetId="0" refreshError="1">
        <row r="16">
          <cell r="A16">
            <v>1</v>
          </cell>
          <cell r="B16" t="str">
            <v>Thành phố Bắc Kạn</v>
          </cell>
        </row>
        <row r="17">
          <cell r="A17">
            <v>2</v>
          </cell>
          <cell r="B17" t="str">
            <v>Huyện Pác Nặm</v>
          </cell>
        </row>
        <row r="18">
          <cell r="A18">
            <v>3</v>
          </cell>
          <cell r="B18" t="str">
            <v>Huyện Ba Bể</v>
          </cell>
        </row>
        <row r="19">
          <cell r="A19">
            <v>4</v>
          </cell>
          <cell r="B19" t="str">
            <v>Huyện Ngân Sơn</v>
          </cell>
        </row>
        <row r="20">
          <cell r="A20">
            <v>5</v>
          </cell>
          <cell r="B20" t="str">
            <v>Huyện Bạch Thông</v>
          </cell>
        </row>
        <row r="21">
          <cell r="A21">
            <v>6</v>
          </cell>
          <cell r="B21" t="str">
            <v>Huyện Chợ Đồn</v>
          </cell>
        </row>
        <row r="22">
          <cell r="A22">
            <v>7</v>
          </cell>
          <cell r="B22" t="str">
            <v>Huyện Chợ Mới</v>
          </cell>
        </row>
        <row r="23">
          <cell r="A23">
            <v>8</v>
          </cell>
          <cell r="B23" t="str">
            <v>Huyện Na Rì</v>
          </cell>
        </row>
      </sheetData>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ểu 12"/>
      <sheetName val="Biểu 14"/>
      <sheetName val="Biểu 15"/>
      <sheetName val="Biểu 16"/>
      <sheetName val="Biểu 17"/>
      <sheetName val="Biểu 18"/>
      <sheetName val="Biểu 13"/>
      <sheetName val="Biểu 19"/>
      <sheetName val="Biểu 20"/>
      <sheetName val="Biểu 21"/>
      <sheetName val="Biểu 22"/>
      <sheetName val="Biểu 23"/>
      <sheetName val="Biểu 24"/>
      <sheetName val="ĐT Biểu 25"/>
      <sheetName val="HCSN Biểu 26"/>
      <sheetName val="Biểu 01"/>
      <sheetName val="Biểu 27"/>
      <sheetName val="Biểu 28"/>
      <sheetName val="Biểu 29"/>
      <sheetName val="Biểu 30"/>
      <sheetName val="Biểu 31"/>
      <sheetName val="Biểu 32"/>
      <sheetName val="Biểu 33"/>
      <sheetName val="Biểu 34"/>
      <sheetName val="Biểu 35"/>
      <sheetName val="Biểu 36"/>
      <sheetName val="Biểu 37"/>
      <sheetName val="Biểu 38"/>
      <sheetName val="Biểu 39"/>
      <sheetName val="Biểu 40"/>
      <sheetName val="Biểu 41"/>
      <sheetName val="Biểu 42"/>
      <sheetName val="Biểu 43"/>
      <sheetName val="Biểu 44"/>
      <sheetName val="Biểu 45"/>
      <sheetName val="Biểu 46"/>
      <sheetName val="Biểu 47"/>
      <sheetName val="DT Huyên"/>
      <sheetName val="Biểu 16a"/>
      <sheetName val="DT Tinh"/>
      <sheetName val="BSCMT"/>
      <sheetName val="KHV SC"/>
      <sheetName val="SXKT"/>
      <sheetName val="BSCMT H"/>
      <sheetName val="TLg"/>
      <sheetName val="Biểu số 37"/>
      <sheetName val="SC Tr.sơ"/>
      <sheetName val="TG thu"/>
      <sheetName val="VĐT"/>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row r="6">
          <cell r="C6">
            <v>1902114</v>
          </cell>
        </row>
      </sheetData>
      <sheetData sheetId="38" refreshError="1"/>
      <sheetData sheetId="39" refreshError="1"/>
      <sheetData sheetId="40" refreshError="1"/>
      <sheetData sheetId="41" refreshError="1"/>
      <sheetData sheetId="42" refreshError="1"/>
      <sheetData sheetId="43">
        <row r="6">
          <cell r="C6">
            <v>2096756</v>
          </cell>
        </row>
      </sheetData>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1. TH"/>
      <sheetName val="B2.NSTW"/>
      <sheetName val="B3. ODA"/>
      <sheetName val="B4. TPCP"/>
      <sheetName val="B5. CĐNS"/>
      <sheetName val="B6. PB ĐƯ CĐNS"/>
      <sheetName val="B7. Biểu quyết toán"/>
    </sheetNames>
    <sheetDataSet>
      <sheetData sheetId="0"/>
      <sheetData sheetId="1"/>
      <sheetData sheetId="2"/>
      <sheetData sheetId="3"/>
      <sheetData sheetId="4"/>
      <sheetData sheetId="5">
        <row r="10">
          <cell r="D10">
            <v>758819</v>
          </cell>
          <cell r="E10">
            <v>178027</v>
          </cell>
          <cell r="F10">
            <v>240595</v>
          </cell>
          <cell r="G10">
            <v>1455</v>
          </cell>
          <cell r="H10">
            <v>216554</v>
          </cell>
          <cell r="I10">
            <v>11000</v>
          </cell>
          <cell r="J10">
            <v>0</v>
          </cell>
          <cell r="K10">
            <v>1000</v>
          </cell>
          <cell r="L10">
            <v>168987</v>
          </cell>
          <cell r="M10">
            <v>17026</v>
          </cell>
          <cell r="N10">
            <v>0</v>
          </cell>
          <cell r="O10">
            <v>3940</v>
          </cell>
          <cell r="P10">
            <v>69456</v>
          </cell>
          <cell r="Q10">
            <v>69456</v>
          </cell>
          <cell r="R10">
            <v>0</v>
          </cell>
          <cell r="S10">
            <v>5591</v>
          </cell>
          <cell r="T10">
            <v>695592</v>
          </cell>
          <cell r="U10">
            <v>98937</v>
          </cell>
          <cell r="V10">
            <v>1022450</v>
          </cell>
          <cell r="W10">
            <v>158605</v>
          </cell>
          <cell r="X10">
            <v>0</v>
          </cell>
          <cell r="Y10">
            <v>10744</v>
          </cell>
          <cell r="Z10">
            <v>454997</v>
          </cell>
          <cell r="AA10">
            <v>97482</v>
          </cell>
          <cell r="AB10">
            <v>61123</v>
          </cell>
          <cell r="AF10">
            <v>0</v>
          </cell>
          <cell r="AG10">
            <v>0</v>
          </cell>
        </row>
        <row r="42">
          <cell r="D42">
            <v>553536</v>
          </cell>
          <cell r="E42">
            <v>111639</v>
          </cell>
          <cell r="F42">
            <v>0</v>
          </cell>
          <cell r="G42">
            <v>0</v>
          </cell>
          <cell r="H42">
            <v>1000</v>
          </cell>
          <cell r="I42">
            <v>1000</v>
          </cell>
          <cell r="J42">
            <v>0</v>
          </cell>
          <cell r="K42">
            <v>0</v>
          </cell>
          <cell r="L42">
            <v>6391</v>
          </cell>
          <cell r="M42">
            <v>6391</v>
          </cell>
          <cell r="N42">
            <v>0</v>
          </cell>
          <cell r="O42">
            <v>0</v>
          </cell>
          <cell r="P42">
            <v>9309</v>
          </cell>
          <cell r="Q42">
            <v>9309</v>
          </cell>
          <cell r="R42">
            <v>0</v>
          </cell>
          <cell r="S42">
            <v>0</v>
          </cell>
          <cell r="T42">
            <v>16700</v>
          </cell>
          <cell r="U42">
            <v>16700</v>
          </cell>
          <cell r="V42">
            <v>71775</v>
          </cell>
          <cell r="W42">
            <v>41775</v>
          </cell>
          <cell r="X42">
            <v>0</v>
          </cell>
          <cell r="Y42">
            <v>0</v>
          </cell>
          <cell r="Z42">
            <v>16700</v>
          </cell>
          <cell r="AA42">
            <v>16700</v>
          </cell>
          <cell r="AB42">
            <v>25075</v>
          </cell>
          <cell r="AD42">
            <v>27897</v>
          </cell>
          <cell r="AE42">
            <v>27897</v>
          </cell>
          <cell r="AF42">
            <v>0</v>
          </cell>
          <cell r="AG42">
            <v>0</v>
          </cell>
        </row>
      </sheetData>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ổng hợp"/>
      <sheetName val="Biểu 35.01.NSTW"/>
      <sheetName val="Biểu 42 ODA"/>
      <sheetName val="Biểu 35.02.TPCP"/>
      <sheetName val="CĐNS"/>
      <sheetName val="PB ĐƯ CĐNS"/>
      <sheetName val="SXKT"/>
    </sheetNames>
    <sheetDataSet>
      <sheetData sheetId="0" refreshError="1"/>
      <sheetData sheetId="1" refreshError="1"/>
      <sheetData sheetId="2" refreshError="1"/>
      <sheetData sheetId="3" refreshError="1"/>
      <sheetData sheetId="4" refreshError="1"/>
      <sheetData sheetId="5">
        <row r="10">
          <cell r="D10">
            <v>568474</v>
          </cell>
          <cell r="E10">
            <v>133527</v>
          </cell>
          <cell r="F10">
            <v>115388</v>
          </cell>
          <cell r="G10">
            <v>1100</v>
          </cell>
          <cell r="H10">
            <v>102046</v>
          </cell>
          <cell r="I10">
            <v>4500</v>
          </cell>
          <cell r="J10">
            <v>0</v>
          </cell>
          <cell r="K10">
            <v>0</v>
          </cell>
          <cell r="L10">
            <v>146513</v>
          </cell>
          <cell r="M10">
            <v>9300</v>
          </cell>
          <cell r="N10">
            <v>0</v>
          </cell>
          <cell r="O10">
            <v>0</v>
          </cell>
          <cell r="P10">
            <v>52047</v>
          </cell>
          <cell r="Q10">
            <v>52047</v>
          </cell>
          <cell r="R10">
            <v>0</v>
          </cell>
          <cell r="S10">
            <v>0</v>
          </cell>
          <cell r="T10">
            <v>415994</v>
          </cell>
          <cell r="U10">
            <v>66947</v>
          </cell>
          <cell r="V10">
            <v>852394</v>
          </cell>
          <cell r="W10">
            <v>124352</v>
          </cell>
          <cell r="X10">
            <v>0</v>
          </cell>
          <cell r="Y10">
            <v>0</v>
          </cell>
          <cell r="Z10">
            <v>300606</v>
          </cell>
          <cell r="AA10">
            <v>65847</v>
          </cell>
          <cell r="AB10">
            <v>58505</v>
          </cell>
          <cell r="AD10">
            <v>57026</v>
          </cell>
          <cell r="AE10">
            <v>57026</v>
          </cell>
          <cell r="AF10">
            <v>0</v>
          </cell>
          <cell r="AG10">
            <v>0</v>
          </cell>
        </row>
        <row r="29">
          <cell r="D29">
            <v>515009</v>
          </cell>
          <cell r="E29">
            <v>73112</v>
          </cell>
          <cell r="F29">
            <v>0</v>
          </cell>
          <cell r="G29">
            <v>0</v>
          </cell>
          <cell r="H29">
            <v>1000</v>
          </cell>
          <cell r="I29">
            <v>1000</v>
          </cell>
          <cell r="J29">
            <v>0</v>
          </cell>
          <cell r="K29">
            <v>0</v>
          </cell>
          <cell r="L29">
            <v>6391</v>
          </cell>
          <cell r="M29">
            <v>6391</v>
          </cell>
          <cell r="N29">
            <v>0</v>
          </cell>
          <cell r="O29">
            <v>0</v>
          </cell>
          <cell r="P29">
            <v>8809</v>
          </cell>
          <cell r="Q29">
            <v>8809</v>
          </cell>
          <cell r="R29">
            <v>0</v>
          </cell>
          <cell r="S29">
            <v>0</v>
          </cell>
          <cell r="T29">
            <v>16200</v>
          </cell>
          <cell r="U29">
            <v>16200</v>
          </cell>
          <cell r="V29">
            <v>67505</v>
          </cell>
          <cell r="W29">
            <v>37505</v>
          </cell>
          <cell r="X29">
            <v>0</v>
          </cell>
          <cell r="Y29">
            <v>0</v>
          </cell>
          <cell r="Z29">
            <v>16200</v>
          </cell>
          <cell r="AA29">
            <v>16200</v>
          </cell>
          <cell r="AB29">
            <v>21305</v>
          </cell>
          <cell r="AD29">
            <v>19814</v>
          </cell>
          <cell r="AE29">
            <v>19814</v>
          </cell>
          <cell r="AF29">
            <v>0</v>
          </cell>
          <cell r="AG29">
            <v>0</v>
          </cell>
        </row>
      </sheetData>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P Bắc Kạn"/>
      <sheetName val="TP Bắc Kạn1"/>
      <sheetName val="Bạch Thông1"/>
      <sheetName val="BThong"/>
      <sheetName val="Ba Bể1"/>
      <sheetName val="Chợ Mới"/>
      <sheetName val="Chợ Mới1"/>
      <sheetName val="Chợ Đồn"/>
      <sheetName val="Chợ Đồn1"/>
      <sheetName val="Na Rì"/>
      <sheetName val="Ngân Sơn"/>
      <sheetName val="Na Rì1"/>
      <sheetName val="Ba Bể"/>
      <sheetName val="Ngân Sơn1"/>
      <sheetName val="PNam"/>
      <sheetName val="Pác Nặm1"/>
      <sheetName val="Thu TƯ"/>
      <sheetName val="Thu T Huyen"/>
      <sheetName val="P Lephi"/>
      <sheetName val="CD nguon"/>
      <sheetName val="DT Tinh"/>
      <sheetName val="Cap tinh"/>
      <sheetName val="BSCMT TƯ"/>
      <sheetName val="DT huyen"/>
      <sheetName val="BSCMT Huyen"/>
      <sheetName val="SC trụ Sơ"/>
      <sheetName val="XSKT"/>
      <sheetName val="Nguon"/>
      <sheetName val="B theo D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43">
          <cell r="C43">
            <v>55000</v>
          </cell>
        </row>
      </sheetData>
      <sheetData sheetId="18"/>
      <sheetData sheetId="19"/>
      <sheetData sheetId="20"/>
      <sheetData sheetId="21">
        <row r="10">
          <cell r="F10">
            <v>230386</v>
          </cell>
          <cell r="Y10">
            <v>0</v>
          </cell>
        </row>
      </sheetData>
      <sheetData sheetId="22"/>
      <sheetData sheetId="23">
        <row r="13">
          <cell r="C13">
            <v>73189</v>
          </cell>
        </row>
      </sheetData>
      <sheetData sheetId="24"/>
      <sheetData sheetId="25">
        <row r="8">
          <cell r="H8">
            <v>3702</v>
          </cell>
        </row>
      </sheetData>
      <sheetData sheetId="26"/>
      <sheetData sheetId="27"/>
      <sheetData sheetId="2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43.bin"/></Relationships>
</file>

<file path=xl/worksheets/_rels/sheet4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4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5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46.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48.bin"/></Relationships>
</file>

<file path=xl/worksheets/_rels/sheet5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49.bin"/></Relationships>
</file>

<file path=xl/worksheets/_rels/sheet5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50.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K40"/>
  <sheetViews>
    <sheetView workbookViewId="0">
      <selection activeCell="Q30" sqref="Q30"/>
    </sheetView>
  </sheetViews>
  <sheetFormatPr defaultRowHeight="15" x14ac:dyDescent="0.25"/>
  <cols>
    <col min="1" max="1" width="6.375" style="1011" customWidth="1"/>
    <col min="2" max="2" width="36.625" style="1011" customWidth="1"/>
    <col min="3" max="7" width="11.375" style="1011" customWidth="1"/>
    <col min="8" max="8" width="11.375" style="1198" customWidth="1"/>
    <col min="9" max="9" width="11.375" style="1011" customWidth="1"/>
    <col min="10" max="10" width="14.375" style="1011" hidden="1" customWidth="1"/>
    <col min="11" max="11" width="11.125" style="1011" hidden="1" customWidth="1"/>
    <col min="12" max="13" width="0" style="1011" hidden="1" customWidth="1"/>
    <col min="14" max="16384" width="9" style="1011"/>
  </cols>
  <sheetData>
    <row r="1" spans="1:11" ht="24.75" customHeight="1" x14ac:dyDescent="0.25">
      <c r="A1" s="1939" t="s">
        <v>1374</v>
      </c>
      <c r="B1" s="1939"/>
      <c r="C1" s="1939"/>
      <c r="D1" s="1939"/>
      <c r="E1" s="1939"/>
      <c r="F1" s="1939"/>
      <c r="G1" s="1939"/>
      <c r="H1" s="1939"/>
      <c r="I1" s="1939"/>
    </row>
    <row r="2" spans="1:11" ht="18" customHeight="1" x14ac:dyDescent="0.25">
      <c r="A2" s="1940" t="s">
        <v>1903</v>
      </c>
      <c r="B2" s="1940"/>
      <c r="C2" s="1940"/>
      <c r="D2" s="1940"/>
      <c r="E2" s="1940"/>
      <c r="F2" s="1940"/>
      <c r="G2" s="1940"/>
      <c r="H2" s="1940"/>
      <c r="I2" s="1940"/>
    </row>
    <row r="3" spans="1:11" x14ac:dyDescent="0.25">
      <c r="A3" s="1012"/>
      <c r="H3" s="1941" t="s">
        <v>6</v>
      </c>
      <c r="I3" s="1941"/>
    </row>
    <row r="4" spans="1:11" s="111" customFormat="1" ht="12.75" x14ac:dyDescent="0.2">
      <c r="A4" s="1938" t="s">
        <v>0</v>
      </c>
      <c r="B4" s="1938" t="s">
        <v>1</v>
      </c>
      <c r="C4" s="1938" t="s">
        <v>219</v>
      </c>
      <c r="D4" s="1938" t="s">
        <v>1255</v>
      </c>
      <c r="E4" s="1938" t="s">
        <v>33</v>
      </c>
      <c r="F4" s="1938"/>
      <c r="G4" s="1938" t="s">
        <v>1307</v>
      </c>
      <c r="H4" s="1942" t="s">
        <v>1308</v>
      </c>
      <c r="I4" s="1938" t="s">
        <v>1375</v>
      </c>
    </row>
    <row r="5" spans="1:11" s="111" customFormat="1" ht="33.75" customHeight="1" x14ac:dyDescent="0.2">
      <c r="A5" s="1938"/>
      <c r="B5" s="1938"/>
      <c r="C5" s="1938"/>
      <c r="D5" s="1938"/>
      <c r="E5" s="746" t="s">
        <v>34</v>
      </c>
      <c r="F5" s="746" t="s">
        <v>35</v>
      </c>
      <c r="G5" s="1938"/>
      <c r="H5" s="1942"/>
      <c r="I5" s="1938"/>
    </row>
    <row r="6" spans="1:11" s="111" customFormat="1" ht="12.75" x14ac:dyDescent="0.2">
      <c r="A6" s="746" t="s">
        <v>2</v>
      </c>
      <c r="B6" s="746" t="s">
        <v>3</v>
      </c>
      <c r="C6" s="746">
        <v>1</v>
      </c>
      <c r="D6" s="746">
        <v>2</v>
      </c>
      <c r="E6" s="746" t="s">
        <v>1309</v>
      </c>
      <c r="F6" s="746" t="s">
        <v>1310</v>
      </c>
      <c r="G6" s="746">
        <v>5</v>
      </c>
      <c r="H6" s="1768">
        <v>6</v>
      </c>
      <c r="I6" s="746">
        <v>7</v>
      </c>
    </row>
    <row r="7" spans="1:11" s="401" customFormat="1" ht="12.75" x14ac:dyDescent="0.2">
      <c r="A7" s="1769" t="s">
        <v>2</v>
      </c>
      <c r="B7" s="1770" t="s">
        <v>221</v>
      </c>
      <c r="C7" s="1771">
        <f>C8+C9+C13+C14+C15</f>
        <v>5173837</v>
      </c>
      <c r="D7" s="1771" t="e">
        <f>D8+D9+D13+D14+D15</f>
        <v>#REF!</v>
      </c>
      <c r="E7" s="1772" t="e">
        <f>D7-C7</f>
        <v>#REF!</v>
      </c>
      <c r="F7" s="1108" t="e">
        <f>D7*100/C7</f>
        <v>#REF!</v>
      </c>
      <c r="G7" s="1771" t="e">
        <f>G8+G9+G13+G14+G15</f>
        <v>#REF!</v>
      </c>
      <c r="H7" s="1771" t="e">
        <f>H8+H9+H13+H14+H15</f>
        <v>#REF!</v>
      </c>
      <c r="I7" s="1771" t="e">
        <f>I8+I9+I13+I14+I15</f>
        <v>#REF!</v>
      </c>
    </row>
    <row r="8" spans="1:11" s="401" customFormat="1" ht="12.75" x14ac:dyDescent="0.2">
      <c r="A8" s="1107" t="s">
        <v>9</v>
      </c>
      <c r="B8" s="711" t="s">
        <v>10</v>
      </c>
      <c r="C8" s="1108">
        <f>'Biểu 12'!C8</f>
        <v>545010</v>
      </c>
      <c r="D8" s="1108" t="e">
        <f>#REF!</f>
        <v>#REF!</v>
      </c>
      <c r="E8" s="1772" t="e">
        <f>D8-C8</f>
        <v>#REF!</v>
      </c>
      <c r="F8" s="1108" t="e">
        <f>D8*100/C8</f>
        <v>#REF!</v>
      </c>
      <c r="G8" s="1108" t="e">
        <f>#REF!</f>
        <v>#REF!</v>
      </c>
      <c r="H8" s="1772">
        <v>693719</v>
      </c>
      <c r="I8" s="1108">
        <v>791032</v>
      </c>
    </row>
    <row r="9" spans="1:11" s="401" customFormat="1" ht="12.75" x14ac:dyDescent="0.2">
      <c r="A9" s="1107" t="s">
        <v>11</v>
      </c>
      <c r="B9" s="711" t="s">
        <v>55</v>
      </c>
      <c r="C9" s="1108">
        <f t="shared" ref="C9:F9" si="0">SUM(C10:C12)</f>
        <v>4628827</v>
      </c>
      <c r="D9" s="1108" t="e">
        <f>SUM(D10:D12)</f>
        <v>#REF!</v>
      </c>
      <c r="E9" s="1772" t="e">
        <f t="shared" si="0"/>
        <v>#REF!</v>
      </c>
      <c r="F9" s="1108" t="e">
        <f t="shared" si="0"/>
        <v>#REF!</v>
      </c>
      <c r="G9" s="1108" t="e">
        <f>SUM(G10:G12)</f>
        <v>#REF!</v>
      </c>
      <c r="H9" s="1772" t="e">
        <f>SUM(H10:H12)</f>
        <v>#REF!</v>
      </c>
      <c r="I9" s="1108" t="e">
        <f>SUM(I10:I12)</f>
        <v>#REF!</v>
      </c>
    </row>
    <row r="10" spans="1:11" s="111" customFormat="1" ht="12.75" x14ac:dyDescent="0.2">
      <c r="A10" s="108">
        <v>1</v>
      </c>
      <c r="B10" s="109" t="s">
        <v>12</v>
      </c>
      <c r="C10" s="1773">
        <f>'Biểu 12'!C12</f>
        <v>2802252</v>
      </c>
      <c r="D10" s="1773">
        <f>C10</f>
        <v>2802252</v>
      </c>
      <c r="E10" s="1774">
        <f>D10-C10</f>
        <v>0</v>
      </c>
      <c r="F10" s="1773">
        <f>D10*100/C10</f>
        <v>100</v>
      </c>
      <c r="G10" s="1773" t="e">
        <f>#REF!</f>
        <v>#REF!</v>
      </c>
      <c r="H10" s="1774" t="e">
        <f>G10</f>
        <v>#REF!</v>
      </c>
      <c r="I10" s="1773" t="e">
        <f>H10+600000</f>
        <v>#REF!</v>
      </c>
    </row>
    <row r="11" spans="1:11" s="111" customFormat="1" ht="12.75" x14ac:dyDescent="0.2">
      <c r="A11" s="108">
        <v>2</v>
      </c>
      <c r="B11" s="109" t="s">
        <v>578</v>
      </c>
      <c r="C11" s="1773">
        <f>'Biểu 12'!C13</f>
        <v>114536</v>
      </c>
      <c r="D11" s="1773">
        <f>C11</f>
        <v>114536</v>
      </c>
      <c r="E11" s="1774"/>
      <c r="F11" s="1773"/>
      <c r="G11" s="1773" t="e">
        <f>#REF!</f>
        <v>#REF!</v>
      </c>
      <c r="H11" s="1774" t="e">
        <f>G11+90000</f>
        <v>#REF!</v>
      </c>
      <c r="I11" s="1773"/>
      <c r="J11" s="1775" t="e">
        <f>H8+H10+H11</f>
        <v>#REF!</v>
      </c>
      <c r="K11" s="1775" t="e">
        <f>I8+I10</f>
        <v>#REF!</v>
      </c>
    </row>
    <row r="12" spans="1:11" s="111" customFormat="1" ht="12.75" x14ac:dyDescent="0.2">
      <c r="A12" s="108">
        <v>3</v>
      </c>
      <c r="B12" s="109" t="s">
        <v>13</v>
      </c>
      <c r="C12" s="1773">
        <f>'Biểu 12'!C14</f>
        <v>1712039</v>
      </c>
      <c r="D12" s="1773" t="e">
        <f>#REF!</f>
        <v>#REF!</v>
      </c>
      <c r="E12" s="1774" t="e">
        <f>D12-C12</f>
        <v>#REF!</v>
      </c>
      <c r="F12" s="1773" t="e">
        <f>D12*100/C12</f>
        <v>#REF!</v>
      </c>
      <c r="G12" s="1773" t="e">
        <f>#REF!</f>
        <v>#REF!</v>
      </c>
      <c r="H12" s="1774">
        <f>'03N Biểu 11'!F33+328930+145292</f>
        <v>1417759</v>
      </c>
      <c r="I12" s="1773">
        <f>'03N Biểu 11'!G33+361107+156312</f>
        <v>1408419</v>
      </c>
    </row>
    <row r="13" spans="1:11" s="401" customFormat="1" ht="12.75" x14ac:dyDescent="0.2">
      <c r="A13" s="1107" t="s">
        <v>14</v>
      </c>
      <c r="B13" s="711" t="s">
        <v>223</v>
      </c>
      <c r="C13" s="1108"/>
      <c r="D13" s="1108"/>
      <c r="E13" s="1772"/>
      <c r="F13" s="1108"/>
      <c r="G13" s="1108"/>
      <c r="H13" s="1772"/>
      <c r="I13" s="1108"/>
      <c r="J13" s="1775" t="e">
        <f>J11*2.5%</f>
        <v>#REF!</v>
      </c>
      <c r="K13" s="1775" t="e">
        <f>K11*2.5%</f>
        <v>#REF!</v>
      </c>
    </row>
    <row r="14" spans="1:11" s="401" customFormat="1" ht="12.75" x14ac:dyDescent="0.2">
      <c r="A14" s="1107" t="s">
        <v>15</v>
      </c>
      <c r="B14" s="711" t="s">
        <v>16</v>
      </c>
      <c r="C14" s="1108"/>
      <c r="D14" s="1108" t="e">
        <f>#REF!</f>
        <v>#REF!</v>
      </c>
      <c r="E14" s="1772" t="e">
        <f>D14-C14</f>
        <v>#REF!</v>
      </c>
      <c r="F14" s="1108"/>
      <c r="G14" s="1108"/>
      <c r="H14" s="1772"/>
      <c r="I14" s="1108"/>
      <c r="J14" s="1775" t="e">
        <f>H17-J11</f>
        <v>#REF!</v>
      </c>
      <c r="K14" s="1775" t="e">
        <f>I17-K11</f>
        <v>#REF!</v>
      </c>
    </row>
    <row r="15" spans="1:11" s="401" customFormat="1" ht="12.75" x14ac:dyDescent="0.2">
      <c r="A15" s="1107" t="s">
        <v>17</v>
      </c>
      <c r="B15" s="711" t="s">
        <v>1311</v>
      </c>
      <c r="C15" s="1108"/>
      <c r="D15" s="1108" t="e">
        <f>#REF!</f>
        <v>#REF!</v>
      </c>
      <c r="E15" s="1772" t="e">
        <f>D15-C15</f>
        <v>#REF!</v>
      </c>
      <c r="F15" s="1108"/>
      <c r="G15" s="1108"/>
      <c r="H15" s="1772"/>
      <c r="I15" s="1108"/>
    </row>
    <row r="16" spans="1:11" s="401" customFormat="1" ht="12.75" x14ac:dyDescent="0.2">
      <c r="A16" s="1107" t="s">
        <v>3</v>
      </c>
      <c r="B16" s="711" t="s">
        <v>39</v>
      </c>
      <c r="C16" s="1108">
        <f>C17+C24+C27</f>
        <v>5190937</v>
      </c>
      <c r="D16" s="1108" t="e">
        <f>D17+D24+D27</f>
        <v>#REF!</v>
      </c>
      <c r="E16" s="1772" t="e">
        <f t="shared" ref="E16:E26" si="1">D16-C16</f>
        <v>#REF!</v>
      </c>
      <c r="F16" s="1108" t="e">
        <f t="shared" ref="F16:F26" si="2">D16/C16*100</f>
        <v>#REF!</v>
      </c>
      <c r="G16" s="1108" t="e">
        <f>G17+G24+G27</f>
        <v>#REF!</v>
      </c>
      <c r="H16" s="1772">
        <f>H17+H24+H27</f>
        <v>5322584</v>
      </c>
      <c r="I16" s="1108">
        <f>I17+I24+I27</f>
        <v>5705941</v>
      </c>
      <c r="J16" s="1775" t="e">
        <f>H16-H7</f>
        <v>#REF!</v>
      </c>
      <c r="K16" s="1776" t="e">
        <f>I16-I7</f>
        <v>#REF!</v>
      </c>
    </row>
    <row r="17" spans="1:10" s="401" customFormat="1" ht="12.75" x14ac:dyDescent="0.2">
      <c r="A17" s="1107" t="s">
        <v>9</v>
      </c>
      <c r="B17" s="711" t="s">
        <v>130</v>
      </c>
      <c r="C17" s="1108">
        <f>SUM(C18:C23)</f>
        <v>3478898</v>
      </c>
      <c r="D17" s="1108">
        <f>SUM(D18:D23)</f>
        <v>3527359</v>
      </c>
      <c r="E17" s="1772">
        <f t="shared" si="1"/>
        <v>48461</v>
      </c>
      <c r="F17" s="1108">
        <f t="shared" si="2"/>
        <v>101.39299858748375</v>
      </c>
      <c r="G17" s="1108" t="e">
        <f>SUM(G18:G23)</f>
        <v>#REF!</v>
      </c>
      <c r="H17" s="1772">
        <f>SUM(H18:H23)</f>
        <v>3904825</v>
      </c>
      <c r="I17" s="1108">
        <f>SUM(I18:I23)</f>
        <v>4297522</v>
      </c>
    </row>
    <row r="18" spans="1:10" s="111" customFormat="1" ht="12.75" x14ac:dyDescent="0.2">
      <c r="A18" s="108">
        <v>1</v>
      </c>
      <c r="B18" s="109" t="s">
        <v>326</v>
      </c>
      <c r="C18" s="1773">
        <f>'Biểu 12'!C20</f>
        <v>493390</v>
      </c>
      <c r="D18" s="1773">
        <f>'Biểu 03'!E10</f>
        <v>558773</v>
      </c>
      <c r="E18" s="1774">
        <f t="shared" si="1"/>
        <v>65383</v>
      </c>
      <c r="F18" s="1773">
        <f t="shared" si="2"/>
        <v>113.25178864589877</v>
      </c>
      <c r="G18" s="1773" t="e">
        <f>#REF!</f>
        <v>#REF!</v>
      </c>
      <c r="H18" s="1774">
        <f>'03N Biểu 11'!F14</f>
        <v>221645</v>
      </c>
      <c r="I18" s="1773">
        <f>'03N Biểu 11'!G14</f>
        <v>457238</v>
      </c>
    </row>
    <row r="19" spans="1:10" s="111" customFormat="1" ht="12.75" x14ac:dyDescent="0.2">
      <c r="A19" s="108">
        <v>2</v>
      </c>
      <c r="B19" s="109" t="s">
        <v>19</v>
      </c>
      <c r="C19" s="1773">
        <f>'Biểu 12'!C21</f>
        <v>2906780</v>
      </c>
      <c r="D19" s="1773">
        <f>'Biểu 03'!E37</f>
        <v>2967088</v>
      </c>
      <c r="E19" s="1774">
        <f t="shared" si="1"/>
        <v>60308</v>
      </c>
      <c r="F19" s="1773">
        <f t="shared" si="2"/>
        <v>102.07473561810663</v>
      </c>
      <c r="G19" s="1773" t="e">
        <f>#REF!</f>
        <v>#REF!</v>
      </c>
      <c r="H19" s="1774">
        <f>3836563-H18-H21-H22+68262-H20</f>
        <v>3583716</v>
      </c>
      <c r="I19" s="1773">
        <f>4249284-I18-I22-I21-I20+48238</f>
        <v>3729402</v>
      </c>
    </row>
    <row r="20" spans="1:10" s="111" customFormat="1" ht="25.5" x14ac:dyDescent="0.2">
      <c r="A20" s="108" t="s">
        <v>1312</v>
      </c>
      <c r="B20" s="109" t="s">
        <v>278</v>
      </c>
      <c r="C20" s="1773">
        <f>'Biểu 12'!C22</f>
        <v>548</v>
      </c>
      <c r="D20" s="1773">
        <f>'Biểu 03'!E52</f>
        <v>498</v>
      </c>
      <c r="E20" s="1774"/>
      <c r="F20" s="1773"/>
      <c r="G20" s="1773" t="e">
        <f>#REF!</f>
        <v>#REF!</v>
      </c>
      <c r="H20" s="1774">
        <v>2550</v>
      </c>
      <c r="I20" s="1773">
        <v>3650</v>
      </c>
      <c r="J20" s="1777"/>
    </row>
    <row r="21" spans="1:10" s="111" customFormat="1" ht="12.75" x14ac:dyDescent="0.2">
      <c r="A21" s="108">
        <v>4</v>
      </c>
      <c r="B21" s="109" t="s">
        <v>20</v>
      </c>
      <c r="C21" s="1773">
        <v>1000</v>
      </c>
      <c r="D21" s="1773">
        <v>1000</v>
      </c>
      <c r="E21" s="1774">
        <f t="shared" si="1"/>
        <v>0</v>
      </c>
      <c r="F21" s="1773">
        <f t="shared" si="2"/>
        <v>100</v>
      </c>
      <c r="G21" s="1773" t="e">
        <f>#REF!</f>
        <v>#REF!</v>
      </c>
      <c r="H21" s="1774">
        <v>1000</v>
      </c>
      <c r="I21" s="1773">
        <v>1000</v>
      </c>
    </row>
    <row r="22" spans="1:10" s="111" customFormat="1" ht="12.75" x14ac:dyDescent="0.2">
      <c r="A22" s="108">
        <v>5</v>
      </c>
      <c r="B22" s="109" t="s">
        <v>21</v>
      </c>
      <c r="C22" s="1773">
        <f>'Biểu 12'!C24</f>
        <v>77180</v>
      </c>
      <c r="D22" s="1773"/>
      <c r="E22" s="1774">
        <f t="shared" si="1"/>
        <v>-77180</v>
      </c>
      <c r="F22" s="1778">
        <v>0</v>
      </c>
      <c r="G22" s="1773" t="e">
        <f>#REF!</f>
        <v>#REF!</v>
      </c>
      <c r="H22" s="1774">
        <v>95914</v>
      </c>
      <c r="I22" s="1773">
        <v>106232</v>
      </c>
    </row>
    <row r="23" spans="1:10" s="111" customFormat="1" ht="12.75" x14ac:dyDescent="0.2">
      <c r="A23" s="108">
        <v>6</v>
      </c>
      <c r="B23" s="109" t="s">
        <v>40</v>
      </c>
      <c r="C23" s="1773"/>
      <c r="D23" s="1773"/>
      <c r="E23" s="1774"/>
      <c r="F23" s="1773"/>
      <c r="G23" s="1773"/>
      <c r="H23" s="1774"/>
      <c r="I23" s="1773"/>
    </row>
    <row r="24" spans="1:10" s="401" customFormat="1" ht="12.75" x14ac:dyDescent="0.2">
      <c r="A24" s="1107" t="s">
        <v>11</v>
      </c>
      <c r="B24" s="711" t="s">
        <v>247</v>
      </c>
      <c r="C24" s="1108">
        <f>C25+C26</f>
        <v>1712039</v>
      </c>
      <c r="D24" s="1108">
        <f>D25+D26</f>
        <v>1464456</v>
      </c>
      <c r="E24" s="1772">
        <f t="shared" si="1"/>
        <v>-247583</v>
      </c>
      <c r="F24" s="1108">
        <f t="shared" si="2"/>
        <v>85.538705601916774</v>
      </c>
      <c r="G24" s="1108" t="e">
        <f>G25+G26</f>
        <v>#REF!</v>
      </c>
      <c r="H24" s="1772">
        <f>H25+H26</f>
        <v>1417759</v>
      </c>
      <c r="I24" s="1108">
        <f>I25+I26</f>
        <v>1408419</v>
      </c>
    </row>
    <row r="25" spans="1:10" s="111" customFormat="1" ht="12.75" x14ac:dyDescent="0.2">
      <c r="A25" s="108">
        <v>1</v>
      </c>
      <c r="B25" s="109" t="s">
        <v>41</v>
      </c>
      <c r="C25" s="1773">
        <f>'Biểu 12'!C27</f>
        <v>338109</v>
      </c>
      <c r="D25" s="1773">
        <f>'Biểu 03'!E122</f>
        <v>382225</v>
      </c>
      <c r="E25" s="1774">
        <f t="shared" si="1"/>
        <v>44116</v>
      </c>
      <c r="F25" s="1773">
        <f t="shared" si="2"/>
        <v>113.04786326303056</v>
      </c>
      <c r="G25" s="1773" t="e">
        <f>#REF!</f>
        <v>#REF!</v>
      </c>
      <c r="H25" s="1774">
        <f>145292+'03N Biểu 11'!F37</f>
        <v>491917</v>
      </c>
      <c r="I25" s="1773">
        <f>156312+'03N Biểu 11'!G37</f>
        <v>416312</v>
      </c>
    </row>
    <row r="26" spans="1:10" s="111" customFormat="1" ht="12.75" x14ac:dyDescent="0.2">
      <c r="A26" s="108">
        <v>2</v>
      </c>
      <c r="B26" s="109" t="s">
        <v>42</v>
      </c>
      <c r="C26" s="1773">
        <f>'Biểu 12'!C28</f>
        <v>1373930</v>
      </c>
      <c r="D26" s="1773">
        <f>'Biểu 03'!E57</f>
        <v>1082231</v>
      </c>
      <c r="E26" s="1774">
        <f t="shared" si="1"/>
        <v>-291699</v>
      </c>
      <c r="F26" s="1773">
        <f t="shared" si="2"/>
        <v>78.769005698980294</v>
      </c>
      <c r="G26" s="1773" t="e">
        <f>#REF!</f>
        <v>#REF!</v>
      </c>
      <c r="H26" s="1774">
        <f>328930+'03N Biểu 11'!F49</f>
        <v>925842</v>
      </c>
      <c r="I26" s="1773">
        <f>361107+'03N Biểu 11'!G49</f>
        <v>992107</v>
      </c>
    </row>
    <row r="27" spans="1:10" s="111" customFormat="1" ht="12.75" x14ac:dyDescent="0.2">
      <c r="A27" s="1107" t="s">
        <v>14</v>
      </c>
      <c r="B27" s="711" t="s">
        <v>22</v>
      </c>
      <c r="C27" s="1773"/>
      <c r="D27" s="1773" t="e">
        <f>#REF!</f>
        <v>#REF!</v>
      </c>
      <c r="E27" s="1774"/>
      <c r="F27" s="1773"/>
      <c r="G27" s="1773"/>
      <c r="H27" s="1774"/>
      <c r="I27" s="1773"/>
    </row>
    <row r="28" spans="1:10" s="401" customFormat="1" ht="12.75" x14ac:dyDescent="0.2">
      <c r="A28" s="1107" t="s">
        <v>4</v>
      </c>
      <c r="B28" s="711" t="s">
        <v>1313</v>
      </c>
      <c r="C28" s="1108">
        <f>C16-C7</f>
        <v>17100</v>
      </c>
      <c r="D28" s="1108" t="e">
        <f>#REF!</f>
        <v>#REF!</v>
      </c>
      <c r="E28" s="1772" t="e">
        <f>D28-C28</f>
        <v>#REF!</v>
      </c>
      <c r="F28" s="1108" t="e">
        <f>D28*100/C28</f>
        <v>#REF!</v>
      </c>
      <c r="G28" s="1108" t="e">
        <f>#REF!</f>
        <v>#REF!</v>
      </c>
      <c r="H28" s="1772">
        <f>H36</f>
        <v>68262</v>
      </c>
      <c r="I28" s="1772">
        <f>I36</f>
        <v>48238</v>
      </c>
    </row>
    <row r="29" spans="1:10" s="401" customFormat="1" ht="12.75" x14ac:dyDescent="0.2">
      <c r="A29" s="1107" t="s">
        <v>193</v>
      </c>
      <c r="B29" s="711" t="s">
        <v>1314</v>
      </c>
      <c r="C29" s="1108"/>
      <c r="D29" s="1108"/>
      <c r="E29" s="1772">
        <f t="shared" ref="E29:E34" si="3">D29-C29</f>
        <v>0</v>
      </c>
      <c r="F29" s="1108"/>
      <c r="G29" s="1108"/>
      <c r="H29" s="1772"/>
      <c r="I29" s="1108"/>
    </row>
    <row r="30" spans="1:10" s="401" customFormat="1" ht="12.75" x14ac:dyDescent="0.2">
      <c r="A30" s="1107" t="s">
        <v>9</v>
      </c>
      <c r="B30" s="711" t="s">
        <v>1315</v>
      </c>
      <c r="C30" s="1108">
        <v>109002</v>
      </c>
      <c r="D30" s="1108">
        <v>109002</v>
      </c>
      <c r="E30" s="1772">
        <f t="shared" si="3"/>
        <v>0</v>
      </c>
      <c r="F30" s="1108">
        <f t="shared" ref="F30:F32" si="4">D30*100/C30</f>
        <v>100</v>
      </c>
      <c r="G30" s="1108">
        <f>'Biểu 18'!E9</f>
        <v>121035.6</v>
      </c>
      <c r="H30" s="1772">
        <f>('3 năm Thuế gửi'!G9+'3 năm Thuế gửi'!H9)*20%</f>
        <v>138743.72</v>
      </c>
      <c r="I30" s="1108">
        <f>('3 năm Thuế gửi'!J9+'3 năm Thuế gửi'!K9)*20%</f>
        <v>158206.424</v>
      </c>
    </row>
    <row r="31" spans="1:10" s="111" customFormat="1" ht="12.75" x14ac:dyDescent="0.2">
      <c r="A31" s="1107" t="s">
        <v>11</v>
      </c>
      <c r="B31" s="711" t="s">
        <v>1316</v>
      </c>
      <c r="C31" s="1773">
        <v>87109</v>
      </c>
      <c r="D31" s="1773">
        <v>87109</v>
      </c>
      <c r="E31" s="1772">
        <f t="shared" si="3"/>
        <v>0</v>
      </c>
      <c r="F31" s="1108"/>
      <c r="G31" s="1773">
        <f>'Biểu 18'!E11</f>
        <v>85909</v>
      </c>
      <c r="H31" s="1774">
        <f>G38</f>
        <v>102579</v>
      </c>
      <c r="I31" s="1773">
        <f>H38</f>
        <v>170841</v>
      </c>
    </row>
    <row r="32" spans="1:10" s="401" customFormat="1" ht="12.75" x14ac:dyDescent="0.2">
      <c r="A32" s="1107" t="s">
        <v>14</v>
      </c>
      <c r="B32" s="711" t="s">
        <v>1317</v>
      </c>
      <c r="C32" s="1108">
        <f>C33+C34</f>
        <v>36700</v>
      </c>
      <c r="D32" s="1108">
        <f>D33+D34</f>
        <v>36700</v>
      </c>
      <c r="E32" s="1772">
        <f t="shared" si="3"/>
        <v>0</v>
      </c>
      <c r="F32" s="1108">
        <f t="shared" si="4"/>
        <v>100</v>
      </c>
      <c r="G32" s="1108">
        <f>G33+G34</f>
        <v>33330</v>
      </c>
      <c r="H32" s="1772">
        <f t="shared" ref="H32:I32" si="5">H33+H34</f>
        <v>8700</v>
      </c>
      <c r="I32" s="1108">
        <f t="shared" si="5"/>
        <v>6100</v>
      </c>
    </row>
    <row r="33" spans="1:10" s="111" customFormat="1" ht="12.75" x14ac:dyDescent="0.2">
      <c r="A33" s="108">
        <v>1</v>
      </c>
      <c r="B33" s="1779" t="s">
        <v>224</v>
      </c>
      <c r="C33" s="1773">
        <f>'Biểu 12'!C32</f>
        <v>36700</v>
      </c>
      <c r="D33" s="1773">
        <v>35500</v>
      </c>
      <c r="E33" s="1774">
        <f t="shared" si="3"/>
        <v>-1200</v>
      </c>
      <c r="F33" s="1773">
        <f t="shared" ref="F33" si="6">D33/C33*100</f>
        <v>96.730245231607626</v>
      </c>
      <c r="G33" s="1773">
        <f>'Biểu 18'!E17</f>
        <v>33330</v>
      </c>
      <c r="H33" s="1774">
        <v>8700</v>
      </c>
      <c r="I33" s="1773">
        <v>6100</v>
      </c>
    </row>
    <row r="34" spans="1:10" s="111" customFormat="1" ht="12.75" x14ac:dyDescent="0.2">
      <c r="A34" s="108">
        <v>2</v>
      </c>
      <c r="B34" s="1779" t="s">
        <v>411</v>
      </c>
      <c r="C34" s="1773"/>
      <c r="D34" s="1773">
        <v>1200</v>
      </c>
      <c r="E34" s="1774">
        <f t="shared" si="3"/>
        <v>1200</v>
      </c>
      <c r="F34" s="1773"/>
      <c r="G34" s="1773"/>
      <c r="H34" s="1774"/>
      <c r="I34" s="108"/>
    </row>
    <row r="35" spans="1:10" s="401" customFormat="1" ht="12.75" x14ac:dyDescent="0.2">
      <c r="A35" s="1107" t="s">
        <v>15</v>
      </c>
      <c r="B35" s="711" t="s">
        <v>1318</v>
      </c>
      <c r="C35" s="1108">
        <f>C37+C36</f>
        <v>53800</v>
      </c>
      <c r="D35" s="1108">
        <f>D37</f>
        <v>35500</v>
      </c>
      <c r="E35" s="1772">
        <f>D35-C35</f>
        <v>-18300</v>
      </c>
      <c r="F35" s="1108">
        <f>D35*100/C35</f>
        <v>65.985130111524157</v>
      </c>
      <c r="G35" s="1108">
        <f>G37+G36</f>
        <v>50000</v>
      </c>
      <c r="H35" s="1772">
        <f t="shared" ref="H35:I35" si="7">H37+H36</f>
        <v>76962</v>
      </c>
      <c r="I35" s="1108">
        <f t="shared" si="7"/>
        <v>54338</v>
      </c>
    </row>
    <row r="36" spans="1:10" s="111" customFormat="1" ht="12.75" x14ac:dyDescent="0.2">
      <c r="A36" s="108">
        <v>1</v>
      </c>
      <c r="B36" s="109" t="s">
        <v>225</v>
      </c>
      <c r="C36" s="1773">
        <v>17100</v>
      </c>
      <c r="D36" s="108"/>
      <c r="E36" s="1774"/>
      <c r="F36" s="1773"/>
      <c r="G36" s="1773">
        <f>'Biểu 18'!E28</f>
        <v>16670</v>
      </c>
      <c r="H36" s="1774">
        <f>76962-8700</f>
        <v>68262</v>
      </c>
      <c r="I36" s="1773">
        <f>54338-I37</f>
        <v>48238</v>
      </c>
      <c r="J36" s="1777">
        <f>76962</f>
        <v>76962</v>
      </c>
    </row>
    <row r="37" spans="1:10" s="111" customFormat="1" ht="12.75" x14ac:dyDescent="0.2">
      <c r="A37" s="108">
        <v>2</v>
      </c>
      <c r="B37" s="109" t="s">
        <v>226</v>
      </c>
      <c r="C37" s="1773">
        <f>C33</f>
        <v>36700</v>
      </c>
      <c r="D37" s="1773">
        <v>35500</v>
      </c>
      <c r="E37" s="1774">
        <f t="shared" ref="E37" si="8">D37-C37</f>
        <v>-1200</v>
      </c>
      <c r="F37" s="1773">
        <f t="shared" ref="F37:F38" si="9">D37/C37*100</f>
        <v>96.730245231607626</v>
      </c>
      <c r="G37" s="1773">
        <f>'Biểu 18'!E29</f>
        <v>33330</v>
      </c>
      <c r="H37" s="1774">
        <f>H33</f>
        <v>8700</v>
      </c>
      <c r="I37" s="1773">
        <v>6100</v>
      </c>
      <c r="J37" s="1777">
        <f>J36-H37</f>
        <v>68262</v>
      </c>
    </row>
    <row r="38" spans="1:10" s="111" customFormat="1" ht="12.75" x14ac:dyDescent="0.2">
      <c r="A38" s="1780" t="s">
        <v>17</v>
      </c>
      <c r="B38" s="1781" t="s">
        <v>1319</v>
      </c>
      <c r="C38" s="1783">
        <v>104209</v>
      </c>
      <c r="D38" s="1783">
        <v>85909</v>
      </c>
      <c r="E38" s="1782"/>
      <c r="F38" s="1783">
        <f t="shared" si="9"/>
        <v>82.439136734830967</v>
      </c>
      <c r="G38" s="1783">
        <f>G31-G32+G35</f>
        <v>102579</v>
      </c>
      <c r="H38" s="1784">
        <f>H31-H32+H35</f>
        <v>170841</v>
      </c>
      <c r="I38" s="1783">
        <f>I31-I32+I35</f>
        <v>219079</v>
      </c>
    </row>
    <row r="39" spans="1:10" x14ac:dyDescent="0.25">
      <c r="A39" s="1203"/>
      <c r="B39" s="1203"/>
      <c r="C39" s="1204"/>
      <c r="D39" s="1204"/>
      <c r="E39" s="1203"/>
      <c r="F39" s="1203"/>
      <c r="G39" s="1203"/>
      <c r="H39" s="1205"/>
      <c r="I39" s="1203"/>
    </row>
    <row r="40" spans="1:10" x14ac:dyDescent="0.25">
      <c r="A40" s="1129"/>
      <c r="B40" s="1129"/>
      <c r="C40" s="1129"/>
      <c r="D40" s="1129"/>
      <c r="E40" s="1129"/>
      <c r="F40" s="1129"/>
      <c r="G40" s="1129"/>
      <c r="H40" s="1206"/>
      <c r="I40" s="1129"/>
    </row>
  </sheetData>
  <mergeCells count="11">
    <mergeCell ref="I4:I5"/>
    <mergeCell ref="A1:I1"/>
    <mergeCell ref="A2:I2"/>
    <mergeCell ref="H3:I3"/>
    <mergeCell ref="A4:A5"/>
    <mergeCell ref="B4:B5"/>
    <mergeCell ref="C4:C5"/>
    <mergeCell ref="D4:D5"/>
    <mergeCell ref="E4:F4"/>
    <mergeCell ref="G4:G5"/>
    <mergeCell ref="H4:H5"/>
  </mergeCells>
  <pageMargins left="0.67" right="0.25" top="0.53" bottom="0.52" header="0.3" footer="0.3"/>
  <pageSetup paperSize="9" firstPageNumber="56" fitToWidth="0" orientation="landscape" useFirstPageNumber="1" r:id="rId1"/>
  <headerFooter>
    <oddHeader>&amp;RBiểu mẫu số 07</oddHeader>
    <oddFooter>&amp;C&amp;P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AD67"/>
  <sheetViews>
    <sheetView workbookViewId="0">
      <pane xSplit="2" ySplit="6" topLeftCell="C7" activePane="bottomRight" state="frozen"/>
      <selection pane="topRight" activeCell="C1" sqref="C1"/>
      <selection pane="bottomLeft" activeCell="A7" sqref="A7"/>
      <selection pane="bottomRight" activeCell="AD23" sqref="AD23"/>
    </sheetView>
  </sheetViews>
  <sheetFormatPr defaultRowHeight="12.75" x14ac:dyDescent="0.2"/>
  <cols>
    <col min="1" max="1" width="4.625" style="357" customWidth="1"/>
    <col min="2" max="2" width="31.375" style="357" customWidth="1"/>
    <col min="3" max="3" width="8.125" style="357" customWidth="1"/>
    <col min="4" max="4" width="7.25" style="357" customWidth="1"/>
    <col min="5" max="5" width="7.625" style="357" customWidth="1"/>
    <col min="6" max="8" width="7.25" style="357" customWidth="1"/>
    <col min="9" max="9" width="7.5" style="357" hidden="1" customWidth="1"/>
    <col min="10" max="10" width="6.75" style="357" hidden="1" customWidth="1"/>
    <col min="11" max="11" width="6.625" style="357" hidden="1" customWidth="1"/>
    <col min="12" max="12" width="6.875" style="357" hidden="1" customWidth="1"/>
    <col min="13" max="13" width="6.625" style="357" hidden="1" customWidth="1"/>
    <col min="14" max="14" width="6.875" style="357" hidden="1" customWidth="1"/>
    <col min="15" max="15" width="7.625" style="357" hidden="1" customWidth="1"/>
    <col min="16" max="16" width="7.375" style="357" hidden="1" customWidth="1"/>
    <col min="17" max="17" width="6.875" style="357" hidden="1" customWidth="1"/>
    <col min="18" max="18" width="7.875" style="357" hidden="1" customWidth="1"/>
    <col min="19" max="19" width="7.75" style="357" hidden="1" customWidth="1"/>
    <col min="20" max="20" width="7.375" style="357" hidden="1" customWidth="1"/>
    <col min="21" max="21" width="7.625" style="357" hidden="1" customWidth="1"/>
    <col min="22" max="23" width="7.875" style="357" hidden="1" customWidth="1"/>
    <col min="24" max="24" width="7" style="357" hidden="1" customWidth="1"/>
    <col min="25" max="25" width="10.125" style="357" hidden="1" customWidth="1"/>
    <col min="26" max="26" width="9.5" style="357" hidden="1" customWidth="1"/>
    <col min="27" max="27" width="10.875" style="357" hidden="1" customWidth="1"/>
    <col min="28" max="28" width="10.125" style="357" bestFit="1" customWidth="1"/>
    <col min="29" max="16384" width="9" style="357"/>
  </cols>
  <sheetData>
    <row r="1" spans="1:30" ht="23.25" customHeight="1" x14ac:dyDescent="0.2">
      <c r="A1" s="1997" t="s">
        <v>1432</v>
      </c>
      <c r="B1" s="1997"/>
      <c r="C1" s="1997"/>
      <c r="D1" s="1997"/>
      <c r="E1" s="1997"/>
      <c r="F1" s="1997"/>
      <c r="G1" s="1997"/>
      <c r="H1" s="1997"/>
      <c r="I1" s="1997"/>
      <c r="J1" s="1997"/>
      <c r="K1" s="1997"/>
      <c r="L1" s="1997"/>
      <c r="M1" s="1997"/>
      <c r="N1" s="1997"/>
      <c r="O1" s="1997"/>
      <c r="P1" s="1997"/>
      <c r="Q1" s="1997"/>
      <c r="R1" s="1997"/>
      <c r="S1" s="1997"/>
      <c r="T1" s="1997"/>
      <c r="U1" s="1997"/>
      <c r="V1" s="1997"/>
      <c r="W1" s="1997"/>
      <c r="X1" s="1997"/>
      <c r="Y1" s="1997"/>
      <c r="Z1" s="1997"/>
      <c r="AA1" s="1997"/>
    </row>
    <row r="2" spans="1:30" ht="18.75" customHeight="1" x14ac:dyDescent="0.2">
      <c r="A2" s="1998" t="e">
        <f>#REF!</f>
        <v>#REF!</v>
      </c>
      <c r="B2" s="1999"/>
      <c r="C2" s="1999"/>
      <c r="D2" s="1999"/>
      <c r="E2" s="1999"/>
      <c r="F2" s="1999"/>
      <c r="G2" s="1999"/>
      <c r="H2" s="1999"/>
      <c r="I2" s="1999"/>
      <c r="J2" s="1999"/>
      <c r="K2" s="1999"/>
      <c r="L2" s="1999"/>
      <c r="M2" s="1999"/>
      <c r="N2" s="1999"/>
      <c r="O2" s="1999"/>
      <c r="P2" s="1999"/>
      <c r="Q2" s="1999"/>
      <c r="R2" s="1999"/>
      <c r="S2" s="1999"/>
      <c r="T2" s="1999"/>
      <c r="U2" s="1999"/>
      <c r="V2" s="1999"/>
      <c r="W2" s="1999"/>
      <c r="X2" s="1999"/>
      <c r="Y2" s="1999"/>
      <c r="Z2" s="1999"/>
      <c r="AA2" s="1999"/>
    </row>
    <row r="3" spans="1:30" ht="17.25" customHeight="1" x14ac:dyDescent="0.2">
      <c r="A3" s="1079"/>
      <c r="G3" s="2000" t="s">
        <v>6</v>
      </c>
      <c r="H3" s="2000"/>
    </row>
    <row r="4" spans="1:30" ht="33" customHeight="1" x14ac:dyDescent="0.2">
      <c r="A4" s="2003" t="s">
        <v>0</v>
      </c>
      <c r="B4" s="2003" t="s">
        <v>1</v>
      </c>
      <c r="C4" s="2001" t="s">
        <v>1255</v>
      </c>
      <c r="D4" s="2002"/>
      <c r="E4" s="2003" t="s">
        <v>1268</v>
      </c>
      <c r="F4" s="2003"/>
      <c r="G4" s="2003" t="s">
        <v>43</v>
      </c>
      <c r="H4" s="2003"/>
      <c r="I4" s="1994" t="s">
        <v>148</v>
      </c>
      <c r="J4" s="1994"/>
      <c r="K4" s="1994" t="s">
        <v>149</v>
      </c>
      <c r="L4" s="1994"/>
      <c r="M4" s="1994" t="s">
        <v>385</v>
      </c>
      <c r="N4" s="1994"/>
      <c r="O4" s="1994" t="s">
        <v>151</v>
      </c>
      <c r="P4" s="1994"/>
      <c r="Q4" s="1994" t="s">
        <v>152</v>
      </c>
      <c r="R4" s="1994"/>
      <c r="S4" s="1994" t="s">
        <v>153</v>
      </c>
      <c r="T4" s="1994"/>
      <c r="U4" s="1994" t="s">
        <v>154</v>
      </c>
      <c r="V4" s="1994"/>
      <c r="W4" s="1994" t="s">
        <v>155</v>
      </c>
      <c r="X4" s="1994"/>
      <c r="Y4" s="1995" t="s">
        <v>559</v>
      </c>
      <c r="Z4" s="1996"/>
      <c r="AA4" s="993" t="s">
        <v>577</v>
      </c>
    </row>
    <row r="5" spans="1:30" ht="38.25" x14ac:dyDescent="0.2">
      <c r="A5" s="2003"/>
      <c r="B5" s="2003"/>
      <c r="C5" s="1080" t="s">
        <v>227</v>
      </c>
      <c r="D5" s="1080" t="s">
        <v>228</v>
      </c>
      <c r="E5" s="1080" t="s">
        <v>227</v>
      </c>
      <c r="F5" s="1080" t="s">
        <v>228</v>
      </c>
      <c r="G5" s="1080" t="s">
        <v>227</v>
      </c>
      <c r="H5" s="1080" t="s">
        <v>228</v>
      </c>
      <c r="I5" s="1080" t="s">
        <v>227</v>
      </c>
      <c r="J5" s="1080" t="s">
        <v>228</v>
      </c>
      <c r="K5" s="1080" t="s">
        <v>227</v>
      </c>
      <c r="L5" s="1080" t="s">
        <v>228</v>
      </c>
      <c r="M5" s="1080" t="s">
        <v>227</v>
      </c>
      <c r="N5" s="1080" t="s">
        <v>228</v>
      </c>
      <c r="O5" s="1080" t="s">
        <v>227</v>
      </c>
      <c r="P5" s="1080" t="s">
        <v>228</v>
      </c>
      <c r="Q5" s="1080" t="s">
        <v>227</v>
      </c>
      <c r="R5" s="1080" t="s">
        <v>228</v>
      </c>
      <c r="S5" s="1080" t="s">
        <v>227</v>
      </c>
      <c r="T5" s="1080" t="s">
        <v>228</v>
      </c>
      <c r="U5" s="1080" t="s">
        <v>227</v>
      </c>
      <c r="V5" s="1080" t="s">
        <v>228</v>
      </c>
      <c r="W5" s="1080" t="s">
        <v>227</v>
      </c>
      <c r="X5" s="1080" t="s">
        <v>228</v>
      </c>
      <c r="Y5" s="1080" t="s">
        <v>227</v>
      </c>
      <c r="Z5" s="1080" t="s">
        <v>228</v>
      </c>
      <c r="AA5" s="1080" t="s">
        <v>227</v>
      </c>
    </row>
    <row r="6" spans="1:30" x14ac:dyDescent="0.2">
      <c r="A6" s="1080" t="s">
        <v>2</v>
      </c>
      <c r="B6" s="1080" t="s">
        <v>3</v>
      </c>
      <c r="C6" s="1080">
        <v>1</v>
      </c>
      <c r="D6" s="1080">
        <v>2</v>
      </c>
      <c r="E6" s="1080">
        <v>3</v>
      </c>
      <c r="F6" s="1080">
        <v>4</v>
      </c>
      <c r="G6" s="1080">
        <v>5</v>
      </c>
      <c r="H6" s="1080">
        <v>6</v>
      </c>
      <c r="I6" s="1080">
        <v>9</v>
      </c>
      <c r="J6" s="1080">
        <v>10</v>
      </c>
      <c r="K6" s="1080">
        <v>11</v>
      </c>
      <c r="L6" s="1080">
        <v>12</v>
      </c>
      <c r="M6" s="1080">
        <v>13</v>
      </c>
      <c r="N6" s="1080">
        <v>14</v>
      </c>
      <c r="O6" s="1080">
        <v>15</v>
      </c>
      <c r="P6" s="1080">
        <v>16</v>
      </c>
      <c r="Q6" s="1080">
        <v>17</v>
      </c>
      <c r="R6" s="1080">
        <v>18</v>
      </c>
      <c r="S6" s="1080">
        <v>19</v>
      </c>
      <c r="T6" s="1080">
        <v>20</v>
      </c>
      <c r="U6" s="1080">
        <v>21</v>
      </c>
      <c r="V6" s="1080">
        <v>22</v>
      </c>
      <c r="W6" s="1080">
        <v>23</v>
      </c>
      <c r="X6" s="1080">
        <v>24</v>
      </c>
      <c r="Y6" s="1080">
        <v>25</v>
      </c>
      <c r="Z6" s="1080">
        <v>26</v>
      </c>
      <c r="AA6" s="1080">
        <v>27</v>
      </c>
    </row>
    <row r="7" spans="1:30" s="1086" customFormat="1" ht="21" customHeight="1" x14ac:dyDescent="0.2">
      <c r="A7" s="1081"/>
      <c r="B7" s="1081" t="s">
        <v>229</v>
      </c>
      <c r="C7" s="1082">
        <f>C8+C50+C51+C58</f>
        <v>611466</v>
      </c>
      <c r="D7" s="1083">
        <f>D8+D50+D51+D58</f>
        <v>547365</v>
      </c>
      <c r="E7" s="1082">
        <f>E8+E50+E51+E58</f>
        <v>700000</v>
      </c>
      <c r="F7" s="1082">
        <f>F8+F50+F51+F58</f>
        <v>606528</v>
      </c>
      <c r="G7" s="1084">
        <f>E7/C7</f>
        <v>1.144789734833989</v>
      </c>
      <c r="H7" s="1084">
        <f>F7/D7</f>
        <v>1.1080869255432846</v>
      </c>
      <c r="I7" s="1085" t="e">
        <f t="shared" ref="I7:AA7" si="0">I8+I50+I51+I58</f>
        <v>#REF!</v>
      </c>
      <c r="J7" s="1085" t="e">
        <f t="shared" si="0"/>
        <v>#REF!</v>
      </c>
      <c r="K7" s="1085" t="e">
        <f t="shared" si="0"/>
        <v>#REF!</v>
      </c>
      <c r="L7" s="1085" t="e">
        <f t="shared" si="0"/>
        <v>#REF!</v>
      </c>
      <c r="M7" s="1085" t="e">
        <f t="shared" si="0"/>
        <v>#REF!</v>
      </c>
      <c r="N7" s="1085" t="e">
        <f t="shared" si="0"/>
        <v>#REF!</v>
      </c>
      <c r="O7" s="1085" t="e">
        <f t="shared" si="0"/>
        <v>#REF!</v>
      </c>
      <c r="P7" s="1085" t="e">
        <f t="shared" si="0"/>
        <v>#REF!</v>
      </c>
      <c r="Q7" s="1085" t="e">
        <f t="shared" si="0"/>
        <v>#REF!</v>
      </c>
      <c r="R7" s="1085" t="e">
        <f t="shared" si="0"/>
        <v>#REF!</v>
      </c>
      <c r="S7" s="1085" t="e">
        <f t="shared" si="0"/>
        <v>#REF!</v>
      </c>
      <c r="T7" s="1085" t="e">
        <f t="shared" si="0"/>
        <v>#REF!</v>
      </c>
      <c r="U7" s="1085" t="e">
        <f t="shared" si="0"/>
        <v>#REF!</v>
      </c>
      <c r="V7" s="1085" t="e">
        <f t="shared" si="0"/>
        <v>#REF!</v>
      </c>
      <c r="W7" s="1085" t="e">
        <f t="shared" si="0"/>
        <v>#REF!</v>
      </c>
      <c r="X7" s="1085" t="e">
        <f t="shared" si="0"/>
        <v>#REF!</v>
      </c>
      <c r="Y7" s="1085" t="e">
        <f t="shared" si="0"/>
        <v>#REF!</v>
      </c>
      <c r="Z7" s="1085" t="e">
        <f t="shared" si="0"/>
        <v>#REF!</v>
      </c>
      <c r="AA7" s="1085">
        <f t="shared" si="0"/>
        <v>1000</v>
      </c>
    </row>
    <row r="8" spans="1:30" s="1086" customFormat="1" x14ac:dyDescent="0.2">
      <c r="A8" s="1087" t="s">
        <v>9</v>
      </c>
      <c r="B8" s="1088" t="s">
        <v>7</v>
      </c>
      <c r="C8" s="1089">
        <f>C9+C14+C20+C24+C30+C31+C32+C33+C34+C35+C38+C41+C46+C47+C48+C49</f>
        <v>609666</v>
      </c>
      <c r="D8" s="1089">
        <f t="shared" ref="D8:F8" si="1">D9+D14+D20+D24+D30+D31+D32+D33+D34+D35+D38+D41+D46+D47+D48+D49</f>
        <v>547365</v>
      </c>
      <c r="E8" s="1089">
        <f t="shared" si="1"/>
        <v>697000</v>
      </c>
      <c r="F8" s="1089">
        <f t="shared" si="1"/>
        <v>606528</v>
      </c>
      <c r="G8" s="1092">
        <f t="shared" ref="G8:G51" si="2">E8/C8</f>
        <v>1.1432489264613739</v>
      </c>
      <c r="H8" s="1092">
        <f t="shared" ref="H8:H58" si="3">F8/D8</f>
        <v>1.1080869255432846</v>
      </c>
      <c r="I8" s="1091" t="e">
        <f>I9+I14+I20+I24+I30+I31+I32+I33+I34+#REF!+I35+I38+I41+I46+I47+I48+I49</f>
        <v>#REF!</v>
      </c>
      <c r="J8" s="1091" t="e">
        <f>J9+J14+J20+J24+J30+J31+J32+J33+J34+#REF!+J35+J38+J41+J46+J47+J48+J49</f>
        <v>#REF!</v>
      </c>
      <c r="K8" s="1091" t="e">
        <f>K9+K14+K20+K24+K30+K31+K32+K33+K34+#REF!+K35+K38+K41+K46+K47+K48+K49</f>
        <v>#REF!</v>
      </c>
      <c r="L8" s="1091" t="e">
        <f>L9+L14+L20+L24+L30+L31+L32+L33+L34+#REF!+L35+L38+L41+L46+L47+L48+L49</f>
        <v>#REF!</v>
      </c>
      <c r="M8" s="1091" t="e">
        <f>M9+M14+M20+M24+M30+M31+M32+M33+M34+#REF!+M35+M38+M41+M46+M47+M48+M49</f>
        <v>#REF!</v>
      </c>
      <c r="N8" s="1091" t="e">
        <f>N9+N14+N20+N24+N30+N31+N32+N33+N34+#REF!+N35+N38+N41+N46+N47+N48+N49</f>
        <v>#REF!</v>
      </c>
      <c r="O8" s="1091" t="e">
        <f>O9+O14+O20+O24+O30+O31+O32+O33+O34+#REF!+O35+O38+O41+O46+O47+O48+O49</f>
        <v>#REF!</v>
      </c>
      <c r="P8" s="1091" t="e">
        <f>P9+P14+P20+P24+P30+P31+P32+P33+P34+#REF!+P35+P38+P41+P46+P47+P48+P49</f>
        <v>#REF!</v>
      </c>
      <c r="Q8" s="1091" t="e">
        <f>Q9+Q14+Q20+Q24+Q30+Q31+Q32+Q33+Q34+#REF!+Q35+Q38+Q41+Q46+Q47+Q48+Q49</f>
        <v>#REF!</v>
      </c>
      <c r="R8" s="1091" t="e">
        <f>R9+R14+R20+R24+R30+R31+R32+R33+R34+#REF!+R35+R38+R41+R46+R47+R48+R49</f>
        <v>#REF!</v>
      </c>
      <c r="S8" s="1091" t="e">
        <f>S9+S14+S20+S24+S30+S31+S32+S33+S34+#REF!+S35+S38+S41+S46+S47+S48+S49</f>
        <v>#REF!</v>
      </c>
      <c r="T8" s="1091" t="e">
        <f>T9+T14+T20+T24+T30+T31+T32+T33+T34+#REF!+T35+T38+T41+T46+T47+T48+T49</f>
        <v>#REF!</v>
      </c>
      <c r="U8" s="1091" t="e">
        <f>U9+U14+U20+U24+U30+U31+U32+U33+U34+#REF!+U35+U38+U41+U46+U47+U48+U49</f>
        <v>#REF!</v>
      </c>
      <c r="V8" s="1091" t="e">
        <f>V9+V14+V20+V24+V30+V31+V32+V33+V34+#REF!+V35+V38+V41+V46+V47+V48+V49</f>
        <v>#REF!</v>
      </c>
      <c r="W8" s="1091" t="e">
        <f>W9+W14+W20+W24+W30+W31+W32+W33+W34+#REF!+W35+W38+W41+W46+W47+W48+W49</f>
        <v>#REF!</v>
      </c>
      <c r="X8" s="1091" t="e">
        <f>X9+X14+X20+X24+X30+X31+X32+X33+X34+#REF!+X35+X38+X41+X46+X47+X48+X49</f>
        <v>#REF!</v>
      </c>
      <c r="Y8" s="1091" t="e">
        <f>Y9+Y14+Y20+Y24+Y30+Y31+Y32+Y33+Y34+#REF!+Y35+Y38+Y41+Y46+Y47+Y48+Y49</f>
        <v>#REF!</v>
      </c>
      <c r="Z8" s="1091" t="e">
        <f>Z9+Z14+Z20+Z24+Z30+Z31+Z32+Z33+Z34+#REF!+Z35+Z38+Z41+Z46+Z47+Z48+Z49</f>
        <v>#REF!</v>
      </c>
      <c r="AA8" s="1091"/>
      <c r="AB8" s="1093"/>
      <c r="AC8" s="1093"/>
    </row>
    <row r="9" spans="1:30" s="1086" customFormat="1" ht="30" customHeight="1" x14ac:dyDescent="0.2">
      <c r="A9" s="1087">
        <v>1</v>
      </c>
      <c r="B9" s="1088" t="s">
        <v>560</v>
      </c>
      <c r="C9" s="1089">
        <f t="shared" ref="C9:E9" si="4">SUM(C10:C13)</f>
        <v>88165</v>
      </c>
      <c r="D9" s="1090">
        <f t="shared" si="4"/>
        <v>88165</v>
      </c>
      <c r="E9" s="1091">
        <f t="shared" si="4"/>
        <v>90400</v>
      </c>
      <c r="F9" s="1091">
        <f t="shared" ref="F9" si="5">SUM(F10:F12)</f>
        <v>90400</v>
      </c>
      <c r="G9" s="1092">
        <f t="shared" si="2"/>
        <v>1.0253501956558726</v>
      </c>
      <c r="H9" s="1092">
        <f t="shared" si="3"/>
        <v>1.0253501956558726</v>
      </c>
      <c r="I9" s="1091">
        <f>SUM(I10:I12)</f>
        <v>600</v>
      </c>
      <c r="J9" s="1091">
        <f t="shared" ref="J9:Z9" si="6">SUM(J10:J12)</f>
        <v>0</v>
      </c>
      <c r="K9" s="1091">
        <f t="shared" si="6"/>
        <v>60</v>
      </c>
      <c r="L9" s="1091">
        <f t="shared" si="6"/>
        <v>0</v>
      </c>
      <c r="M9" s="1091">
        <f t="shared" si="6"/>
        <v>850</v>
      </c>
      <c r="N9" s="1091">
        <f t="shared" si="6"/>
        <v>0</v>
      </c>
      <c r="O9" s="1091">
        <f t="shared" si="6"/>
        <v>19020</v>
      </c>
      <c r="P9" s="1091">
        <f t="shared" si="6"/>
        <v>18800</v>
      </c>
      <c r="Q9" s="1091">
        <f t="shared" si="6"/>
        <v>200</v>
      </c>
      <c r="R9" s="1091">
        <f t="shared" si="6"/>
        <v>0</v>
      </c>
      <c r="S9" s="1091">
        <f t="shared" si="6"/>
        <v>570</v>
      </c>
      <c r="T9" s="1091">
        <f t="shared" si="6"/>
        <v>0</v>
      </c>
      <c r="U9" s="1091">
        <f t="shared" si="6"/>
        <v>1400</v>
      </c>
      <c r="V9" s="1091">
        <f t="shared" si="6"/>
        <v>1200</v>
      </c>
      <c r="W9" s="1091">
        <f t="shared" si="6"/>
        <v>70</v>
      </c>
      <c r="X9" s="1091">
        <f t="shared" si="6"/>
        <v>0</v>
      </c>
      <c r="Y9" s="1091">
        <f t="shared" si="6"/>
        <v>47230</v>
      </c>
      <c r="Z9" s="1091">
        <f t="shared" si="6"/>
        <v>68400</v>
      </c>
      <c r="AA9" s="1091"/>
      <c r="AB9" s="1085">
        <f>525010</f>
        <v>525010</v>
      </c>
      <c r="AC9" s="1093" t="e">
        <f>Z7+F7</f>
        <v>#REF!</v>
      </c>
    </row>
    <row r="10" spans="1:30" x14ac:dyDescent="0.2">
      <c r="A10" s="1094"/>
      <c r="B10" s="103" t="s">
        <v>561</v>
      </c>
      <c r="C10" s="1095">
        <f>'Biểu 13'!E11</f>
        <v>1119</v>
      </c>
      <c r="D10" s="1095">
        <f>'Biểu 13'!F11</f>
        <v>1119</v>
      </c>
      <c r="E10" s="1095">
        <f>'Biểu số 48'!C11</f>
        <v>1200</v>
      </c>
      <c r="F10" s="1095">
        <f>'Biểu số 48'!D11</f>
        <v>1200</v>
      </c>
      <c r="G10" s="1096">
        <f t="shared" si="2"/>
        <v>1.0723860589812333</v>
      </c>
      <c r="H10" s="1096">
        <f t="shared" si="3"/>
        <v>1.0723860589812333</v>
      </c>
      <c r="I10" s="1097">
        <v>0</v>
      </c>
      <c r="J10" s="1097"/>
      <c r="K10" s="1097">
        <v>0</v>
      </c>
      <c r="L10" s="1097"/>
      <c r="M10" s="1097">
        <v>0</v>
      </c>
      <c r="N10" s="1097"/>
      <c r="O10" s="1097">
        <v>0</v>
      </c>
      <c r="P10" s="1097"/>
      <c r="Q10" s="1097">
        <v>0</v>
      </c>
      <c r="R10" s="1097"/>
      <c r="S10" s="1097">
        <v>0</v>
      </c>
      <c r="T10" s="1097"/>
      <c r="U10" s="1097">
        <v>0</v>
      </c>
      <c r="V10" s="1097"/>
      <c r="W10" s="1097">
        <v>0</v>
      </c>
      <c r="X10" s="1097"/>
      <c r="Y10" s="1097">
        <v>1000</v>
      </c>
      <c r="Z10" s="1097">
        <f>E10</f>
        <v>1200</v>
      </c>
      <c r="AA10" s="1097"/>
      <c r="AB10" s="357">
        <v>535330</v>
      </c>
    </row>
    <row r="11" spans="1:30" x14ac:dyDescent="0.2">
      <c r="A11" s="1094"/>
      <c r="B11" s="103" t="s">
        <v>562</v>
      </c>
      <c r="C11" s="1095">
        <f>'Biểu 13'!E12</f>
        <v>21840</v>
      </c>
      <c r="D11" s="1095">
        <f>'Biểu 13'!F12</f>
        <v>21840</v>
      </c>
      <c r="E11" s="1095">
        <f>'Biểu số 48'!C12</f>
        <v>22000</v>
      </c>
      <c r="F11" s="1095">
        <f>'Biểu số 48'!D12</f>
        <v>22000</v>
      </c>
      <c r="G11" s="1096">
        <f t="shared" si="2"/>
        <v>1.0073260073260073</v>
      </c>
      <c r="H11" s="1096">
        <f t="shared" si="3"/>
        <v>1.0073260073260073</v>
      </c>
      <c r="I11" s="1097">
        <v>0</v>
      </c>
      <c r="J11" s="1097">
        <v>0</v>
      </c>
      <c r="K11" s="1097">
        <v>0</v>
      </c>
      <c r="L11" s="1097">
        <v>0</v>
      </c>
      <c r="M11" s="1097">
        <v>0</v>
      </c>
      <c r="N11" s="1097">
        <v>0</v>
      </c>
      <c r="O11" s="1097">
        <v>18800</v>
      </c>
      <c r="P11" s="1097">
        <v>18800</v>
      </c>
      <c r="Q11" s="1097">
        <v>0</v>
      </c>
      <c r="R11" s="1097">
        <v>0</v>
      </c>
      <c r="S11" s="1097">
        <v>0</v>
      </c>
      <c r="T11" s="1097">
        <v>0</v>
      </c>
      <c r="U11" s="1097">
        <v>1200</v>
      </c>
      <c r="V11" s="1097">
        <v>1200</v>
      </c>
      <c r="W11" s="1097">
        <v>0</v>
      </c>
      <c r="X11" s="1097">
        <v>0</v>
      </c>
      <c r="Y11" s="1097">
        <v>0</v>
      </c>
      <c r="Z11" s="1097"/>
      <c r="AA11" s="1097"/>
      <c r="AB11" s="1098">
        <f>AB10-AB9</f>
        <v>10320</v>
      </c>
      <c r="AC11" s="1098">
        <f>D11+D13+D16+D19+D26+D28+D29+D35+D41+D46+D47+D48+D49</f>
        <v>186148</v>
      </c>
    </row>
    <row r="12" spans="1:30" x14ac:dyDescent="0.2">
      <c r="A12" s="1094"/>
      <c r="B12" s="103" t="s">
        <v>563</v>
      </c>
      <c r="C12" s="1095">
        <f>'Biểu 13'!E13</f>
        <v>65206</v>
      </c>
      <c r="D12" s="1095">
        <f>'Biểu 13'!F13</f>
        <v>65206</v>
      </c>
      <c r="E12" s="1095">
        <f>'Biểu số 48'!C13</f>
        <v>67200</v>
      </c>
      <c r="F12" s="1095">
        <f>'Biểu số 48'!D13</f>
        <v>67200</v>
      </c>
      <c r="G12" s="1096">
        <f t="shared" si="2"/>
        <v>1.0305800079747263</v>
      </c>
      <c r="H12" s="1096">
        <f t="shared" si="3"/>
        <v>1.0305800079747263</v>
      </c>
      <c r="I12" s="1097">
        <v>600</v>
      </c>
      <c r="J12" s="1097"/>
      <c r="K12" s="1097">
        <v>60</v>
      </c>
      <c r="L12" s="1097"/>
      <c r="M12" s="1097">
        <v>850</v>
      </c>
      <c r="N12" s="1097"/>
      <c r="O12" s="1097">
        <v>220</v>
      </c>
      <c r="P12" s="1097"/>
      <c r="Q12" s="1097">
        <v>200</v>
      </c>
      <c r="R12" s="1097"/>
      <c r="S12" s="1097">
        <v>570</v>
      </c>
      <c r="T12" s="1097"/>
      <c r="U12" s="1097">
        <v>200</v>
      </c>
      <c r="V12" s="1097"/>
      <c r="W12" s="1097">
        <v>70</v>
      </c>
      <c r="X12" s="1097"/>
      <c r="Y12" s="1097">
        <v>46230</v>
      </c>
      <c r="Z12" s="1097">
        <f>E12</f>
        <v>67200</v>
      </c>
      <c r="AA12" s="1097"/>
      <c r="AC12" s="1098" t="e">
        <f>D10+D12+D15+D17+D21+D22+D25+D27+D30+D31+D32+D33+D34+#REF!+D38</f>
        <v>#REF!</v>
      </c>
      <c r="AD12" s="1098" t="e">
        <f>AC11+AC12-D8</f>
        <v>#REF!</v>
      </c>
    </row>
    <row r="13" spans="1:30" ht="15" customHeight="1" x14ac:dyDescent="0.2">
      <c r="A13" s="1094"/>
      <c r="B13" s="103" t="s">
        <v>564</v>
      </c>
      <c r="C13" s="1095">
        <f>'Biểu 13'!E14</f>
        <v>0</v>
      </c>
      <c r="D13" s="1095">
        <f>'Biểu 13'!F14</f>
        <v>0</v>
      </c>
      <c r="E13" s="1095"/>
      <c r="F13" s="1095">
        <f t="shared" ref="F13" si="7">J13+L13+N13+P13+R13+T13+V13+X13+Z13</f>
        <v>0</v>
      </c>
      <c r="G13" s="1096"/>
      <c r="H13" s="1096"/>
      <c r="I13" s="1097"/>
      <c r="J13" s="1097"/>
      <c r="K13" s="1097"/>
      <c r="L13" s="1097"/>
      <c r="M13" s="1097"/>
      <c r="N13" s="1097"/>
      <c r="O13" s="1097"/>
      <c r="P13" s="1097"/>
      <c r="Q13" s="1097"/>
      <c r="R13" s="1097"/>
      <c r="S13" s="1097"/>
      <c r="T13" s="1097"/>
      <c r="U13" s="1097"/>
      <c r="V13" s="1097"/>
      <c r="W13" s="1097"/>
      <c r="X13" s="1097"/>
      <c r="Y13" s="1097"/>
      <c r="Z13" s="1097"/>
      <c r="AA13" s="1097"/>
    </row>
    <row r="14" spans="1:30" s="1086" customFormat="1" ht="25.5" x14ac:dyDescent="0.2">
      <c r="A14" s="1087">
        <v>2</v>
      </c>
      <c r="B14" s="1088" t="s">
        <v>565</v>
      </c>
      <c r="C14" s="1090">
        <f>SUM(C15:C19)</f>
        <v>6817</v>
      </c>
      <c r="D14" s="1090">
        <f>SUM(D15:D19)</f>
        <v>6817</v>
      </c>
      <c r="E14" s="1091">
        <f t="shared" ref="E14:F14" si="8">SUM(E15:E17)</f>
        <v>8000</v>
      </c>
      <c r="F14" s="1091">
        <f t="shared" si="8"/>
        <v>8000</v>
      </c>
      <c r="G14" s="1092">
        <f t="shared" si="2"/>
        <v>1.1735367463693707</v>
      </c>
      <c r="H14" s="1092">
        <f t="shared" si="3"/>
        <v>1.1735367463693707</v>
      </c>
      <c r="I14" s="1091">
        <f>SUM(I15:I17)</f>
        <v>620</v>
      </c>
      <c r="J14" s="1091">
        <f t="shared" ref="J14:Z14" si="9">SUM(J15:J17)</f>
        <v>620</v>
      </c>
      <c r="K14" s="1091">
        <f t="shared" si="9"/>
        <v>15</v>
      </c>
      <c r="L14" s="1091">
        <f t="shared" si="9"/>
        <v>15</v>
      </c>
      <c r="M14" s="1091">
        <f t="shared" si="9"/>
        <v>0</v>
      </c>
      <c r="N14" s="1091">
        <f t="shared" si="9"/>
        <v>0</v>
      </c>
      <c r="O14" s="1091">
        <f t="shared" si="9"/>
        <v>40</v>
      </c>
      <c r="P14" s="1091">
        <f t="shared" si="9"/>
        <v>40</v>
      </c>
      <c r="Q14" s="1091">
        <f t="shared" si="9"/>
        <v>100</v>
      </c>
      <c r="R14" s="1091">
        <f t="shared" si="9"/>
        <v>100</v>
      </c>
      <c r="S14" s="1091">
        <f t="shared" si="9"/>
        <v>10</v>
      </c>
      <c r="T14" s="1091">
        <f t="shared" si="9"/>
        <v>10</v>
      </c>
      <c r="U14" s="1091">
        <f t="shared" si="9"/>
        <v>160</v>
      </c>
      <c r="V14" s="1091">
        <f t="shared" si="9"/>
        <v>160</v>
      </c>
      <c r="W14" s="1091">
        <f t="shared" si="9"/>
        <v>0</v>
      </c>
      <c r="X14" s="1091">
        <f t="shared" si="9"/>
        <v>0</v>
      </c>
      <c r="Y14" s="1091">
        <f t="shared" si="9"/>
        <v>6555</v>
      </c>
      <c r="Z14" s="1091">
        <f t="shared" si="9"/>
        <v>6555</v>
      </c>
      <c r="AA14" s="1091"/>
      <c r="AB14" s="1085">
        <f>59990</f>
        <v>59990</v>
      </c>
    </row>
    <row r="15" spans="1:30" x14ac:dyDescent="0.2">
      <c r="A15" s="1094"/>
      <c r="B15" s="103" t="s">
        <v>561</v>
      </c>
      <c r="C15" s="1095">
        <f>'Biểu 13'!E16</f>
        <v>1596</v>
      </c>
      <c r="D15" s="1095">
        <f>C15</f>
        <v>1596</v>
      </c>
      <c r="E15" s="1095">
        <f>'Biểu số 48'!C16</f>
        <v>1840</v>
      </c>
      <c r="F15" s="1095">
        <f>'Biểu số 48'!D16</f>
        <v>1840</v>
      </c>
      <c r="G15" s="1096">
        <f t="shared" si="2"/>
        <v>1.1528822055137844</v>
      </c>
      <c r="H15" s="1096">
        <f t="shared" si="3"/>
        <v>1.1528822055137844</v>
      </c>
      <c r="I15" s="1097">
        <v>320</v>
      </c>
      <c r="J15" s="1097">
        <v>320</v>
      </c>
      <c r="K15" s="1097">
        <v>0</v>
      </c>
      <c r="L15" s="1097">
        <v>0</v>
      </c>
      <c r="M15" s="1097">
        <v>0</v>
      </c>
      <c r="N15" s="1097">
        <v>0</v>
      </c>
      <c r="O15" s="1097">
        <v>10</v>
      </c>
      <c r="P15" s="1097">
        <v>10</v>
      </c>
      <c r="Q15" s="1097">
        <v>50</v>
      </c>
      <c r="R15" s="1097">
        <v>50</v>
      </c>
      <c r="S15" s="1097">
        <v>0</v>
      </c>
      <c r="T15" s="1097">
        <v>0</v>
      </c>
      <c r="U15" s="1097">
        <v>0</v>
      </c>
      <c r="V15" s="1097">
        <v>0</v>
      </c>
      <c r="W15" s="1097">
        <v>0</v>
      </c>
      <c r="X15" s="1097">
        <v>0</v>
      </c>
      <c r="Y15" s="1097">
        <v>1370</v>
      </c>
      <c r="Z15" s="1097">
        <f>Y15</f>
        <v>1370</v>
      </c>
      <c r="AA15" s="1097"/>
      <c r="AB15" s="1099">
        <f>43800+7700</f>
        <v>51500</v>
      </c>
    </row>
    <row r="16" spans="1:30" x14ac:dyDescent="0.2">
      <c r="A16" s="1094"/>
      <c r="B16" s="103" t="s">
        <v>562</v>
      </c>
      <c r="C16" s="1095">
        <f>'Biểu 13'!E17</f>
        <v>200</v>
      </c>
      <c r="D16" s="1095">
        <f t="shared" ref="D16:D19" si="10">C16</f>
        <v>200</v>
      </c>
      <c r="E16" s="1095">
        <f>'Biểu số 48'!C17</f>
        <v>160</v>
      </c>
      <c r="F16" s="1095">
        <f>'Biểu số 48'!D17</f>
        <v>160</v>
      </c>
      <c r="G16" s="1096">
        <f t="shared" si="2"/>
        <v>0.8</v>
      </c>
      <c r="H16" s="1096">
        <f t="shared" si="3"/>
        <v>0.8</v>
      </c>
      <c r="I16" s="1097">
        <v>80</v>
      </c>
      <c r="J16" s="1097">
        <v>80</v>
      </c>
      <c r="K16" s="1097">
        <v>15</v>
      </c>
      <c r="L16" s="1097">
        <v>15</v>
      </c>
      <c r="M16" s="1097">
        <v>0</v>
      </c>
      <c r="N16" s="1097">
        <v>0</v>
      </c>
      <c r="O16" s="1097">
        <v>15</v>
      </c>
      <c r="P16" s="1097">
        <v>15</v>
      </c>
      <c r="Q16" s="1097">
        <v>0</v>
      </c>
      <c r="R16" s="1097">
        <v>0</v>
      </c>
      <c r="S16" s="1097">
        <v>10</v>
      </c>
      <c r="T16" s="1097">
        <v>10</v>
      </c>
      <c r="U16" s="1097">
        <v>30</v>
      </c>
      <c r="V16" s="1097">
        <v>30</v>
      </c>
      <c r="W16" s="1097">
        <v>0</v>
      </c>
      <c r="X16" s="1097">
        <v>0</v>
      </c>
      <c r="Y16" s="1097">
        <v>0</v>
      </c>
      <c r="Z16" s="1097">
        <f t="shared" ref="Z16:Z17" si="11">Y16</f>
        <v>0</v>
      </c>
      <c r="AA16" s="1097"/>
      <c r="AB16" s="1098">
        <f>AB14-AB15</f>
        <v>8490</v>
      </c>
    </row>
    <row r="17" spans="1:27" x14ac:dyDescent="0.2">
      <c r="A17" s="1094"/>
      <c r="B17" s="103" t="s">
        <v>563</v>
      </c>
      <c r="C17" s="1095">
        <f>'Biểu 13'!E18</f>
        <v>5021</v>
      </c>
      <c r="D17" s="1095">
        <f t="shared" si="10"/>
        <v>5021</v>
      </c>
      <c r="E17" s="1095">
        <f>'Biểu số 48'!C18</f>
        <v>6000</v>
      </c>
      <c r="F17" s="1095">
        <f>'Biểu số 48'!D18</f>
        <v>6000</v>
      </c>
      <c r="G17" s="1096">
        <f t="shared" si="2"/>
        <v>1.1949810794662419</v>
      </c>
      <c r="H17" s="1096">
        <f t="shared" si="3"/>
        <v>1.1949810794662419</v>
      </c>
      <c r="I17" s="1097">
        <v>220</v>
      </c>
      <c r="J17" s="1097">
        <v>220</v>
      </c>
      <c r="K17" s="1097">
        <v>0</v>
      </c>
      <c r="L17" s="1097">
        <v>0</v>
      </c>
      <c r="M17" s="1097">
        <v>0</v>
      </c>
      <c r="N17" s="1097">
        <v>0</v>
      </c>
      <c r="O17" s="1097">
        <v>15</v>
      </c>
      <c r="P17" s="1097">
        <v>15</v>
      </c>
      <c r="Q17" s="1097">
        <v>50</v>
      </c>
      <c r="R17" s="1097">
        <v>50</v>
      </c>
      <c r="S17" s="1097">
        <v>0</v>
      </c>
      <c r="T17" s="1097">
        <v>0</v>
      </c>
      <c r="U17" s="1097">
        <v>130</v>
      </c>
      <c r="V17" s="1097">
        <v>130</v>
      </c>
      <c r="W17" s="1097">
        <v>0</v>
      </c>
      <c r="X17" s="1097">
        <v>0</v>
      </c>
      <c r="Y17" s="1097">
        <v>5185</v>
      </c>
      <c r="Z17" s="1097">
        <f t="shared" si="11"/>
        <v>5185</v>
      </c>
      <c r="AA17" s="1097"/>
    </row>
    <row r="18" spans="1:27" x14ac:dyDescent="0.2">
      <c r="A18" s="1094"/>
      <c r="B18" s="103" t="s">
        <v>566</v>
      </c>
      <c r="C18" s="1095">
        <f>'Biểu 13'!E19</f>
        <v>0</v>
      </c>
      <c r="D18" s="1095">
        <f t="shared" si="10"/>
        <v>0</v>
      </c>
      <c r="E18" s="1095">
        <f>'Biểu số 48'!C19</f>
        <v>0</v>
      </c>
      <c r="F18" s="1095">
        <f>'Biểu số 48'!D19</f>
        <v>0</v>
      </c>
      <c r="G18" s="1096"/>
      <c r="H18" s="1096"/>
      <c r="I18" s="1097"/>
      <c r="J18" s="1097"/>
      <c r="K18" s="1097"/>
      <c r="L18" s="1097"/>
      <c r="M18" s="1097"/>
      <c r="N18" s="1097"/>
      <c r="O18" s="1097"/>
      <c r="P18" s="1097"/>
      <c r="Q18" s="1097"/>
      <c r="R18" s="1097"/>
      <c r="S18" s="1097"/>
      <c r="T18" s="1097"/>
      <c r="U18" s="1097"/>
      <c r="V18" s="1097"/>
      <c r="W18" s="1097"/>
      <c r="X18" s="1097"/>
      <c r="Y18" s="1097"/>
      <c r="Z18" s="1097"/>
      <c r="AA18" s="1097"/>
    </row>
    <row r="19" spans="1:27" x14ac:dyDescent="0.2">
      <c r="A19" s="1094"/>
      <c r="B19" s="103" t="s">
        <v>564</v>
      </c>
      <c r="C19" s="1095">
        <f>'Biểu 13'!E20</f>
        <v>0</v>
      </c>
      <c r="D19" s="1095">
        <f t="shared" si="10"/>
        <v>0</v>
      </c>
      <c r="E19" s="1095">
        <f>'Biểu số 48'!C20</f>
        <v>0</v>
      </c>
      <c r="F19" s="1095">
        <f>'Biểu số 48'!D20</f>
        <v>0</v>
      </c>
      <c r="G19" s="1096"/>
      <c r="H19" s="1096"/>
      <c r="I19" s="1097"/>
      <c r="J19" s="1097"/>
      <c r="K19" s="1097"/>
      <c r="L19" s="1097"/>
      <c r="M19" s="1097"/>
      <c r="N19" s="1097"/>
      <c r="O19" s="1097"/>
      <c r="P19" s="1097"/>
      <c r="Q19" s="1097"/>
      <c r="R19" s="1097"/>
      <c r="S19" s="1097"/>
      <c r="T19" s="1097"/>
      <c r="U19" s="1097"/>
      <c r="V19" s="1097"/>
      <c r="W19" s="1097"/>
      <c r="X19" s="1097"/>
      <c r="Y19" s="1097"/>
      <c r="Z19" s="1097"/>
      <c r="AA19" s="1097"/>
    </row>
    <row r="20" spans="1:27" s="1086" customFormat="1" ht="25.5" x14ac:dyDescent="0.2">
      <c r="A20" s="1087">
        <v>3</v>
      </c>
      <c r="B20" s="1088" t="s">
        <v>567</v>
      </c>
      <c r="C20" s="1090">
        <f>C21+C22+C23</f>
        <v>5150</v>
      </c>
      <c r="D20" s="1090">
        <f>D21+D22+D23</f>
        <v>5150</v>
      </c>
      <c r="E20" s="1091">
        <f t="shared" ref="E20:F20" si="12">E21+E22</f>
        <v>1100</v>
      </c>
      <c r="F20" s="1091">
        <f t="shared" si="12"/>
        <v>1100</v>
      </c>
      <c r="G20" s="1092">
        <f t="shared" si="2"/>
        <v>0.21359223300970873</v>
      </c>
      <c r="H20" s="1092">
        <f t="shared" si="3"/>
        <v>0.21359223300970873</v>
      </c>
      <c r="I20" s="1091">
        <f>I21+I22</f>
        <v>0</v>
      </c>
      <c r="J20" s="1091">
        <f t="shared" ref="J20:Z20" si="13">J21+J22</f>
        <v>0</v>
      </c>
      <c r="K20" s="1091">
        <f t="shared" si="13"/>
        <v>0</v>
      </c>
      <c r="L20" s="1091">
        <f t="shared" si="13"/>
        <v>0</v>
      </c>
      <c r="M20" s="1091">
        <f t="shared" si="13"/>
        <v>0</v>
      </c>
      <c r="N20" s="1091">
        <f t="shared" si="13"/>
        <v>0</v>
      </c>
      <c r="O20" s="1091">
        <f t="shared" si="13"/>
        <v>0</v>
      </c>
      <c r="P20" s="1091">
        <f t="shared" si="13"/>
        <v>0</v>
      </c>
      <c r="Q20" s="1091">
        <f t="shared" si="13"/>
        <v>0</v>
      </c>
      <c r="R20" s="1091">
        <f t="shared" si="13"/>
        <v>0</v>
      </c>
      <c r="S20" s="1091">
        <f t="shared" si="13"/>
        <v>0</v>
      </c>
      <c r="T20" s="1091">
        <f t="shared" si="13"/>
        <v>0</v>
      </c>
      <c r="U20" s="1091">
        <f t="shared" si="13"/>
        <v>0</v>
      </c>
      <c r="V20" s="1091">
        <f t="shared" si="13"/>
        <v>0</v>
      </c>
      <c r="W20" s="1091">
        <f t="shared" si="13"/>
        <v>0</v>
      </c>
      <c r="X20" s="1091">
        <f t="shared" si="13"/>
        <v>0</v>
      </c>
      <c r="Y20" s="1091">
        <f t="shared" si="13"/>
        <v>100</v>
      </c>
      <c r="Z20" s="1091">
        <f t="shared" si="13"/>
        <v>100</v>
      </c>
      <c r="AA20" s="1091"/>
    </row>
    <row r="21" spans="1:27" x14ac:dyDescent="0.2">
      <c r="A21" s="1094"/>
      <c r="B21" s="103" t="s">
        <v>561</v>
      </c>
      <c r="C21" s="1095">
        <f>'Biểu 13'!E22</f>
        <v>1780</v>
      </c>
      <c r="D21" s="1095">
        <f>'Biểu 13'!F22</f>
        <v>1780</v>
      </c>
      <c r="E21" s="1095">
        <f>'Biểu số 48'!C22</f>
        <v>0</v>
      </c>
      <c r="F21" s="1095">
        <f>'Biểu số 48'!D22</f>
        <v>0</v>
      </c>
      <c r="G21" s="1096">
        <f t="shared" si="2"/>
        <v>0</v>
      </c>
      <c r="H21" s="1096">
        <f t="shared" si="3"/>
        <v>0</v>
      </c>
      <c r="I21" s="1097"/>
      <c r="J21" s="1097"/>
      <c r="K21" s="1097"/>
      <c r="L21" s="1097"/>
      <c r="M21" s="1097"/>
      <c r="N21" s="1097"/>
      <c r="O21" s="1097"/>
      <c r="P21" s="1097"/>
      <c r="Q21" s="1097"/>
      <c r="R21" s="1097"/>
      <c r="S21" s="1097"/>
      <c r="T21" s="1097"/>
      <c r="U21" s="1097"/>
      <c r="V21" s="1097"/>
      <c r="W21" s="1097"/>
      <c r="X21" s="1097"/>
      <c r="Y21" s="1097">
        <v>20</v>
      </c>
      <c r="Z21" s="1097">
        <f>Y21</f>
        <v>20</v>
      </c>
      <c r="AA21" s="1097"/>
    </row>
    <row r="22" spans="1:27" x14ac:dyDescent="0.2">
      <c r="A22" s="1094"/>
      <c r="B22" s="103" t="s">
        <v>563</v>
      </c>
      <c r="C22" s="1095">
        <f>'Biểu 13'!E23</f>
        <v>3200</v>
      </c>
      <c r="D22" s="1095">
        <f>'Biểu 13'!F23</f>
        <v>3200</v>
      </c>
      <c r="E22" s="1095">
        <f>'Biểu số 48'!C23</f>
        <v>1100</v>
      </c>
      <c r="F22" s="1095">
        <f>'Biểu số 48'!D23</f>
        <v>1100</v>
      </c>
      <c r="G22" s="1096">
        <f t="shared" si="2"/>
        <v>0.34375</v>
      </c>
      <c r="H22" s="1096">
        <f t="shared" si="3"/>
        <v>0.34375</v>
      </c>
      <c r="I22" s="1097"/>
      <c r="J22" s="1097"/>
      <c r="K22" s="1097"/>
      <c r="L22" s="1097"/>
      <c r="M22" s="1097"/>
      <c r="N22" s="1097"/>
      <c r="O22" s="1097"/>
      <c r="P22" s="1097"/>
      <c r="Q22" s="1097"/>
      <c r="R22" s="1097"/>
      <c r="S22" s="1097"/>
      <c r="T22" s="1097"/>
      <c r="U22" s="1097"/>
      <c r="V22" s="1097"/>
      <c r="W22" s="1097"/>
      <c r="X22" s="1097"/>
      <c r="Y22" s="1097">
        <v>80</v>
      </c>
      <c r="Z22" s="1097">
        <f>Y22</f>
        <v>80</v>
      </c>
      <c r="AA22" s="1097"/>
    </row>
    <row r="23" spans="1:27" x14ac:dyDescent="0.2">
      <c r="A23" s="1094"/>
      <c r="B23" s="103" t="str">
        <f>'Biểu 13'!B24</f>
        <v xml:space="preserve"> - Thuế tài nguyên</v>
      </c>
      <c r="C23" s="1095">
        <f>'Biểu 13'!E24</f>
        <v>170</v>
      </c>
      <c r="D23" s="1095">
        <f>'Biểu 13'!F24</f>
        <v>170</v>
      </c>
      <c r="E23" s="1095"/>
      <c r="F23" s="1095"/>
      <c r="G23" s="1096"/>
      <c r="H23" s="1096"/>
      <c r="I23" s="1097"/>
      <c r="J23" s="1097"/>
      <c r="K23" s="1097"/>
      <c r="L23" s="1097"/>
      <c r="M23" s="1097"/>
      <c r="N23" s="1097"/>
      <c r="O23" s="1097"/>
      <c r="P23" s="1097"/>
      <c r="Q23" s="1097"/>
      <c r="R23" s="1097"/>
      <c r="S23" s="1097"/>
      <c r="T23" s="1097"/>
      <c r="U23" s="1097"/>
      <c r="V23" s="1097"/>
      <c r="W23" s="1097"/>
      <c r="X23" s="1097"/>
      <c r="Y23" s="1097"/>
      <c r="Z23" s="1097"/>
      <c r="AA23" s="1097"/>
    </row>
    <row r="24" spans="1:27" s="1086" customFormat="1" x14ac:dyDescent="0.2">
      <c r="A24" s="1087">
        <v>4</v>
      </c>
      <c r="B24" s="1088" t="s">
        <v>568</v>
      </c>
      <c r="C24" s="1100">
        <f>SUM(C25:C29)</f>
        <v>153389</v>
      </c>
      <c r="D24" s="1100">
        <f>SUM(D25:D29)</f>
        <v>153389</v>
      </c>
      <c r="E24" s="1091">
        <f>SUM(E25:E29)</f>
        <v>193000</v>
      </c>
      <c r="F24" s="1091">
        <f t="shared" ref="F24" si="14">SUM(F25:F28)</f>
        <v>193000</v>
      </c>
      <c r="G24" s="1092">
        <f t="shared" si="2"/>
        <v>1.2582388567628708</v>
      </c>
      <c r="H24" s="1092">
        <f t="shared" si="3"/>
        <v>1.2582388567628708</v>
      </c>
      <c r="I24" s="1091">
        <f>SUM(I25:I28)</f>
        <v>29150</v>
      </c>
      <c r="J24" s="1091">
        <f>SUM(J25:J28)</f>
        <v>29030</v>
      </c>
      <c r="K24" s="1091">
        <f t="shared" ref="K24:Y24" si="15">SUM(K25:K28)</f>
        <v>5585</v>
      </c>
      <c r="L24" s="1091">
        <f t="shared" si="15"/>
        <v>5575</v>
      </c>
      <c r="M24" s="1091">
        <f t="shared" si="15"/>
        <v>5555</v>
      </c>
      <c r="N24" s="1091">
        <f t="shared" si="15"/>
        <v>5545</v>
      </c>
      <c r="O24" s="1091">
        <f t="shared" si="15"/>
        <v>29900</v>
      </c>
      <c r="P24" s="1091">
        <f t="shared" si="15"/>
        <v>29900</v>
      </c>
      <c r="Q24" s="1091">
        <f t="shared" si="15"/>
        <v>5500</v>
      </c>
      <c r="R24" s="1091">
        <f t="shared" si="15"/>
        <v>5500</v>
      </c>
      <c r="S24" s="1091">
        <f t="shared" si="15"/>
        <v>6250</v>
      </c>
      <c r="T24" s="1091">
        <f t="shared" si="15"/>
        <v>6250</v>
      </c>
      <c r="U24" s="1091">
        <f t="shared" si="15"/>
        <v>10640</v>
      </c>
      <c r="V24" s="1091">
        <f t="shared" si="15"/>
        <v>10640</v>
      </c>
      <c r="W24" s="1091">
        <f t="shared" si="15"/>
        <v>2460</v>
      </c>
      <c r="X24" s="1091">
        <f t="shared" si="15"/>
        <v>2460</v>
      </c>
      <c r="Y24" s="1091">
        <f t="shared" si="15"/>
        <v>72960</v>
      </c>
      <c r="Z24" s="1091">
        <f>SUM(Z25:Z28)</f>
        <v>73450</v>
      </c>
      <c r="AA24" s="1091"/>
    </row>
    <row r="25" spans="1:27" x14ac:dyDescent="0.2">
      <c r="A25" s="1094"/>
      <c r="B25" s="103" t="s">
        <v>561</v>
      </c>
      <c r="C25" s="1095">
        <f>'Biểu 13'!E26</f>
        <v>9445</v>
      </c>
      <c r="D25" s="1095">
        <f>C25</f>
        <v>9445</v>
      </c>
      <c r="E25" s="1095">
        <f>'Biểu số 48'!C25</f>
        <v>10500</v>
      </c>
      <c r="F25" s="1095">
        <f>'Biểu số 48'!D25</f>
        <v>10500</v>
      </c>
      <c r="G25" s="1096">
        <f t="shared" si="2"/>
        <v>1.1116993118051879</v>
      </c>
      <c r="H25" s="1096">
        <f t="shared" si="3"/>
        <v>1.1116993118051879</v>
      </c>
      <c r="I25" s="1097">
        <v>1200</v>
      </c>
      <c r="J25" s="1097">
        <v>1200</v>
      </c>
      <c r="K25" s="1097">
        <v>45</v>
      </c>
      <c r="L25" s="1097">
        <v>45</v>
      </c>
      <c r="M25" s="1097">
        <v>175</v>
      </c>
      <c r="N25" s="1097">
        <v>175</v>
      </c>
      <c r="O25" s="1097">
        <v>800</v>
      </c>
      <c r="P25" s="1097">
        <v>800</v>
      </c>
      <c r="Q25" s="1097">
        <v>240</v>
      </c>
      <c r="R25" s="1097">
        <v>240</v>
      </c>
      <c r="S25" s="1097">
        <v>360</v>
      </c>
      <c r="T25" s="1097">
        <v>360</v>
      </c>
      <c r="U25" s="1097">
        <v>330</v>
      </c>
      <c r="V25" s="1097">
        <v>330</v>
      </c>
      <c r="W25" s="1097">
        <v>30</v>
      </c>
      <c r="X25" s="1097">
        <v>30</v>
      </c>
      <c r="Y25" s="1097">
        <v>8820</v>
      </c>
      <c r="Z25" s="1097">
        <f>Y25</f>
        <v>8820</v>
      </c>
      <c r="AA25" s="1097"/>
    </row>
    <row r="26" spans="1:27" x14ac:dyDescent="0.2">
      <c r="A26" s="1094"/>
      <c r="B26" s="103" t="s">
        <v>562</v>
      </c>
      <c r="C26" s="1095">
        <f>'Biểu 13'!E27</f>
        <v>25797</v>
      </c>
      <c r="D26" s="1095">
        <f t="shared" ref="D26:D28" si="16">C26</f>
        <v>25797</v>
      </c>
      <c r="E26" s="1095">
        <f>'Biểu số 48'!C26</f>
        <v>32000</v>
      </c>
      <c r="F26" s="1095">
        <f>'Biểu số 48'!D26</f>
        <v>32000</v>
      </c>
      <c r="G26" s="1096">
        <f t="shared" si="2"/>
        <v>1.240454316393379</v>
      </c>
      <c r="H26" s="1096">
        <f t="shared" si="3"/>
        <v>1.240454316393379</v>
      </c>
      <c r="I26" s="1097">
        <v>850</v>
      </c>
      <c r="J26" s="1097">
        <v>850</v>
      </c>
      <c r="K26" s="1097">
        <v>1180</v>
      </c>
      <c r="L26" s="1097">
        <v>1180</v>
      </c>
      <c r="M26" s="1097">
        <v>420</v>
      </c>
      <c r="N26" s="1097">
        <v>420</v>
      </c>
      <c r="O26" s="1097">
        <v>14720</v>
      </c>
      <c r="P26" s="1097">
        <v>14720</v>
      </c>
      <c r="Q26" s="1097">
        <v>310</v>
      </c>
      <c r="R26" s="1097">
        <v>310</v>
      </c>
      <c r="S26" s="1097">
        <v>840</v>
      </c>
      <c r="T26" s="1097">
        <v>840</v>
      </c>
      <c r="U26" s="1097">
        <v>2610</v>
      </c>
      <c r="V26" s="1097">
        <v>2610</v>
      </c>
      <c r="W26" s="1097">
        <v>70</v>
      </c>
      <c r="X26" s="1097">
        <v>70</v>
      </c>
      <c r="Y26" s="1097">
        <v>0</v>
      </c>
      <c r="Z26" s="1097">
        <f t="shared" ref="Z26:Z27" si="17">Y26</f>
        <v>0</v>
      </c>
      <c r="AA26" s="1097"/>
    </row>
    <row r="27" spans="1:27" x14ac:dyDescent="0.2">
      <c r="A27" s="1094"/>
      <c r="B27" s="103" t="s">
        <v>563</v>
      </c>
      <c r="C27" s="1095">
        <f>'Biểu 13'!E28</f>
        <v>117710</v>
      </c>
      <c r="D27" s="1095">
        <f t="shared" si="16"/>
        <v>117710</v>
      </c>
      <c r="E27" s="1095">
        <f>'Biểu số 48'!C27</f>
        <v>150000</v>
      </c>
      <c r="F27" s="1095">
        <f>'Biểu số 48'!D27</f>
        <v>150000</v>
      </c>
      <c r="G27" s="1096">
        <f t="shared" si="2"/>
        <v>1.2743182397417381</v>
      </c>
      <c r="H27" s="1096">
        <f t="shared" si="3"/>
        <v>1.2743182397417381</v>
      </c>
      <c r="I27" s="1097">
        <v>26980</v>
      </c>
      <c r="J27" s="1097">
        <v>26980</v>
      </c>
      <c r="K27" s="1097">
        <v>4350</v>
      </c>
      <c r="L27" s="1097">
        <v>4350</v>
      </c>
      <c r="M27" s="1097">
        <v>4950</v>
      </c>
      <c r="N27" s="1097">
        <v>4950</v>
      </c>
      <c r="O27" s="1097">
        <v>14380</v>
      </c>
      <c r="P27" s="1097">
        <v>14380</v>
      </c>
      <c r="Q27" s="1097">
        <v>4950</v>
      </c>
      <c r="R27" s="1097">
        <v>4950</v>
      </c>
      <c r="S27" s="1097">
        <v>5050</v>
      </c>
      <c r="T27" s="1097">
        <v>5050</v>
      </c>
      <c r="U27" s="1097">
        <v>7700</v>
      </c>
      <c r="V27" s="1097">
        <v>7700</v>
      </c>
      <c r="W27" s="1097">
        <v>2360</v>
      </c>
      <c r="X27" s="1097">
        <v>2360</v>
      </c>
      <c r="Y27" s="1097">
        <v>64130</v>
      </c>
      <c r="Z27" s="1097">
        <f t="shared" si="17"/>
        <v>64130</v>
      </c>
      <c r="AA27" s="1097"/>
    </row>
    <row r="28" spans="1:27" x14ac:dyDescent="0.2">
      <c r="A28" s="1094"/>
      <c r="B28" s="103" t="s">
        <v>566</v>
      </c>
      <c r="C28" s="1095">
        <f>'Biểu 13'!E29</f>
        <v>437</v>
      </c>
      <c r="D28" s="1095">
        <f t="shared" si="16"/>
        <v>437</v>
      </c>
      <c r="E28" s="1095">
        <f>'Biểu số 48'!C28</f>
        <v>500</v>
      </c>
      <c r="F28" s="1095">
        <f>'Biểu số 48'!D28</f>
        <v>500</v>
      </c>
      <c r="G28" s="1096">
        <f t="shared" si="2"/>
        <v>1.1441647597254005</v>
      </c>
      <c r="H28" s="1096">
        <f t="shared" si="3"/>
        <v>1.1441647597254005</v>
      </c>
      <c r="I28" s="1097">
        <v>120</v>
      </c>
      <c r="J28" s="1097"/>
      <c r="K28" s="1097">
        <v>10</v>
      </c>
      <c r="L28" s="1097"/>
      <c r="M28" s="1097">
        <v>10</v>
      </c>
      <c r="N28" s="1097"/>
      <c r="O28" s="1097">
        <v>0</v>
      </c>
      <c r="P28" s="1097">
        <v>0</v>
      </c>
      <c r="Q28" s="1097">
        <v>0</v>
      </c>
      <c r="R28" s="1097">
        <v>0</v>
      </c>
      <c r="S28" s="1097">
        <v>0</v>
      </c>
      <c r="T28" s="1097">
        <v>0</v>
      </c>
      <c r="U28" s="1097">
        <v>0</v>
      </c>
      <c r="V28" s="1097">
        <v>0</v>
      </c>
      <c r="W28" s="1097">
        <v>0</v>
      </c>
      <c r="X28" s="1097">
        <v>0</v>
      </c>
      <c r="Y28" s="1097">
        <v>10</v>
      </c>
      <c r="Z28" s="1097">
        <f>E28</f>
        <v>500</v>
      </c>
      <c r="AA28" s="1097"/>
    </row>
    <row r="29" spans="1:27" x14ac:dyDescent="0.2">
      <c r="A29" s="1094"/>
      <c r="B29" s="103" t="s">
        <v>564</v>
      </c>
      <c r="C29" s="1095"/>
      <c r="D29" s="1095"/>
      <c r="E29" s="1095">
        <f>'Biểu số 48'!C29</f>
        <v>0</v>
      </c>
      <c r="F29" s="1095">
        <f>'Biểu số 48'!D29</f>
        <v>0</v>
      </c>
      <c r="G29" s="1096"/>
      <c r="H29" s="1096"/>
      <c r="I29" s="1097"/>
      <c r="J29" s="1097"/>
      <c r="K29" s="1097"/>
      <c r="L29" s="1097"/>
      <c r="M29" s="1097"/>
      <c r="N29" s="1097"/>
      <c r="O29" s="1097"/>
      <c r="P29" s="1097"/>
      <c r="Q29" s="1097"/>
      <c r="R29" s="1097"/>
      <c r="S29" s="1097"/>
      <c r="T29" s="1097"/>
      <c r="U29" s="1097"/>
      <c r="V29" s="1097"/>
      <c r="W29" s="1097"/>
      <c r="X29" s="1097"/>
      <c r="Y29" s="1097"/>
      <c r="Z29" s="1097"/>
      <c r="AA29" s="1097"/>
    </row>
    <row r="30" spans="1:27" s="1086" customFormat="1" x14ac:dyDescent="0.2">
      <c r="A30" s="1087">
        <v>5</v>
      </c>
      <c r="B30" s="1088" t="s">
        <v>230</v>
      </c>
      <c r="C30" s="1100">
        <f>'Biểu 13'!E31</f>
        <v>23490</v>
      </c>
      <c r="D30" s="1100">
        <f>'Biểu 13'!F31</f>
        <v>23490</v>
      </c>
      <c r="E30" s="1100">
        <f>'Biểu số 48'!C30</f>
        <v>28000</v>
      </c>
      <c r="F30" s="1100">
        <f>'Biểu số 48'!D30</f>
        <v>28000</v>
      </c>
      <c r="G30" s="1092">
        <f t="shared" si="2"/>
        <v>1.1919965942954449</v>
      </c>
      <c r="H30" s="1092">
        <f t="shared" si="3"/>
        <v>1.1919965942954449</v>
      </c>
      <c r="I30" s="1091">
        <v>10800</v>
      </c>
      <c r="J30" s="1091">
        <v>10800</v>
      </c>
      <c r="K30" s="1091">
        <v>830</v>
      </c>
      <c r="L30" s="1091">
        <v>830</v>
      </c>
      <c r="M30" s="1091">
        <v>1455</v>
      </c>
      <c r="N30" s="1091">
        <v>1455</v>
      </c>
      <c r="O30" s="1091">
        <v>1920</v>
      </c>
      <c r="P30" s="1091">
        <v>1920</v>
      </c>
      <c r="Q30" s="1091">
        <v>2050</v>
      </c>
      <c r="R30" s="1091">
        <v>2050</v>
      </c>
      <c r="S30" s="1091">
        <v>720</v>
      </c>
      <c r="T30" s="1091">
        <v>720</v>
      </c>
      <c r="U30" s="1091">
        <v>1600</v>
      </c>
      <c r="V30" s="1091">
        <v>1600</v>
      </c>
      <c r="W30" s="1091">
        <v>550</v>
      </c>
      <c r="X30" s="1091">
        <v>550</v>
      </c>
      <c r="Y30" s="1091">
        <v>5075</v>
      </c>
      <c r="Z30" s="1091">
        <f>Y30</f>
        <v>5075</v>
      </c>
      <c r="AA30" s="1091"/>
    </row>
    <row r="31" spans="1:27" s="1086" customFormat="1" x14ac:dyDescent="0.2">
      <c r="A31" s="1087">
        <v>6</v>
      </c>
      <c r="B31" s="1088" t="s">
        <v>236</v>
      </c>
      <c r="C31" s="1100">
        <f>'Biểu 13'!E32</f>
        <v>3350</v>
      </c>
      <c r="D31" s="1100">
        <f>'Biểu 13'!F32</f>
        <v>3350</v>
      </c>
      <c r="E31" s="1100">
        <f>'Biểu số 48'!C31</f>
        <v>3300</v>
      </c>
      <c r="F31" s="1100">
        <f>'Biểu số 48'!D31</f>
        <v>3300</v>
      </c>
      <c r="G31" s="1092">
        <f t="shared" si="2"/>
        <v>0.9850746268656716</v>
      </c>
      <c r="H31" s="1092">
        <f t="shared" si="3"/>
        <v>0.9850746268656716</v>
      </c>
      <c r="I31" s="1091">
        <v>150</v>
      </c>
      <c r="J31" s="1091">
        <v>150</v>
      </c>
      <c r="K31" s="1091">
        <v>250</v>
      </c>
      <c r="L31" s="1091">
        <v>250</v>
      </c>
      <c r="M31" s="1091">
        <v>380</v>
      </c>
      <c r="N31" s="1091">
        <v>380</v>
      </c>
      <c r="O31" s="1091">
        <v>200</v>
      </c>
      <c r="P31" s="1091">
        <v>200</v>
      </c>
      <c r="Q31" s="1091">
        <v>350</v>
      </c>
      <c r="R31" s="1091">
        <v>350</v>
      </c>
      <c r="S31" s="1091">
        <v>170</v>
      </c>
      <c r="T31" s="1091">
        <v>170</v>
      </c>
      <c r="U31" s="1091">
        <v>250</v>
      </c>
      <c r="V31" s="1091">
        <v>250</v>
      </c>
      <c r="W31" s="1091">
        <v>250</v>
      </c>
      <c r="X31" s="1091">
        <v>250</v>
      </c>
      <c r="Y31" s="1091">
        <v>0</v>
      </c>
      <c r="Z31" s="1091">
        <f t="shared" ref="Z31:Z49" si="18">Y31</f>
        <v>0</v>
      </c>
      <c r="AA31" s="1091"/>
    </row>
    <row r="32" spans="1:27" s="1086" customFormat="1" x14ac:dyDescent="0.2">
      <c r="A32" s="1087">
        <v>7</v>
      </c>
      <c r="B32" s="1088" t="s">
        <v>239</v>
      </c>
      <c r="C32" s="1100">
        <f>'Biểu 13'!E33</f>
        <v>82990</v>
      </c>
      <c r="D32" s="1100">
        <f>'Biểu 13'!F33</f>
        <v>82990</v>
      </c>
      <c r="E32" s="1100">
        <f>'Biểu số 48'!C32</f>
        <v>78000</v>
      </c>
      <c r="F32" s="1100">
        <f>'Biểu số 48'!D32</f>
        <v>78000</v>
      </c>
      <c r="G32" s="1092">
        <f t="shared" si="2"/>
        <v>0.93987227376792382</v>
      </c>
      <c r="H32" s="1092">
        <f t="shared" si="3"/>
        <v>0.93987227376792382</v>
      </c>
      <c r="I32" s="1091">
        <v>34500</v>
      </c>
      <c r="J32" s="1091">
        <f>I32*0.9</f>
        <v>31050</v>
      </c>
      <c r="K32" s="1091">
        <v>2000</v>
      </c>
      <c r="L32" s="1091">
        <f>K32*0.9</f>
        <v>1800</v>
      </c>
      <c r="M32" s="1091">
        <v>1800</v>
      </c>
      <c r="N32" s="1091">
        <f>M32*0.9</f>
        <v>1620</v>
      </c>
      <c r="O32" s="1091">
        <v>2400</v>
      </c>
      <c r="P32" s="1091">
        <f>O32*0.9</f>
        <v>2160</v>
      </c>
      <c r="Q32" s="1091">
        <v>4600</v>
      </c>
      <c r="R32" s="1091">
        <f>Q32*0.9</f>
        <v>4140</v>
      </c>
      <c r="S32" s="1091">
        <v>600</v>
      </c>
      <c r="T32" s="1091">
        <f>S32*0.9</f>
        <v>540</v>
      </c>
      <c r="U32" s="1091">
        <v>6600</v>
      </c>
      <c r="V32" s="1091">
        <f>U32*0.9</f>
        <v>5940</v>
      </c>
      <c r="W32" s="1091">
        <v>2500</v>
      </c>
      <c r="X32" s="1091">
        <f>W32*0.9</f>
        <v>2250</v>
      </c>
      <c r="Y32" s="1091">
        <v>0</v>
      </c>
      <c r="Z32" s="1091">
        <v>5500</v>
      </c>
      <c r="AA32" s="1091"/>
    </row>
    <row r="33" spans="1:27" s="1086" customFormat="1" ht="19.5" customHeight="1" x14ac:dyDescent="0.2">
      <c r="A33" s="1087">
        <v>8</v>
      </c>
      <c r="B33" s="1088" t="s">
        <v>237</v>
      </c>
      <c r="C33" s="1100">
        <f>'Biểu 13'!E34</f>
        <v>600</v>
      </c>
      <c r="D33" s="1100">
        <f>'Biểu 13'!F34</f>
        <v>600</v>
      </c>
      <c r="E33" s="1100">
        <f>'Biểu số 48'!C33</f>
        <v>600</v>
      </c>
      <c r="F33" s="1100">
        <f>'Biểu số 48'!D33</f>
        <v>600</v>
      </c>
      <c r="G33" s="1092">
        <f t="shared" si="2"/>
        <v>1</v>
      </c>
      <c r="H33" s="1092">
        <f t="shared" si="3"/>
        <v>1</v>
      </c>
      <c r="I33" s="1091">
        <v>100</v>
      </c>
      <c r="J33" s="1091">
        <v>100</v>
      </c>
      <c r="K33" s="1091">
        <v>20</v>
      </c>
      <c r="L33" s="1091">
        <v>20</v>
      </c>
      <c r="M33" s="1091">
        <v>20</v>
      </c>
      <c r="N33" s="1091">
        <v>20</v>
      </c>
      <c r="O33" s="1091">
        <v>100</v>
      </c>
      <c r="P33" s="1091">
        <v>100</v>
      </c>
      <c r="Q33" s="1091">
        <v>20</v>
      </c>
      <c r="R33" s="1091">
        <v>20</v>
      </c>
      <c r="S33" s="1091">
        <v>20</v>
      </c>
      <c r="T33" s="1091">
        <v>20</v>
      </c>
      <c r="U33" s="1091">
        <v>20</v>
      </c>
      <c r="V33" s="1091">
        <v>20</v>
      </c>
      <c r="W33" s="1091">
        <v>0</v>
      </c>
      <c r="X33" s="1091">
        <v>0</v>
      </c>
      <c r="Y33" s="1091">
        <v>0</v>
      </c>
      <c r="Z33" s="1091">
        <f t="shared" si="18"/>
        <v>0</v>
      </c>
      <c r="AA33" s="1091"/>
    </row>
    <row r="34" spans="1:27" s="1086" customFormat="1" ht="17.25" customHeight="1" x14ac:dyDescent="0.2">
      <c r="A34" s="1087">
        <v>9</v>
      </c>
      <c r="B34" s="1088" t="s">
        <v>238</v>
      </c>
      <c r="C34" s="1100">
        <f>'Biểu 13'!E35</f>
        <v>12000</v>
      </c>
      <c r="D34" s="1100">
        <f>'Biểu 13'!F35</f>
        <v>12000</v>
      </c>
      <c r="E34" s="1100">
        <f>'Biểu số 48'!C34</f>
        <v>12000</v>
      </c>
      <c r="F34" s="1100">
        <f>'Biểu số 48'!D34</f>
        <v>12000</v>
      </c>
      <c r="G34" s="1092">
        <f t="shared" si="2"/>
        <v>1</v>
      </c>
      <c r="H34" s="1092">
        <f t="shared" si="3"/>
        <v>1</v>
      </c>
      <c r="I34" s="1091">
        <v>0</v>
      </c>
      <c r="J34" s="1091">
        <v>0</v>
      </c>
      <c r="K34" s="1091">
        <v>0</v>
      </c>
      <c r="L34" s="1091">
        <v>0</v>
      </c>
      <c r="M34" s="1091">
        <v>0</v>
      </c>
      <c r="N34" s="1091">
        <v>0</v>
      </c>
      <c r="O34" s="1091">
        <v>0</v>
      </c>
      <c r="P34" s="1091">
        <v>0</v>
      </c>
      <c r="Q34" s="1091">
        <v>0</v>
      </c>
      <c r="R34" s="1091">
        <v>0</v>
      </c>
      <c r="S34" s="1091">
        <v>0</v>
      </c>
      <c r="T34" s="1091">
        <v>0</v>
      </c>
      <c r="U34" s="1091">
        <v>0</v>
      </c>
      <c r="V34" s="1091">
        <v>0</v>
      </c>
      <c r="W34" s="1091">
        <v>0</v>
      </c>
      <c r="X34" s="1091">
        <v>0</v>
      </c>
      <c r="Y34" s="1091">
        <v>10000</v>
      </c>
      <c r="Z34" s="1091">
        <f t="shared" si="18"/>
        <v>10000</v>
      </c>
      <c r="AA34" s="1091"/>
    </row>
    <row r="35" spans="1:27" s="1086" customFormat="1" x14ac:dyDescent="0.2">
      <c r="A35" s="1087">
        <v>10</v>
      </c>
      <c r="B35" s="1088" t="s">
        <v>248</v>
      </c>
      <c r="C35" s="1100">
        <f>'Biểu 13'!E37</f>
        <v>75000</v>
      </c>
      <c r="D35" s="1100">
        <f>'Biểu 13'!F37</f>
        <v>24760</v>
      </c>
      <c r="E35" s="1100">
        <f>'Biểu số 48'!C35</f>
        <v>110500</v>
      </c>
      <c r="F35" s="1100">
        <f>'Biểu số 48'!D35</f>
        <v>41106.000000000007</v>
      </c>
      <c r="G35" s="1092">
        <f t="shared" si="2"/>
        <v>1.4733333333333334</v>
      </c>
      <c r="H35" s="1092">
        <f t="shared" si="3"/>
        <v>1.6601777059773832</v>
      </c>
      <c r="I35" s="1091">
        <v>0</v>
      </c>
      <c r="J35" s="1091">
        <v>0</v>
      </c>
      <c r="K35" s="1091">
        <v>0</v>
      </c>
      <c r="L35" s="1091">
        <v>0</v>
      </c>
      <c r="M35" s="1091">
        <v>0</v>
      </c>
      <c r="N35" s="1091">
        <v>0</v>
      </c>
      <c r="O35" s="1091">
        <v>0</v>
      </c>
      <c r="P35" s="1091">
        <v>0</v>
      </c>
      <c r="Q35" s="1091">
        <v>0</v>
      </c>
      <c r="R35" s="1091">
        <v>0</v>
      </c>
      <c r="S35" s="1091">
        <v>0</v>
      </c>
      <c r="T35" s="1091">
        <v>0</v>
      </c>
      <c r="U35" s="1091">
        <v>0</v>
      </c>
      <c r="V35" s="1091">
        <v>0</v>
      </c>
      <c r="W35" s="1091">
        <v>0</v>
      </c>
      <c r="X35" s="1091">
        <v>0</v>
      </c>
      <c r="Y35" s="1091">
        <v>73000</v>
      </c>
      <c r="Z35" s="1091">
        <f>Y35-43800</f>
        <v>29200</v>
      </c>
      <c r="AA35" s="1091"/>
    </row>
    <row r="36" spans="1:27" ht="15.75" hidden="1" customHeight="1" x14ac:dyDescent="0.2">
      <c r="A36" s="1094"/>
      <c r="B36" s="1101" t="s">
        <v>569</v>
      </c>
      <c r="C36" s="1100">
        <f>'Biểu 13'!E38</f>
        <v>0</v>
      </c>
      <c r="D36" s="1100">
        <f>'Biểu 13'!F39</f>
        <v>0</v>
      </c>
      <c r="E36" s="1095"/>
      <c r="F36" s="1095"/>
      <c r="G36" s="1092" t="e">
        <f t="shared" si="2"/>
        <v>#DIV/0!</v>
      </c>
      <c r="H36" s="1092" t="e">
        <f t="shared" si="3"/>
        <v>#DIV/0!</v>
      </c>
      <c r="I36" s="1097"/>
      <c r="J36" s="1097"/>
      <c r="K36" s="1097"/>
      <c r="L36" s="1097"/>
      <c r="M36" s="1097"/>
      <c r="N36" s="1097"/>
      <c r="O36" s="1097"/>
      <c r="P36" s="1097"/>
      <c r="Q36" s="1097"/>
      <c r="R36" s="1097"/>
      <c r="S36" s="1097"/>
      <c r="T36" s="1097"/>
      <c r="U36" s="1097"/>
      <c r="V36" s="1097"/>
      <c r="W36" s="1097"/>
      <c r="X36" s="1097"/>
      <c r="Y36" s="1097"/>
      <c r="Z36" s="1091">
        <f t="shared" si="18"/>
        <v>0</v>
      </c>
      <c r="AA36" s="1097"/>
    </row>
    <row r="37" spans="1:27" ht="15.75" hidden="1" customHeight="1" x14ac:dyDescent="0.2">
      <c r="A37" s="1094"/>
      <c r="B37" s="1101" t="s">
        <v>570</v>
      </c>
      <c r="C37" s="1100">
        <f>'Biểu 13'!E39</f>
        <v>0</v>
      </c>
      <c r="D37" s="1100">
        <f>'Biểu 13'!F40</f>
        <v>33540</v>
      </c>
      <c r="E37" s="1095"/>
      <c r="F37" s="1095"/>
      <c r="G37" s="1092" t="e">
        <f t="shared" si="2"/>
        <v>#DIV/0!</v>
      </c>
      <c r="H37" s="1092">
        <f t="shared" si="3"/>
        <v>0</v>
      </c>
      <c r="I37" s="1097"/>
      <c r="J37" s="1097"/>
      <c r="K37" s="1097"/>
      <c r="L37" s="1097"/>
      <c r="M37" s="1097"/>
      <c r="N37" s="1097"/>
      <c r="O37" s="1097"/>
      <c r="P37" s="1097"/>
      <c r="Q37" s="1097"/>
      <c r="R37" s="1097"/>
      <c r="S37" s="1097"/>
      <c r="T37" s="1097"/>
      <c r="U37" s="1097"/>
      <c r="V37" s="1097"/>
      <c r="W37" s="1097"/>
      <c r="X37" s="1097"/>
      <c r="Y37" s="1097"/>
      <c r="Z37" s="1091">
        <f t="shared" si="18"/>
        <v>0</v>
      </c>
      <c r="AA37" s="1097"/>
    </row>
    <row r="38" spans="1:27" s="1086" customFormat="1" ht="15.75" customHeight="1" x14ac:dyDescent="0.2">
      <c r="A38" s="1087">
        <v>11</v>
      </c>
      <c r="B38" s="1088" t="s">
        <v>231</v>
      </c>
      <c r="C38" s="1100">
        <f>'Biểu 13'!E40</f>
        <v>33540</v>
      </c>
      <c r="D38" s="1100">
        <f>'Biểu 13'!F40</f>
        <v>33540</v>
      </c>
      <c r="E38" s="1091">
        <f>'Biểu số 48'!C38</f>
        <v>35600</v>
      </c>
      <c r="F38" s="1091">
        <f>'Biểu số 48'!D38</f>
        <v>35600</v>
      </c>
      <c r="G38" s="1092">
        <f t="shared" si="2"/>
        <v>1.0614192009540846</v>
      </c>
      <c r="H38" s="1092">
        <f t="shared" si="3"/>
        <v>1.0614192009540846</v>
      </c>
      <c r="I38" s="1091">
        <f>I39+I40</f>
        <v>17660</v>
      </c>
      <c r="J38" s="1091">
        <f t="shared" ref="J38:Y38" si="19">J39+J40</f>
        <v>17660</v>
      </c>
      <c r="K38" s="1091">
        <f t="shared" si="19"/>
        <v>1840</v>
      </c>
      <c r="L38" s="1091">
        <f t="shared" si="19"/>
        <v>1840</v>
      </c>
      <c r="M38" s="1091">
        <f t="shared" si="19"/>
        <v>3060</v>
      </c>
      <c r="N38" s="1091">
        <f t="shared" si="19"/>
        <v>3060</v>
      </c>
      <c r="O38" s="1091">
        <f t="shared" si="19"/>
        <v>4270</v>
      </c>
      <c r="P38" s="1091">
        <f t="shared" si="19"/>
        <v>4270</v>
      </c>
      <c r="Q38" s="1091">
        <f t="shared" si="19"/>
        <v>2920</v>
      </c>
      <c r="R38" s="1091">
        <f t="shared" si="19"/>
        <v>2920</v>
      </c>
      <c r="S38" s="1091">
        <f t="shared" si="19"/>
        <v>2130</v>
      </c>
      <c r="T38" s="1091">
        <f t="shared" si="19"/>
        <v>2130</v>
      </c>
      <c r="U38" s="1091">
        <f t="shared" si="19"/>
        <v>2770</v>
      </c>
      <c r="V38" s="1091">
        <f t="shared" si="19"/>
        <v>2770</v>
      </c>
      <c r="W38" s="1091">
        <f t="shared" si="19"/>
        <v>1350</v>
      </c>
      <c r="X38" s="1091">
        <f t="shared" si="19"/>
        <v>1350</v>
      </c>
      <c r="Y38" s="1091">
        <f t="shared" si="19"/>
        <v>0</v>
      </c>
      <c r="Z38" s="1091">
        <f t="shared" si="18"/>
        <v>0</v>
      </c>
      <c r="AA38" s="1091"/>
    </row>
    <row r="39" spans="1:27" ht="12.75" customHeight="1" x14ac:dyDescent="0.2">
      <c r="A39" s="1094"/>
      <c r="B39" s="1101" t="s">
        <v>571</v>
      </c>
      <c r="C39" s="1095">
        <f>'Biểu 13'!E42</f>
        <v>0</v>
      </c>
      <c r="D39" s="1102">
        <f>'Biểu 13'!F42</f>
        <v>0</v>
      </c>
      <c r="E39" s="1102">
        <f>'Biểu số 48'!C39</f>
        <v>2100</v>
      </c>
      <c r="F39" s="1102">
        <f>'Biểu số 48'!D39</f>
        <v>2100</v>
      </c>
      <c r="G39" s="1092"/>
      <c r="H39" s="1092"/>
      <c r="I39" s="1097">
        <v>2000</v>
      </c>
      <c r="J39" s="1097">
        <v>2000</v>
      </c>
      <c r="K39" s="1097">
        <v>90</v>
      </c>
      <c r="L39" s="1097">
        <v>90</v>
      </c>
      <c r="M39" s="1097">
        <v>160</v>
      </c>
      <c r="N39" s="1097">
        <v>160</v>
      </c>
      <c r="O39" s="1097">
        <v>170</v>
      </c>
      <c r="P39" s="1097">
        <v>170</v>
      </c>
      <c r="Q39" s="1097">
        <v>194.17520105555553</v>
      </c>
      <c r="R39" s="1097">
        <v>194.17520105555553</v>
      </c>
      <c r="S39" s="1097">
        <v>50</v>
      </c>
      <c r="T39" s="1097">
        <v>50</v>
      </c>
      <c r="U39" s="1097">
        <v>100</v>
      </c>
      <c r="V39" s="1097">
        <v>100</v>
      </c>
      <c r="W39" s="1097">
        <v>40</v>
      </c>
      <c r="X39" s="1097">
        <v>40</v>
      </c>
      <c r="Y39" s="1097"/>
      <c r="Z39" s="1091">
        <f t="shared" si="18"/>
        <v>0</v>
      </c>
      <c r="AA39" s="1097"/>
    </row>
    <row r="40" spans="1:27" s="1106" customFormat="1" ht="13.5" x14ac:dyDescent="0.25">
      <c r="A40" s="1103"/>
      <c r="B40" s="1101" t="s">
        <v>572</v>
      </c>
      <c r="C40" s="1102"/>
      <c r="D40" s="1102"/>
      <c r="E40" s="1102">
        <f>'Biểu số 48'!C40</f>
        <v>33500</v>
      </c>
      <c r="F40" s="1102">
        <f>'Biểu số 48'!D40</f>
        <v>33500</v>
      </c>
      <c r="G40" s="1092"/>
      <c r="H40" s="1092"/>
      <c r="I40" s="1104">
        <v>15660</v>
      </c>
      <c r="J40" s="1104">
        <v>15660</v>
      </c>
      <c r="K40" s="1104">
        <v>1750</v>
      </c>
      <c r="L40" s="1104">
        <v>1750</v>
      </c>
      <c r="M40" s="1104">
        <v>2900</v>
      </c>
      <c r="N40" s="1104">
        <v>2900</v>
      </c>
      <c r="O40" s="1104">
        <v>4100</v>
      </c>
      <c r="P40" s="1104">
        <v>4100</v>
      </c>
      <c r="Q40" s="1104">
        <v>2725.8247989444444</v>
      </c>
      <c r="R40" s="1104">
        <v>2725.8247989444444</v>
      </c>
      <c r="S40" s="1104">
        <v>2080</v>
      </c>
      <c r="T40" s="1104">
        <v>2080</v>
      </c>
      <c r="U40" s="1104">
        <v>2670</v>
      </c>
      <c r="V40" s="1104">
        <v>2670</v>
      </c>
      <c r="W40" s="1104">
        <v>1310</v>
      </c>
      <c r="X40" s="1104">
        <v>1310</v>
      </c>
      <c r="Y40" s="1104"/>
      <c r="Z40" s="1105">
        <f t="shared" si="18"/>
        <v>0</v>
      </c>
      <c r="AA40" s="1104"/>
    </row>
    <row r="41" spans="1:27" s="1086" customFormat="1" ht="14.25" customHeight="1" x14ac:dyDescent="0.2">
      <c r="A41" s="1087">
        <v>12</v>
      </c>
      <c r="B41" s="1088" t="s">
        <v>249</v>
      </c>
      <c r="C41" s="1100">
        <f>'Biểu 13'!E43</f>
        <v>68457</v>
      </c>
      <c r="D41" s="1100">
        <f>'Biểu 13'!F43</f>
        <v>65457</v>
      </c>
      <c r="E41" s="1100">
        <f>'Biểu số 48'!C41</f>
        <v>74000</v>
      </c>
      <c r="F41" s="1100">
        <f>'Biểu số 48'!D41</f>
        <v>70350</v>
      </c>
      <c r="G41" s="1092">
        <f t="shared" si="2"/>
        <v>1.0809705362490323</v>
      </c>
      <c r="H41" s="1092">
        <f t="shared" si="3"/>
        <v>1.0747513634905357</v>
      </c>
      <c r="I41" s="1091">
        <v>5600</v>
      </c>
      <c r="J41" s="1091">
        <v>5600</v>
      </c>
      <c r="K41" s="1091">
        <v>1180</v>
      </c>
      <c r="L41" s="1091">
        <v>1180</v>
      </c>
      <c r="M41" s="1091">
        <v>1900</v>
      </c>
      <c r="N41" s="1091">
        <v>1900</v>
      </c>
      <c r="O41" s="1091">
        <v>45800</v>
      </c>
      <c r="P41" s="1091">
        <v>45800</v>
      </c>
      <c r="Q41" s="1091">
        <v>1920</v>
      </c>
      <c r="R41" s="1091">
        <v>1920</v>
      </c>
      <c r="S41" s="1091">
        <v>950</v>
      </c>
      <c r="T41" s="1091">
        <v>950</v>
      </c>
      <c r="U41" s="1091">
        <v>2750</v>
      </c>
      <c r="V41" s="1091">
        <v>2750</v>
      </c>
      <c r="W41" s="1091">
        <v>700</v>
      </c>
      <c r="X41" s="1091">
        <v>700</v>
      </c>
      <c r="Y41" s="1091">
        <v>5200</v>
      </c>
      <c r="Z41" s="1091">
        <f t="shared" si="18"/>
        <v>5200</v>
      </c>
      <c r="AA41" s="1091"/>
    </row>
    <row r="42" spans="1:27" ht="14.25" hidden="1" customHeight="1" x14ac:dyDescent="0.2">
      <c r="A42" s="1094" t="s">
        <v>23</v>
      </c>
      <c r="B42" s="1101" t="s">
        <v>232</v>
      </c>
      <c r="C42" s="1100">
        <f>'Biểu 13'!E44</f>
        <v>0</v>
      </c>
      <c r="D42" s="1100">
        <f>'Biểu 13'!F44</f>
        <v>0</v>
      </c>
      <c r="E42" s="1100">
        <f t="shared" ref="E42:E45" si="20">I42+K42+M42+O42+Q42+S42+U42+W42+Y42+AA42</f>
        <v>0</v>
      </c>
      <c r="F42" s="1095">
        <f t="shared" ref="F42:F51" si="21">J42+L42+N42+P42+R42+T42+V42+X42+Z42</f>
        <v>0</v>
      </c>
      <c r="G42" s="1092" t="e">
        <f t="shared" si="2"/>
        <v>#DIV/0!</v>
      </c>
      <c r="H42" s="1092" t="e">
        <f t="shared" si="3"/>
        <v>#DIV/0!</v>
      </c>
      <c r="I42" s="1097"/>
      <c r="J42" s="1097"/>
      <c r="K42" s="1097"/>
      <c r="L42" s="1097"/>
      <c r="M42" s="1097"/>
      <c r="N42" s="1097"/>
      <c r="O42" s="1097"/>
      <c r="P42" s="1097"/>
      <c r="Q42" s="1097"/>
      <c r="R42" s="1097"/>
      <c r="S42" s="1097"/>
      <c r="T42" s="1097"/>
      <c r="U42" s="1097"/>
      <c r="V42" s="1097"/>
      <c r="W42" s="1097"/>
      <c r="X42" s="1097"/>
      <c r="Y42" s="1097"/>
      <c r="Z42" s="1091">
        <f t="shared" si="18"/>
        <v>0</v>
      </c>
      <c r="AA42" s="1097"/>
    </row>
    <row r="43" spans="1:27" ht="14.25" hidden="1" customHeight="1" x14ac:dyDescent="0.2">
      <c r="A43" s="1094" t="s">
        <v>23</v>
      </c>
      <c r="B43" s="1101" t="s">
        <v>233</v>
      </c>
      <c r="C43" s="1100">
        <f>'Biểu 13'!E45</f>
        <v>0</v>
      </c>
      <c r="D43" s="1100">
        <f>'Biểu 13'!F45</f>
        <v>0</v>
      </c>
      <c r="E43" s="1100">
        <f t="shared" si="20"/>
        <v>0</v>
      </c>
      <c r="F43" s="1095">
        <f t="shared" si="21"/>
        <v>0</v>
      </c>
      <c r="G43" s="1092" t="e">
        <f t="shared" si="2"/>
        <v>#DIV/0!</v>
      </c>
      <c r="H43" s="1092" t="e">
        <f t="shared" si="3"/>
        <v>#DIV/0!</v>
      </c>
      <c r="I43" s="1097"/>
      <c r="J43" s="1097"/>
      <c r="K43" s="1097"/>
      <c r="L43" s="1097"/>
      <c r="M43" s="1097"/>
      <c r="N43" s="1097"/>
      <c r="O43" s="1097"/>
      <c r="P43" s="1097"/>
      <c r="Q43" s="1097"/>
      <c r="R43" s="1097"/>
      <c r="S43" s="1097"/>
      <c r="T43" s="1097"/>
      <c r="U43" s="1097"/>
      <c r="V43" s="1097"/>
      <c r="W43" s="1097"/>
      <c r="X43" s="1097"/>
      <c r="Y43" s="1097"/>
      <c r="Z43" s="1091">
        <f t="shared" si="18"/>
        <v>0</v>
      </c>
      <c r="AA43" s="1097"/>
    </row>
    <row r="44" spans="1:27" ht="14.25" hidden="1" customHeight="1" x14ac:dyDescent="0.2">
      <c r="A44" s="1094" t="s">
        <v>23</v>
      </c>
      <c r="B44" s="1101" t="s">
        <v>234</v>
      </c>
      <c r="C44" s="1100">
        <f>'Biểu 13'!E46</f>
        <v>0</v>
      </c>
      <c r="D44" s="1100">
        <f>'Biểu 13'!F46</f>
        <v>0</v>
      </c>
      <c r="E44" s="1100">
        <f t="shared" si="20"/>
        <v>0</v>
      </c>
      <c r="F44" s="1095">
        <f t="shared" si="21"/>
        <v>0</v>
      </c>
      <c r="G44" s="1092" t="e">
        <f t="shared" si="2"/>
        <v>#DIV/0!</v>
      </c>
      <c r="H44" s="1092" t="e">
        <f t="shared" si="3"/>
        <v>#DIV/0!</v>
      </c>
      <c r="I44" s="1097"/>
      <c r="J44" s="1097"/>
      <c r="K44" s="1097"/>
      <c r="L44" s="1097"/>
      <c r="M44" s="1097"/>
      <c r="N44" s="1097"/>
      <c r="O44" s="1097"/>
      <c r="P44" s="1097"/>
      <c r="Q44" s="1097"/>
      <c r="R44" s="1097"/>
      <c r="S44" s="1097"/>
      <c r="T44" s="1097"/>
      <c r="U44" s="1097"/>
      <c r="V44" s="1097"/>
      <c r="W44" s="1097"/>
      <c r="X44" s="1097"/>
      <c r="Y44" s="1097"/>
      <c r="Z44" s="1091">
        <f t="shared" si="18"/>
        <v>0</v>
      </c>
      <c r="AA44" s="1097"/>
    </row>
    <row r="45" spans="1:27" ht="14.25" hidden="1" customHeight="1" x14ac:dyDescent="0.2">
      <c r="A45" s="1094" t="s">
        <v>23</v>
      </c>
      <c r="B45" s="1101" t="s">
        <v>235</v>
      </c>
      <c r="C45" s="1100">
        <f>'Biểu 13'!E47</f>
        <v>0</v>
      </c>
      <c r="D45" s="1100">
        <f>'Biểu 13'!F47</f>
        <v>0</v>
      </c>
      <c r="E45" s="1100">
        <f t="shared" si="20"/>
        <v>0</v>
      </c>
      <c r="F45" s="1095">
        <f t="shared" si="21"/>
        <v>0</v>
      </c>
      <c r="G45" s="1092" t="e">
        <f t="shared" si="2"/>
        <v>#DIV/0!</v>
      </c>
      <c r="H45" s="1092" t="e">
        <f t="shared" si="3"/>
        <v>#DIV/0!</v>
      </c>
      <c r="I45" s="1097"/>
      <c r="J45" s="1097"/>
      <c r="K45" s="1097"/>
      <c r="L45" s="1097"/>
      <c r="M45" s="1097"/>
      <c r="N45" s="1097"/>
      <c r="O45" s="1097"/>
      <c r="P45" s="1097"/>
      <c r="Q45" s="1097"/>
      <c r="R45" s="1097"/>
      <c r="S45" s="1097"/>
      <c r="T45" s="1097"/>
      <c r="U45" s="1097"/>
      <c r="V45" s="1097"/>
      <c r="W45" s="1097"/>
      <c r="X45" s="1097"/>
      <c r="Y45" s="1097"/>
      <c r="Z45" s="1091">
        <f t="shared" si="18"/>
        <v>0</v>
      </c>
      <c r="AA45" s="1097"/>
    </row>
    <row r="46" spans="1:27" s="401" customFormat="1" ht="14.25" customHeight="1" x14ac:dyDescent="0.2">
      <c r="A46" s="1107">
        <v>13</v>
      </c>
      <c r="B46" s="711" t="s">
        <v>242</v>
      </c>
      <c r="C46" s="1100">
        <f>'Biểu 13'!E48</f>
        <v>32718</v>
      </c>
      <c r="D46" s="1100">
        <f>'Biểu 13'!F48</f>
        <v>25757</v>
      </c>
      <c r="E46" s="1108">
        <f>'Biểu số 48'!C46</f>
        <v>38000</v>
      </c>
      <c r="F46" s="1108">
        <f>'Biểu số 48'!D46</f>
        <v>22672</v>
      </c>
      <c r="G46" s="1092">
        <f t="shared" si="2"/>
        <v>1.1614401858304297</v>
      </c>
      <c r="H46" s="1092">
        <f t="shared" si="3"/>
        <v>0.88022673447994715</v>
      </c>
      <c r="I46" s="1109">
        <v>2500</v>
      </c>
      <c r="J46" s="1109">
        <f>-650+2500</f>
        <v>1850</v>
      </c>
      <c r="K46" s="1109">
        <v>2100</v>
      </c>
      <c r="L46" s="1109">
        <f>-480+2100</f>
        <v>1620</v>
      </c>
      <c r="M46" s="1109">
        <v>1660</v>
      </c>
      <c r="N46" s="1109">
        <f>-350+1660</f>
        <v>1310</v>
      </c>
      <c r="O46" s="1109">
        <v>3800</v>
      </c>
      <c r="P46" s="1109">
        <f>-180+3800</f>
        <v>3620</v>
      </c>
      <c r="Q46" s="1109">
        <v>1900</v>
      </c>
      <c r="R46" s="1109">
        <f>-200+1900</f>
        <v>1700</v>
      </c>
      <c r="S46" s="1109">
        <v>1000</v>
      </c>
      <c r="T46" s="1109">
        <f>-400+1000</f>
        <v>600</v>
      </c>
      <c r="U46" s="1109">
        <v>3300</v>
      </c>
      <c r="V46" s="1109">
        <f>-1100+3300</f>
        <v>2200</v>
      </c>
      <c r="W46" s="1109">
        <v>1740</v>
      </c>
      <c r="X46" s="1109">
        <f>-240+1740</f>
        <v>1500</v>
      </c>
      <c r="Y46" s="1109">
        <v>27100</v>
      </c>
      <c r="Z46" s="1109">
        <f>30700-8490</f>
        <v>22210</v>
      </c>
      <c r="AA46" s="1109"/>
    </row>
    <row r="47" spans="1:27" s="1086" customFormat="1" ht="14.25" hidden="1" customHeight="1" x14ac:dyDescent="0.2">
      <c r="A47" s="1087">
        <v>14</v>
      </c>
      <c r="B47" s="1088" t="s">
        <v>291</v>
      </c>
      <c r="C47" s="1100">
        <f>'Biểu 13'!E49</f>
        <v>0</v>
      </c>
      <c r="D47" s="1100">
        <f>'Biểu 13'!F49</f>
        <v>0</v>
      </c>
      <c r="E47" s="1100">
        <f>'Biểu số 48'!C47</f>
        <v>0</v>
      </c>
      <c r="F47" s="1100">
        <f>'Biểu số 48'!D47</f>
        <v>0</v>
      </c>
      <c r="G47" s="1092"/>
      <c r="H47" s="1092"/>
      <c r="I47" s="1091">
        <v>280</v>
      </c>
      <c r="J47" s="1091">
        <v>280</v>
      </c>
      <c r="K47" s="1091">
        <v>100</v>
      </c>
      <c r="L47" s="1091">
        <v>100</v>
      </c>
      <c r="M47" s="1091">
        <v>170</v>
      </c>
      <c r="N47" s="1091">
        <v>170</v>
      </c>
      <c r="O47" s="1091">
        <v>160</v>
      </c>
      <c r="P47" s="1091">
        <v>160</v>
      </c>
      <c r="Q47" s="1091">
        <v>100</v>
      </c>
      <c r="R47" s="1091">
        <v>100</v>
      </c>
      <c r="S47" s="1091">
        <v>60</v>
      </c>
      <c r="T47" s="1091">
        <v>60</v>
      </c>
      <c r="U47" s="1091">
        <v>90</v>
      </c>
      <c r="V47" s="1091">
        <v>90</v>
      </c>
      <c r="W47" s="1091">
        <v>40</v>
      </c>
      <c r="X47" s="1091">
        <v>40</v>
      </c>
      <c r="Y47" s="1091">
        <v>0</v>
      </c>
      <c r="Z47" s="1091">
        <f t="shared" si="18"/>
        <v>0</v>
      </c>
      <c r="AA47" s="1091"/>
    </row>
    <row r="48" spans="1:27" s="1086" customFormat="1" ht="14.25" customHeight="1" x14ac:dyDescent="0.2">
      <c r="A48" s="1087">
        <v>14</v>
      </c>
      <c r="B48" s="1088" t="s">
        <v>241</v>
      </c>
      <c r="C48" s="1100">
        <f>'Biểu 13'!E50</f>
        <v>9000</v>
      </c>
      <c r="D48" s="1100">
        <f>'Biểu 13'!F50</f>
        <v>6900</v>
      </c>
      <c r="E48" s="1100">
        <f>'Biểu số 48'!C48</f>
        <v>9500</v>
      </c>
      <c r="F48" s="1100">
        <f>'Biểu số 48'!D48</f>
        <v>7400</v>
      </c>
      <c r="G48" s="1092">
        <f t="shared" si="2"/>
        <v>1.0555555555555556</v>
      </c>
      <c r="H48" s="1092">
        <f t="shared" si="3"/>
        <v>1.0724637681159421</v>
      </c>
      <c r="I48" s="1091">
        <v>0</v>
      </c>
      <c r="J48" s="1091">
        <v>0</v>
      </c>
      <c r="K48" s="1091">
        <v>0</v>
      </c>
      <c r="L48" s="1091">
        <v>0</v>
      </c>
      <c r="M48" s="1091">
        <v>0</v>
      </c>
      <c r="N48" s="1091">
        <v>0</v>
      </c>
      <c r="O48" s="1091">
        <v>0</v>
      </c>
      <c r="P48" s="1091">
        <v>0</v>
      </c>
      <c r="Q48" s="1091">
        <v>0</v>
      </c>
      <c r="R48" s="1091">
        <v>0</v>
      </c>
      <c r="S48" s="1091">
        <v>0</v>
      </c>
      <c r="T48" s="1091">
        <v>0</v>
      </c>
      <c r="U48" s="1091">
        <v>0</v>
      </c>
      <c r="V48" s="1091">
        <v>0</v>
      </c>
      <c r="W48" s="1091">
        <v>0</v>
      </c>
      <c r="X48" s="1091">
        <v>0</v>
      </c>
      <c r="Y48" s="1091">
        <v>11000</v>
      </c>
      <c r="Z48" s="1091">
        <f>Y48-7700</f>
        <v>3300</v>
      </c>
      <c r="AA48" s="1091"/>
    </row>
    <row r="49" spans="1:27" s="1086" customFormat="1" ht="14.25" customHeight="1" x14ac:dyDescent="0.2">
      <c r="A49" s="1087">
        <v>15</v>
      </c>
      <c r="B49" s="1088" t="s">
        <v>250</v>
      </c>
      <c r="C49" s="1100">
        <f>'Biểu 13'!E51</f>
        <v>15000</v>
      </c>
      <c r="D49" s="1100">
        <f>'Biểu 13'!F51</f>
        <v>15000</v>
      </c>
      <c r="E49" s="1100">
        <f>'Biểu số 48'!C49</f>
        <v>15000</v>
      </c>
      <c r="F49" s="1100">
        <f>'Biểu số 48'!D49</f>
        <v>15000</v>
      </c>
      <c r="G49" s="1092">
        <f t="shared" si="2"/>
        <v>1</v>
      </c>
      <c r="H49" s="1092">
        <f t="shared" si="3"/>
        <v>1</v>
      </c>
      <c r="I49" s="1091">
        <v>0</v>
      </c>
      <c r="J49" s="1091">
        <v>0</v>
      </c>
      <c r="K49" s="1091">
        <v>0</v>
      </c>
      <c r="L49" s="1091">
        <v>0</v>
      </c>
      <c r="M49" s="1091">
        <v>0</v>
      </c>
      <c r="N49" s="1091">
        <v>0</v>
      </c>
      <c r="O49" s="1091">
        <v>0</v>
      </c>
      <c r="P49" s="1091">
        <v>0</v>
      </c>
      <c r="Q49" s="1091">
        <v>0</v>
      </c>
      <c r="R49" s="1091">
        <v>0</v>
      </c>
      <c r="S49" s="1091">
        <v>0</v>
      </c>
      <c r="T49" s="1091">
        <v>0</v>
      </c>
      <c r="U49" s="1091">
        <v>0</v>
      </c>
      <c r="V49" s="1091">
        <v>0</v>
      </c>
      <c r="W49" s="1091">
        <v>0</v>
      </c>
      <c r="X49" s="1091">
        <v>0</v>
      </c>
      <c r="Y49" s="1091">
        <v>15000</v>
      </c>
      <c r="Z49" s="1091">
        <f t="shared" si="18"/>
        <v>15000</v>
      </c>
      <c r="AA49" s="1091"/>
    </row>
    <row r="50" spans="1:27" ht="14.25" hidden="1" customHeight="1" x14ac:dyDescent="0.2">
      <c r="A50" s="1087" t="s">
        <v>11</v>
      </c>
      <c r="B50" s="1088" t="s">
        <v>8</v>
      </c>
      <c r="C50" s="1100"/>
      <c r="D50" s="1100">
        <f>'Biểu 13'!F53</f>
        <v>0</v>
      </c>
      <c r="E50" s="1095"/>
      <c r="F50" s="1095">
        <f t="shared" si="21"/>
        <v>0</v>
      </c>
      <c r="G50" s="1092"/>
      <c r="H50" s="1092"/>
      <c r="I50" s="1097"/>
      <c r="J50" s="1097"/>
      <c r="K50" s="1097"/>
      <c r="L50" s="1097"/>
      <c r="M50" s="1097"/>
      <c r="N50" s="1097"/>
      <c r="O50" s="1097"/>
      <c r="P50" s="1097"/>
      <c r="Q50" s="1097"/>
      <c r="R50" s="1097"/>
      <c r="S50" s="1097"/>
      <c r="T50" s="1097"/>
      <c r="U50" s="1097"/>
      <c r="V50" s="1097"/>
      <c r="W50" s="1097"/>
      <c r="X50" s="1097"/>
      <c r="Y50" s="1097"/>
      <c r="Z50" s="1097"/>
      <c r="AA50" s="1097"/>
    </row>
    <row r="51" spans="1:27" ht="14.25" customHeight="1" x14ac:dyDescent="0.2">
      <c r="A51" s="1110" t="s">
        <v>11</v>
      </c>
      <c r="B51" s="1111" t="s">
        <v>251</v>
      </c>
      <c r="C51" s="1112">
        <f>'Biểu 13'!E53</f>
        <v>1800</v>
      </c>
      <c r="D51" s="1112">
        <f>'Biểu 13'!F54</f>
        <v>0</v>
      </c>
      <c r="E51" s="1112">
        <v>3000</v>
      </c>
      <c r="F51" s="1113">
        <f t="shared" si="21"/>
        <v>0</v>
      </c>
      <c r="G51" s="1114">
        <f t="shared" si="2"/>
        <v>1.6666666666666667</v>
      </c>
      <c r="H51" s="1114"/>
      <c r="I51" s="1097"/>
      <c r="J51" s="1097"/>
      <c r="K51" s="1097"/>
      <c r="L51" s="1097"/>
      <c r="M51" s="1097"/>
      <c r="N51" s="1097"/>
      <c r="O51" s="1097"/>
      <c r="P51" s="1097"/>
      <c r="Q51" s="1097"/>
      <c r="R51" s="1097"/>
      <c r="S51" s="1097"/>
      <c r="T51" s="1097"/>
      <c r="U51" s="1097"/>
      <c r="V51" s="1097"/>
      <c r="W51" s="1097"/>
      <c r="X51" s="1097"/>
      <c r="Y51" s="1097"/>
      <c r="Z51" s="1097"/>
      <c r="AA51" s="1091">
        <v>1000</v>
      </c>
    </row>
    <row r="52" spans="1:27" hidden="1" x14ac:dyDescent="0.2">
      <c r="A52" s="1115"/>
      <c r="B52" s="1116" t="s">
        <v>573</v>
      </c>
      <c r="C52" s="1116"/>
      <c r="D52" s="1116"/>
      <c r="E52" s="1117"/>
      <c r="F52" s="1117"/>
      <c r="G52" s="1117"/>
      <c r="H52" s="1092" t="e">
        <f t="shared" si="3"/>
        <v>#DIV/0!</v>
      </c>
      <c r="I52" s="1097"/>
      <c r="J52" s="1097"/>
      <c r="K52" s="1097"/>
      <c r="L52" s="1097"/>
      <c r="M52" s="1097"/>
      <c r="N52" s="1097"/>
      <c r="O52" s="1097"/>
      <c r="P52" s="1097"/>
      <c r="Q52" s="1097"/>
      <c r="R52" s="1097"/>
      <c r="S52" s="1097"/>
      <c r="T52" s="1097"/>
      <c r="U52" s="1097"/>
      <c r="V52" s="1097"/>
      <c r="W52" s="1097"/>
      <c r="X52" s="1097"/>
      <c r="Y52" s="1097"/>
      <c r="Z52" s="1097"/>
      <c r="AA52" s="1097"/>
    </row>
    <row r="53" spans="1:27" hidden="1" x14ac:dyDescent="0.2">
      <c r="A53" s="1094"/>
      <c r="B53" s="1118" t="s">
        <v>574</v>
      </c>
      <c r="C53" s="1118"/>
      <c r="D53" s="1118"/>
      <c r="E53" s="1095"/>
      <c r="F53" s="1095"/>
      <c r="G53" s="1095"/>
      <c r="H53" s="1092" t="e">
        <f t="shared" si="3"/>
        <v>#DIV/0!</v>
      </c>
      <c r="I53" s="1097"/>
      <c r="J53" s="1097"/>
      <c r="K53" s="1097"/>
      <c r="L53" s="1097"/>
      <c r="M53" s="1097"/>
      <c r="N53" s="1097"/>
      <c r="O53" s="1097"/>
      <c r="P53" s="1097"/>
      <c r="Q53" s="1097"/>
      <c r="R53" s="1097"/>
      <c r="S53" s="1097"/>
      <c r="T53" s="1097"/>
      <c r="U53" s="1097"/>
      <c r="V53" s="1097"/>
      <c r="W53" s="1097"/>
      <c r="X53" s="1097"/>
      <c r="Y53" s="1097"/>
      <c r="Z53" s="1097"/>
      <c r="AA53" s="1097"/>
    </row>
    <row r="54" spans="1:27" hidden="1" x14ac:dyDescent="0.2">
      <c r="A54" s="1094"/>
      <c r="B54" s="1118" t="s">
        <v>575</v>
      </c>
      <c r="C54" s="1118"/>
      <c r="D54" s="1118"/>
      <c r="E54" s="1095"/>
      <c r="F54" s="1095"/>
      <c r="G54" s="1095"/>
      <c r="H54" s="1092" t="e">
        <f t="shared" si="3"/>
        <v>#DIV/0!</v>
      </c>
      <c r="I54" s="1097"/>
      <c r="J54" s="1097"/>
      <c r="K54" s="1097"/>
      <c r="L54" s="1097"/>
      <c r="M54" s="1097"/>
      <c r="N54" s="1097"/>
      <c r="O54" s="1097"/>
      <c r="P54" s="1097"/>
      <c r="Q54" s="1097"/>
      <c r="R54" s="1097"/>
      <c r="S54" s="1097"/>
      <c r="T54" s="1097"/>
      <c r="U54" s="1097"/>
      <c r="V54" s="1097"/>
      <c r="W54" s="1097"/>
      <c r="X54" s="1097"/>
      <c r="Y54" s="1097"/>
      <c r="Z54" s="1097"/>
      <c r="AA54" s="1097"/>
    </row>
    <row r="55" spans="1:27" hidden="1" x14ac:dyDescent="0.2">
      <c r="A55" s="1094"/>
      <c r="B55" s="1118" t="s">
        <v>576</v>
      </c>
      <c r="C55" s="1118"/>
      <c r="D55" s="1118"/>
      <c r="E55" s="1095"/>
      <c r="F55" s="1095"/>
      <c r="G55" s="1095"/>
      <c r="H55" s="1092" t="e">
        <f t="shared" si="3"/>
        <v>#DIV/0!</v>
      </c>
      <c r="I55" s="1097"/>
      <c r="J55" s="1097"/>
      <c r="K55" s="1097"/>
      <c r="L55" s="1097"/>
      <c r="M55" s="1097"/>
      <c r="N55" s="1097"/>
      <c r="O55" s="1097"/>
      <c r="P55" s="1097"/>
      <c r="Q55" s="1097"/>
      <c r="R55" s="1097"/>
      <c r="S55" s="1097"/>
      <c r="T55" s="1097"/>
      <c r="U55" s="1097"/>
      <c r="V55" s="1097"/>
      <c r="W55" s="1097"/>
      <c r="X55" s="1097"/>
      <c r="Y55" s="1097"/>
      <c r="Z55" s="1097"/>
      <c r="AA55" s="1097"/>
    </row>
    <row r="56" spans="1:27" hidden="1" x14ac:dyDescent="0.2">
      <c r="A56" s="1094"/>
      <c r="B56" s="1118" t="s">
        <v>570</v>
      </c>
      <c r="C56" s="1118"/>
      <c r="D56" s="1118"/>
      <c r="E56" s="1095"/>
      <c r="F56" s="1095"/>
      <c r="G56" s="1095"/>
      <c r="H56" s="1092" t="e">
        <f t="shared" si="3"/>
        <v>#DIV/0!</v>
      </c>
      <c r="I56" s="1097"/>
      <c r="J56" s="1097"/>
      <c r="K56" s="1097"/>
      <c r="L56" s="1097"/>
      <c r="M56" s="1097"/>
      <c r="N56" s="1097"/>
      <c r="O56" s="1097"/>
      <c r="P56" s="1097"/>
      <c r="Q56" s="1097"/>
      <c r="R56" s="1097"/>
      <c r="S56" s="1097"/>
      <c r="T56" s="1097"/>
      <c r="U56" s="1097"/>
      <c r="V56" s="1097"/>
      <c r="W56" s="1097"/>
      <c r="X56" s="1097"/>
      <c r="Y56" s="1097"/>
      <c r="Z56" s="1097"/>
      <c r="AA56" s="1097"/>
    </row>
    <row r="57" spans="1:27" hidden="1" x14ac:dyDescent="0.2">
      <c r="A57" s="1094"/>
      <c r="B57" s="1118" t="s">
        <v>564</v>
      </c>
      <c r="C57" s="1118"/>
      <c r="D57" s="1118"/>
      <c r="E57" s="1095"/>
      <c r="F57" s="1095"/>
      <c r="G57" s="1095"/>
      <c r="H57" s="1092" t="e">
        <f t="shared" si="3"/>
        <v>#DIV/0!</v>
      </c>
      <c r="I57" s="1097"/>
      <c r="J57" s="1097"/>
      <c r="K57" s="1097"/>
      <c r="L57" s="1097"/>
      <c r="M57" s="1097"/>
      <c r="N57" s="1097"/>
      <c r="O57" s="1097"/>
      <c r="P57" s="1097"/>
      <c r="Q57" s="1097"/>
      <c r="R57" s="1097"/>
      <c r="S57" s="1097"/>
      <c r="T57" s="1097"/>
      <c r="U57" s="1097"/>
      <c r="V57" s="1097"/>
      <c r="W57" s="1097"/>
      <c r="X57" s="1097"/>
      <c r="Y57" s="1097"/>
      <c r="Z57" s="1097"/>
      <c r="AA57" s="1097"/>
    </row>
    <row r="58" spans="1:27" hidden="1" x14ac:dyDescent="0.2">
      <c r="A58" s="1110" t="s">
        <v>15</v>
      </c>
      <c r="B58" s="1111" t="s">
        <v>243</v>
      </c>
      <c r="C58" s="1111"/>
      <c r="D58" s="1111"/>
      <c r="E58" s="1113"/>
      <c r="F58" s="1113"/>
      <c r="G58" s="1113"/>
      <c r="H58" s="1092" t="e">
        <f t="shared" si="3"/>
        <v>#DIV/0!</v>
      </c>
      <c r="I58" s="1119"/>
      <c r="J58" s="1119"/>
      <c r="K58" s="1119"/>
      <c r="L58" s="1119"/>
      <c r="M58" s="1119"/>
      <c r="N58" s="1119"/>
      <c r="O58" s="1119"/>
      <c r="P58" s="1119"/>
      <c r="Q58" s="1119"/>
      <c r="R58" s="1119"/>
      <c r="S58" s="1119"/>
      <c r="T58" s="1119"/>
      <c r="U58" s="1119"/>
      <c r="V58" s="1119"/>
      <c r="W58" s="1119"/>
      <c r="X58" s="1119"/>
      <c r="Y58" s="1119"/>
      <c r="Z58" s="1119"/>
      <c r="AA58" s="1119"/>
    </row>
    <row r="59" spans="1:27" ht="13.5" x14ac:dyDescent="0.2">
      <c r="A59" s="1120"/>
      <c r="E59" s="1098"/>
      <c r="F59" s="1098"/>
    </row>
    <row r="60" spans="1:27" x14ac:dyDescent="0.2">
      <c r="E60" s="1098"/>
    </row>
    <row r="63" spans="1:27" ht="15.75" customHeight="1" x14ac:dyDescent="0.2"/>
    <row r="64" spans="1:27" ht="15.75" customHeight="1" x14ac:dyDescent="0.2"/>
    <row r="65" ht="51" customHeight="1" x14ac:dyDescent="0.2"/>
    <row r="66" ht="51" customHeight="1" x14ac:dyDescent="0.2"/>
    <row r="67" ht="72.75" customHeight="1" x14ac:dyDescent="0.2"/>
  </sheetData>
  <mergeCells count="17">
    <mergeCell ref="U4:V4"/>
    <mergeCell ref="W4:X4"/>
    <mergeCell ref="Y4:Z4"/>
    <mergeCell ref="A1:AA1"/>
    <mergeCell ref="A2:AA2"/>
    <mergeCell ref="G3:H3"/>
    <mergeCell ref="C4:D4"/>
    <mergeCell ref="K4:L4"/>
    <mergeCell ref="M4:N4"/>
    <mergeCell ref="O4:P4"/>
    <mergeCell ref="Q4:R4"/>
    <mergeCell ref="S4:T4"/>
    <mergeCell ref="A4:A5"/>
    <mergeCell ref="B4:B5"/>
    <mergeCell ref="E4:F4"/>
    <mergeCell ref="G4:H4"/>
    <mergeCell ref="I4:J4"/>
  </mergeCells>
  <pageMargins left="1.08" right="0.22" top="0.75" bottom="1.02" header="0.45" footer="0.63"/>
  <pageSetup paperSize="9" firstPageNumber="5" orientation="portrait" useFirstPageNumber="1" r:id="rId1"/>
  <headerFooter>
    <oddHeader>&amp;RBiểu mẫu số 16</oddHeader>
    <oddFooter>&amp;C&amp;P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pageSetUpPr fitToPage="1"/>
  </sheetPr>
  <dimension ref="A1:X57"/>
  <sheetViews>
    <sheetView zoomScaleNormal="100" workbookViewId="0">
      <selection activeCell="B60" sqref="B60"/>
    </sheetView>
  </sheetViews>
  <sheetFormatPr defaultRowHeight="12.75" x14ac:dyDescent="0.2"/>
  <cols>
    <col min="1" max="1" width="2.75" style="732" customWidth="1"/>
    <col min="2" max="2" width="17.625" style="733" customWidth="1"/>
    <col min="3" max="6" width="6.625" style="733" customWidth="1"/>
    <col min="7" max="10" width="6" style="733" customWidth="1"/>
    <col min="11" max="12" width="7.25" style="733" customWidth="1"/>
    <col min="13" max="18" width="6" style="733" customWidth="1"/>
    <col min="19" max="20" width="5.375" style="733" customWidth="1"/>
    <col min="21" max="22" width="6.625" style="733" customWidth="1"/>
    <col min="23" max="24" width="5.25" style="728" customWidth="1"/>
    <col min="25" max="246" width="9" style="728"/>
    <col min="247" max="247" width="2.75" style="728" customWidth="1"/>
    <col min="248" max="248" width="11" style="728" customWidth="1"/>
    <col min="249" max="249" width="4.875" style="728" customWidth="1"/>
    <col min="250" max="250" width="5.125" style="728" customWidth="1"/>
    <col min="251" max="251" width="5.25" style="728" customWidth="1"/>
    <col min="252" max="252" width="4.875" style="728" customWidth="1"/>
    <col min="253" max="253" width="4.25" style="728" customWidth="1"/>
    <col min="254" max="254" width="4" style="728" customWidth="1"/>
    <col min="255" max="255" width="4.25" style="728" customWidth="1"/>
    <col min="256" max="257" width="4.375" style="728" customWidth="1"/>
    <col min="258" max="259" width="4" style="728" customWidth="1"/>
    <col min="260" max="260" width="4.375" style="728" customWidth="1"/>
    <col min="261" max="261" width="4.125" style="728" customWidth="1"/>
    <col min="262" max="262" width="4.375" style="728" customWidth="1"/>
    <col min="263" max="263" width="4.5" style="728" customWidth="1"/>
    <col min="264" max="264" width="4.75" style="728" customWidth="1"/>
    <col min="265" max="266" width="3.625" style="728" customWidth="1"/>
    <col min="267" max="268" width="5.25" style="728" customWidth="1"/>
    <col min="269" max="270" width="4.375" style="728" customWidth="1"/>
    <col min="271" max="502" width="9" style="728"/>
    <col min="503" max="503" width="2.75" style="728" customWidth="1"/>
    <col min="504" max="504" width="11" style="728" customWidth="1"/>
    <col min="505" max="505" width="4.875" style="728" customWidth="1"/>
    <col min="506" max="506" width="5.125" style="728" customWidth="1"/>
    <col min="507" max="507" width="5.25" style="728" customWidth="1"/>
    <col min="508" max="508" width="4.875" style="728" customWidth="1"/>
    <col min="509" max="509" width="4.25" style="728" customWidth="1"/>
    <col min="510" max="510" width="4" style="728" customWidth="1"/>
    <col min="511" max="511" width="4.25" style="728" customWidth="1"/>
    <col min="512" max="513" width="4.375" style="728" customWidth="1"/>
    <col min="514" max="515" width="4" style="728" customWidth="1"/>
    <col min="516" max="516" width="4.375" style="728" customWidth="1"/>
    <col min="517" max="517" width="4.125" style="728" customWidth="1"/>
    <col min="518" max="518" width="4.375" style="728" customWidth="1"/>
    <col min="519" max="519" width="4.5" style="728" customWidth="1"/>
    <col min="520" max="520" width="4.75" style="728" customWidth="1"/>
    <col min="521" max="522" width="3.625" style="728" customWidth="1"/>
    <col min="523" max="524" width="5.25" style="728" customWidth="1"/>
    <col min="525" max="526" width="4.375" style="728" customWidth="1"/>
    <col min="527" max="758" width="9" style="728"/>
    <col min="759" max="759" width="2.75" style="728" customWidth="1"/>
    <col min="760" max="760" width="11" style="728" customWidth="1"/>
    <col min="761" max="761" width="4.875" style="728" customWidth="1"/>
    <col min="762" max="762" width="5.125" style="728" customWidth="1"/>
    <col min="763" max="763" width="5.25" style="728" customWidth="1"/>
    <col min="764" max="764" width="4.875" style="728" customWidth="1"/>
    <col min="765" max="765" width="4.25" style="728" customWidth="1"/>
    <col min="766" max="766" width="4" style="728" customWidth="1"/>
    <col min="767" max="767" width="4.25" style="728" customWidth="1"/>
    <col min="768" max="769" width="4.375" style="728" customWidth="1"/>
    <col min="770" max="771" width="4" style="728" customWidth="1"/>
    <col min="772" max="772" width="4.375" style="728" customWidth="1"/>
    <col min="773" max="773" width="4.125" style="728" customWidth="1"/>
    <col min="774" max="774" width="4.375" style="728" customWidth="1"/>
    <col min="775" max="775" width="4.5" style="728" customWidth="1"/>
    <col min="776" max="776" width="4.75" style="728" customWidth="1"/>
    <col min="777" max="778" width="3.625" style="728" customWidth="1"/>
    <col min="779" max="780" width="5.25" style="728" customWidth="1"/>
    <col min="781" max="782" width="4.375" style="728" customWidth="1"/>
    <col min="783" max="1014" width="9" style="728"/>
    <col min="1015" max="1015" width="2.75" style="728" customWidth="1"/>
    <col min="1016" max="1016" width="11" style="728" customWidth="1"/>
    <col min="1017" max="1017" width="4.875" style="728" customWidth="1"/>
    <col min="1018" max="1018" width="5.125" style="728" customWidth="1"/>
    <col min="1019" max="1019" width="5.25" style="728" customWidth="1"/>
    <col min="1020" max="1020" width="4.875" style="728" customWidth="1"/>
    <col min="1021" max="1021" width="4.25" style="728" customWidth="1"/>
    <col min="1022" max="1022" width="4" style="728" customWidth="1"/>
    <col min="1023" max="1023" width="4.25" style="728" customWidth="1"/>
    <col min="1024" max="1025" width="4.375" style="728" customWidth="1"/>
    <col min="1026" max="1027" width="4" style="728" customWidth="1"/>
    <col min="1028" max="1028" width="4.375" style="728" customWidth="1"/>
    <col min="1029" max="1029" width="4.125" style="728" customWidth="1"/>
    <col min="1030" max="1030" width="4.375" style="728" customWidth="1"/>
    <col min="1031" max="1031" width="4.5" style="728" customWidth="1"/>
    <col min="1032" max="1032" width="4.75" style="728" customWidth="1"/>
    <col min="1033" max="1034" width="3.625" style="728" customWidth="1"/>
    <col min="1035" max="1036" width="5.25" style="728" customWidth="1"/>
    <col min="1037" max="1038" width="4.375" style="728" customWidth="1"/>
    <col min="1039" max="1270" width="9" style="728"/>
    <col min="1271" max="1271" width="2.75" style="728" customWidth="1"/>
    <col min="1272" max="1272" width="11" style="728" customWidth="1"/>
    <col min="1273" max="1273" width="4.875" style="728" customWidth="1"/>
    <col min="1274" max="1274" width="5.125" style="728" customWidth="1"/>
    <col min="1275" max="1275" width="5.25" style="728" customWidth="1"/>
    <col min="1276" max="1276" width="4.875" style="728" customWidth="1"/>
    <col min="1277" max="1277" width="4.25" style="728" customWidth="1"/>
    <col min="1278" max="1278" width="4" style="728" customWidth="1"/>
    <col min="1279" max="1279" width="4.25" style="728" customWidth="1"/>
    <col min="1280" max="1281" width="4.375" style="728" customWidth="1"/>
    <col min="1282" max="1283" width="4" style="728" customWidth="1"/>
    <col min="1284" max="1284" width="4.375" style="728" customWidth="1"/>
    <col min="1285" max="1285" width="4.125" style="728" customWidth="1"/>
    <col min="1286" max="1286" width="4.375" style="728" customWidth="1"/>
    <col min="1287" max="1287" width="4.5" style="728" customWidth="1"/>
    <col min="1288" max="1288" width="4.75" style="728" customWidth="1"/>
    <col min="1289" max="1290" width="3.625" style="728" customWidth="1"/>
    <col min="1291" max="1292" width="5.25" style="728" customWidth="1"/>
    <col min="1293" max="1294" width="4.375" style="728" customWidth="1"/>
    <col min="1295" max="1526" width="9" style="728"/>
    <col min="1527" max="1527" width="2.75" style="728" customWidth="1"/>
    <col min="1528" max="1528" width="11" style="728" customWidth="1"/>
    <col min="1529" max="1529" width="4.875" style="728" customWidth="1"/>
    <col min="1530" max="1530" width="5.125" style="728" customWidth="1"/>
    <col min="1531" max="1531" width="5.25" style="728" customWidth="1"/>
    <col min="1532" max="1532" width="4.875" style="728" customWidth="1"/>
    <col min="1533" max="1533" width="4.25" style="728" customWidth="1"/>
    <col min="1534" max="1534" width="4" style="728" customWidth="1"/>
    <col min="1535" max="1535" width="4.25" style="728" customWidth="1"/>
    <col min="1536" max="1537" width="4.375" style="728" customWidth="1"/>
    <col min="1538" max="1539" width="4" style="728" customWidth="1"/>
    <col min="1540" max="1540" width="4.375" style="728" customWidth="1"/>
    <col min="1541" max="1541" width="4.125" style="728" customWidth="1"/>
    <col min="1542" max="1542" width="4.375" style="728" customWidth="1"/>
    <col min="1543" max="1543" width="4.5" style="728" customWidth="1"/>
    <col min="1544" max="1544" width="4.75" style="728" customWidth="1"/>
    <col min="1545" max="1546" width="3.625" style="728" customWidth="1"/>
    <col min="1547" max="1548" width="5.25" style="728" customWidth="1"/>
    <col min="1549" max="1550" width="4.375" style="728" customWidth="1"/>
    <col min="1551" max="1782" width="9" style="728"/>
    <col min="1783" max="1783" width="2.75" style="728" customWidth="1"/>
    <col min="1784" max="1784" width="11" style="728" customWidth="1"/>
    <col min="1785" max="1785" width="4.875" style="728" customWidth="1"/>
    <col min="1786" max="1786" width="5.125" style="728" customWidth="1"/>
    <col min="1787" max="1787" width="5.25" style="728" customWidth="1"/>
    <col min="1788" max="1788" width="4.875" style="728" customWidth="1"/>
    <col min="1789" max="1789" width="4.25" style="728" customWidth="1"/>
    <col min="1790" max="1790" width="4" style="728" customWidth="1"/>
    <col min="1791" max="1791" width="4.25" style="728" customWidth="1"/>
    <col min="1792" max="1793" width="4.375" style="728" customWidth="1"/>
    <col min="1794" max="1795" width="4" style="728" customWidth="1"/>
    <col min="1796" max="1796" width="4.375" style="728" customWidth="1"/>
    <col min="1797" max="1797" width="4.125" style="728" customWidth="1"/>
    <col min="1798" max="1798" width="4.375" style="728" customWidth="1"/>
    <col min="1799" max="1799" width="4.5" style="728" customWidth="1"/>
    <col min="1800" max="1800" width="4.75" style="728" customWidth="1"/>
    <col min="1801" max="1802" width="3.625" style="728" customWidth="1"/>
    <col min="1803" max="1804" width="5.25" style="728" customWidth="1"/>
    <col min="1805" max="1806" width="4.375" style="728" customWidth="1"/>
    <col min="1807" max="2038" width="9" style="728"/>
    <col min="2039" max="2039" width="2.75" style="728" customWidth="1"/>
    <col min="2040" max="2040" width="11" style="728" customWidth="1"/>
    <col min="2041" max="2041" width="4.875" style="728" customWidth="1"/>
    <col min="2042" max="2042" width="5.125" style="728" customWidth="1"/>
    <col min="2043" max="2043" width="5.25" style="728" customWidth="1"/>
    <col min="2044" max="2044" width="4.875" style="728" customWidth="1"/>
    <col min="2045" max="2045" width="4.25" style="728" customWidth="1"/>
    <col min="2046" max="2046" width="4" style="728" customWidth="1"/>
    <col min="2047" max="2047" width="4.25" style="728" customWidth="1"/>
    <col min="2048" max="2049" width="4.375" style="728" customWidth="1"/>
    <col min="2050" max="2051" width="4" style="728" customWidth="1"/>
    <col min="2052" max="2052" width="4.375" style="728" customWidth="1"/>
    <col min="2053" max="2053" width="4.125" style="728" customWidth="1"/>
    <col min="2054" max="2054" width="4.375" style="728" customWidth="1"/>
    <col min="2055" max="2055" width="4.5" style="728" customWidth="1"/>
    <col min="2056" max="2056" width="4.75" style="728" customWidth="1"/>
    <col min="2057" max="2058" width="3.625" style="728" customWidth="1"/>
    <col min="2059" max="2060" width="5.25" style="728" customWidth="1"/>
    <col min="2061" max="2062" width="4.375" style="728" customWidth="1"/>
    <col min="2063" max="2294" width="9" style="728"/>
    <col min="2295" max="2295" width="2.75" style="728" customWidth="1"/>
    <col min="2296" max="2296" width="11" style="728" customWidth="1"/>
    <col min="2297" max="2297" width="4.875" style="728" customWidth="1"/>
    <col min="2298" max="2298" width="5.125" style="728" customWidth="1"/>
    <col min="2299" max="2299" width="5.25" style="728" customWidth="1"/>
    <col min="2300" max="2300" width="4.875" style="728" customWidth="1"/>
    <col min="2301" max="2301" width="4.25" style="728" customWidth="1"/>
    <col min="2302" max="2302" width="4" style="728" customWidth="1"/>
    <col min="2303" max="2303" width="4.25" style="728" customWidth="1"/>
    <col min="2304" max="2305" width="4.375" style="728" customWidth="1"/>
    <col min="2306" max="2307" width="4" style="728" customWidth="1"/>
    <col min="2308" max="2308" width="4.375" style="728" customWidth="1"/>
    <col min="2309" max="2309" width="4.125" style="728" customWidth="1"/>
    <col min="2310" max="2310" width="4.375" style="728" customWidth="1"/>
    <col min="2311" max="2311" width="4.5" style="728" customWidth="1"/>
    <col min="2312" max="2312" width="4.75" style="728" customWidth="1"/>
    <col min="2313" max="2314" width="3.625" style="728" customWidth="1"/>
    <col min="2315" max="2316" width="5.25" style="728" customWidth="1"/>
    <col min="2317" max="2318" width="4.375" style="728" customWidth="1"/>
    <col min="2319" max="2550" width="9" style="728"/>
    <col min="2551" max="2551" width="2.75" style="728" customWidth="1"/>
    <col min="2552" max="2552" width="11" style="728" customWidth="1"/>
    <col min="2553" max="2553" width="4.875" style="728" customWidth="1"/>
    <col min="2554" max="2554" width="5.125" style="728" customWidth="1"/>
    <col min="2555" max="2555" width="5.25" style="728" customWidth="1"/>
    <col min="2556" max="2556" width="4.875" style="728" customWidth="1"/>
    <col min="2557" max="2557" width="4.25" style="728" customWidth="1"/>
    <col min="2558" max="2558" width="4" style="728" customWidth="1"/>
    <col min="2559" max="2559" width="4.25" style="728" customWidth="1"/>
    <col min="2560" max="2561" width="4.375" style="728" customWidth="1"/>
    <col min="2562" max="2563" width="4" style="728" customWidth="1"/>
    <col min="2564" max="2564" width="4.375" style="728" customWidth="1"/>
    <col min="2565" max="2565" width="4.125" style="728" customWidth="1"/>
    <col min="2566" max="2566" width="4.375" style="728" customWidth="1"/>
    <col min="2567" max="2567" width="4.5" style="728" customWidth="1"/>
    <col min="2568" max="2568" width="4.75" style="728" customWidth="1"/>
    <col min="2569" max="2570" width="3.625" style="728" customWidth="1"/>
    <col min="2571" max="2572" width="5.25" style="728" customWidth="1"/>
    <col min="2573" max="2574" width="4.375" style="728" customWidth="1"/>
    <col min="2575" max="2806" width="9" style="728"/>
    <col min="2807" max="2807" width="2.75" style="728" customWidth="1"/>
    <col min="2808" max="2808" width="11" style="728" customWidth="1"/>
    <col min="2809" max="2809" width="4.875" style="728" customWidth="1"/>
    <col min="2810" max="2810" width="5.125" style="728" customWidth="1"/>
    <col min="2811" max="2811" width="5.25" style="728" customWidth="1"/>
    <col min="2812" max="2812" width="4.875" style="728" customWidth="1"/>
    <col min="2813" max="2813" width="4.25" style="728" customWidth="1"/>
    <col min="2814" max="2814" width="4" style="728" customWidth="1"/>
    <col min="2815" max="2815" width="4.25" style="728" customWidth="1"/>
    <col min="2816" max="2817" width="4.375" style="728" customWidth="1"/>
    <col min="2818" max="2819" width="4" style="728" customWidth="1"/>
    <col min="2820" max="2820" width="4.375" style="728" customWidth="1"/>
    <col min="2821" max="2821" width="4.125" style="728" customWidth="1"/>
    <col min="2822" max="2822" width="4.375" style="728" customWidth="1"/>
    <col min="2823" max="2823" width="4.5" style="728" customWidth="1"/>
    <col min="2824" max="2824" width="4.75" style="728" customWidth="1"/>
    <col min="2825" max="2826" width="3.625" style="728" customWidth="1"/>
    <col min="2827" max="2828" width="5.25" style="728" customWidth="1"/>
    <col min="2829" max="2830" width="4.375" style="728" customWidth="1"/>
    <col min="2831" max="3062" width="9" style="728"/>
    <col min="3063" max="3063" width="2.75" style="728" customWidth="1"/>
    <col min="3064" max="3064" width="11" style="728" customWidth="1"/>
    <col min="3065" max="3065" width="4.875" style="728" customWidth="1"/>
    <col min="3066" max="3066" width="5.125" style="728" customWidth="1"/>
    <col min="3067" max="3067" width="5.25" style="728" customWidth="1"/>
    <col min="3068" max="3068" width="4.875" style="728" customWidth="1"/>
    <col min="3069" max="3069" width="4.25" style="728" customWidth="1"/>
    <col min="3070" max="3070" width="4" style="728" customWidth="1"/>
    <col min="3071" max="3071" width="4.25" style="728" customWidth="1"/>
    <col min="3072" max="3073" width="4.375" style="728" customWidth="1"/>
    <col min="3074" max="3075" width="4" style="728" customWidth="1"/>
    <col min="3076" max="3076" width="4.375" style="728" customWidth="1"/>
    <col min="3077" max="3077" width="4.125" style="728" customWidth="1"/>
    <col min="3078" max="3078" width="4.375" style="728" customWidth="1"/>
    <col min="3079" max="3079" width="4.5" style="728" customWidth="1"/>
    <col min="3080" max="3080" width="4.75" style="728" customWidth="1"/>
    <col min="3081" max="3082" width="3.625" style="728" customWidth="1"/>
    <col min="3083" max="3084" width="5.25" style="728" customWidth="1"/>
    <col min="3085" max="3086" width="4.375" style="728" customWidth="1"/>
    <col min="3087" max="3318" width="9" style="728"/>
    <col min="3319" max="3319" width="2.75" style="728" customWidth="1"/>
    <col min="3320" max="3320" width="11" style="728" customWidth="1"/>
    <col min="3321" max="3321" width="4.875" style="728" customWidth="1"/>
    <col min="3322" max="3322" width="5.125" style="728" customWidth="1"/>
    <col min="3323" max="3323" width="5.25" style="728" customWidth="1"/>
    <col min="3324" max="3324" width="4.875" style="728" customWidth="1"/>
    <col min="3325" max="3325" width="4.25" style="728" customWidth="1"/>
    <col min="3326" max="3326" width="4" style="728" customWidth="1"/>
    <col min="3327" max="3327" width="4.25" style="728" customWidth="1"/>
    <col min="3328" max="3329" width="4.375" style="728" customWidth="1"/>
    <col min="3330" max="3331" width="4" style="728" customWidth="1"/>
    <col min="3332" max="3332" width="4.375" style="728" customWidth="1"/>
    <col min="3333" max="3333" width="4.125" style="728" customWidth="1"/>
    <col min="3334" max="3334" width="4.375" style="728" customWidth="1"/>
    <col min="3335" max="3335" width="4.5" style="728" customWidth="1"/>
    <col min="3336" max="3336" width="4.75" style="728" customWidth="1"/>
    <col min="3337" max="3338" width="3.625" style="728" customWidth="1"/>
    <col min="3339" max="3340" width="5.25" style="728" customWidth="1"/>
    <col min="3341" max="3342" width="4.375" style="728" customWidth="1"/>
    <col min="3343" max="3574" width="9" style="728"/>
    <col min="3575" max="3575" width="2.75" style="728" customWidth="1"/>
    <col min="3576" max="3576" width="11" style="728" customWidth="1"/>
    <col min="3577" max="3577" width="4.875" style="728" customWidth="1"/>
    <col min="3578" max="3578" width="5.125" style="728" customWidth="1"/>
    <col min="3579" max="3579" width="5.25" style="728" customWidth="1"/>
    <col min="3580" max="3580" width="4.875" style="728" customWidth="1"/>
    <col min="3581" max="3581" width="4.25" style="728" customWidth="1"/>
    <col min="3582" max="3582" width="4" style="728" customWidth="1"/>
    <col min="3583" max="3583" width="4.25" style="728" customWidth="1"/>
    <col min="3584" max="3585" width="4.375" style="728" customWidth="1"/>
    <col min="3586" max="3587" width="4" style="728" customWidth="1"/>
    <col min="3588" max="3588" width="4.375" style="728" customWidth="1"/>
    <col min="3589" max="3589" width="4.125" style="728" customWidth="1"/>
    <col min="3590" max="3590" width="4.375" style="728" customWidth="1"/>
    <col min="3591" max="3591" width="4.5" style="728" customWidth="1"/>
    <col min="3592" max="3592" width="4.75" style="728" customWidth="1"/>
    <col min="3593" max="3594" width="3.625" style="728" customWidth="1"/>
    <col min="3595" max="3596" width="5.25" style="728" customWidth="1"/>
    <col min="3597" max="3598" width="4.375" style="728" customWidth="1"/>
    <col min="3599" max="3830" width="9" style="728"/>
    <col min="3831" max="3831" width="2.75" style="728" customWidth="1"/>
    <col min="3832" max="3832" width="11" style="728" customWidth="1"/>
    <col min="3833" max="3833" width="4.875" style="728" customWidth="1"/>
    <col min="3834" max="3834" width="5.125" style="728" customWidth="1"/>
    <col min="3835" max="3835" width="5.25" style="728" customWidth="1"/>
    <col min="3836" max="3836" width="4.875" style="728" customWidth="1"/>
    <col min="3837" max="3837" width="4.25" style="728" customWidth="1"/>
    <col min="3838" max="3838" width="4" style="728" customWidth="1"/>
    <col min="3839" max="3839" width="4.25" style="728" customWidth="1"/>
    <col min="3840" max="3841" width="4.375" style="728" customWidth="1"/>
    <col min="3842" max="3843" width="4" style="728" customWidth="1"/>
    <col min="3844" max="3844" width="4.375" style="728" customWidth="1"/>
    <col min="3845" max="3845" width="4.125" style="728" customWidth="1"/>
    <col min="3846" max="3846" width="4.375" style="728" customWidth="1"/>
    <col min="3847" max="3847" width="4.5" style="728" customWidth="1"/>
    <col min="3848" max="3848" width="4.75" style="728" customWidth="1"/>
    <col min="3849" max="3850" width="3.625" style="728" customWidth="1"/>
    <col min="3851" max="3852" width="5.25" style="728" customWidth="1"/>
    <col min="3853" max="3854" width="4.375" style="728" customWidth="1"/>
    <col min="3855" max="4086" width="9" style="728"/>
    <col min="4087" max="4087" width="2.75" style="728" customWidth="1"/>
    <col min="4088" max="4088" width="11" style="728" customWidth="1"/>
    <col min="4089" max="4089" width="4.875" style="728" customWidth="1"/>
    <col min="4090" max="4090" width="5.125" style="728" customWidth="1"/>
    <col min="4091" max="4091" width="5.25" style="728" customWidth="1"/>
    <col min="4092" max="4092" width="4.875" style="728" customWidth="1"/>
    <col min="4093" max="4093" width="4.25" style="728" customWidth="1"/>
    <col min="4094" max="4094" width="4" style="728" customWidth="1"/>
    <col min="4095" max="4095" width="4.25" style="728" customWidth="1"/>
    <col min="4096" max="4097" width="4.375" style="728" customWidth="1"/>
    <col min="4098" max="4099" width="4" style="728" customWidth="1"/>
    <col min="4100" max="4100" width="4.375" style="728" customWidth="1"/>
    <col min="4101" max="4101" width="4.125" style="728" customWidth="1"/>
    <col min="4102" max="4102" width="4.375" style="728" customWidth="1"/>
    <col min="4103" max="4103" width="4.5" style="728" customWidth="1"/>
    <col min="4104" max="4104" width="4.75" style="728" customWidth="1"/>
    <col min="4105" max="4106" width="3.625" style="728" customWidth="1"/>
    <col min="4107" max="4108" width="5.25" style="728" customWidth="1"/>
    <col min="4109" max="4110" width="4.375" style="728" customWidth="1"/>
    <col min="4111" max="4342" width="9" style="728"/>
    <col min="4343" max="4343" width="2.75" style="728" customWidth="1"/>
    <col min="4344" max="4344" width="11" style="728" customWidth="1"/>
    <col min="4345" max="4345" width="4.875" style="728" customWidth="1"/>
    <col min="4346" max="4346" width="5.125" style="728" customWidth="1"/>
    <col min="4347" max="4347" width="5.25" style="728" customWidth="1"/>
    <col min="4348" max="4348" width="4.875" style="728" customWidth="1"/>
    <col min="4349" max="4349" width="4.25" style="728" customWidth="1"/>
    <col min="4350" max="4350" width="4" style="728" customWidth="1"/>
    <col min="4351" max="4351" width="4.25" style="728" customWidth="1"/>
    <col min="4352" max="4353" width="4.375" style="728" customWidth="1"/>
    <col min="4354" max="4355" width="4" style="728" customWidth="1"/>
    <col min="4356" max="4356" width="4.375" style="728" customWidth="1"/>
    <col min="4357" max="4357" width="4.125" style="728" customWidth="1"/>
    <col min="4358" max="4358" width="4.375" style="728" customWidth="1"/>
    <col min="4359" max="4359" width="4.5" style="728" customWidth="1"/>
    <col min="4360" max="4360" width="4.75" style="728" customWidth="1"/>
    <col min="4361" max="4362" width="3.625" style="728" customWidth="1"/>
    <col min="4363" max="4364" width="5.25" style="728" customWidth="1"/>
    <col min="4365" max="4366" width="4.375" style="728" customWidth="1"/>
    <col min="4367" max="4598" width="9" style="728"/>
    <col min="4599" max="4599" width="2.75" style="728" customWidth="1"/>
    <col min="4600" max="4600" width="11" style="728" customWidth="1"/>
    <col min="4601" max="4601" width="4.875" style="728" customWidth="1"/>
    <col min="4602" max="4602" width="5.125" style="728" customWidth="1"/>
    <col min="4603" max="4603" width="5.25" style="728" customWidth="1"/>
    <col min="4604" max="4604" width="4.875" style="728" customWidth="1"/>
    <col min="4605" max="4605" width="4.25" style="728" customWidth="1"/>
    <col min="4606" max="4606" width="4" style="728" customWidth="1"/>
    <col min="4607" max="4607" width="4.25" style="728" customWidth="1"/>
    <col min="4608" max="4609" width="4.375" style="728" customWidth="1"/>
    <col min="4610" max="4611" width="4" style="728" customWidth="1"/>
    <col min="4612" max="4612" width="4.375" style="728" customWidth="1"/>
    <col min="4613" max="4613" width="4.125" style="728" customWidth="1"/>
    <col min="4614" max="4614" width="4.375" style="728" customWidth="1"/>
    <col min="4615" max="4615" width="4.5" style="728" customWidth="1"/>
    <col min="4616" max="4616" width="4.75" style="728" customWidth="1"/>
    <col min="4617" max="4618" width="3.625" style="728" customWidth="1"/>
    <col min="4619" max="4620" width="5.25" style="728" customWidth="1"/>
    <col min="4621" max="4622" width="4.375" style="728" customWidth="1"/>
    <col min="4623" max="4854" width="9" style="728"/>
    <col min="4855" max="4855" width="2.75" style="728" customWidth="1"/>
    <col min="4856" max="4856" width="11" style="728" customWidth="1"/>
    <col min="4857" max="4857" width="4.875" style="728" customWidth="1"/>
    <col min="4858" max="4858" width="5.125" style="728" customWidth="1"/>
    <col min="4859" max="4859" width="5.25" style="728" customWidth="1"/>
    <col min="4860" max="4860" width="4.875" style="728" customWidth="1"/>
    <col min="4861" max="4861" width="4.25" style="728" customWidth="1"/>
    <col min="4862" max="4862" width="4" style="728" customWidth="1"/>
    <col min="4863" max="4863" width="4.25" style="728" customWidth="1"/>
    <col min="4864" max="4865" width="4.375" style="728" customWidth="1"/>
    <col min="4866" max="4867" width="4" style="728" customWidth="1"/>
    <col min="4868" max="4868" width="4.375" style="728" customWidth="1"/>
    <col min="4869" max="4869" width="4.125" style="728" customWidth="1"/>
    <col min="4870" max="4870" width="4.375" style="728" customWidth="1"/>
    <col min="4871" max="4871" width="4.5" style="728" customWidth="1"/>
    <col min="4872" max="4872" width="4.75" style="728" customWidth="1"/>
    <col min="4873" max="4874" width="3.625" style="728" customWidth="1"/>
    <col min="4875" max="4876" width="5.25" style="728" customWidth="1"/>
    <col min="4877" max="4878" width="4.375" style="728" customWidth="1"/>
    <col min="4879" max="5110" width="9" style="728"/>
    <col min="5111" max="5111" width="2.75" style="728" customWidth="1"/>
    <col min="5112" max="5112" width="11" style="728" customWidth="1"/>
    <col min="5113" max="5113" width="4.875" style="728" customWidth="1"/>
    <col min="5114" max="5114" width="5.125" style="728" customWidth="1"/>
    <col min="5115" max="5115" width="5.25" style="728" customWidth="1"/>
    <col min="5116" max="5116" width="4.875" style="728" customWidth="1"/>
    <col min="5117" max="5117" width="4.25" style="728" customWidth="1"/>
    <col min="5118" max="5118" width="4" style="728" customWidth="1"/>
    <col min="5119" max="5119" width="4.25" style="728" customWidth="1"/>
    <col min="5120" max="5121" width="4.375" style="728" customWidth="1"/>
    <col min="5122" max="5123" width="4" style="728" customWidth="1"/>
    <col min="5124" max="5124" width="4.375" style="728" customWidth="1"/>
    <col min="5125" max="5125" width="4.125" style="728" customWidth="1"/>
    <col min="5126" max="5126" width="4.375" style="728" customWidth="1"/>
    <col min="5127" max="5127" width="4.5" style="728" customWidth="1"/>
    <col min="5128" max="5128" width="4.75" style="728" customWidth="1"/>
    <col min="5129" max="5130" width="3.625" style="728" customWidth="1"/>
    <col min="5131" max="5132" width="5.25" style="728" customWidth="1"/>
    <col min="5133" max="5134" width="4.375" style="728" customWidth="1"/>
    <col min="5135" max="5366" width="9" style="728"/>
    <col min="5367" max="5367" width="2.75" style="728" customWidth="1"/>
    <col min="5368" max="5368" width="11" style="728" customWidth="1"/>
    <col min="5369" max="5369" width="4.875" style="728" customWidth="1"/>
    <col min="5370" max="5370" width="5.125" style="728" customWidth="1"/>
    <col min="5371" max="5371" width="5.25" style="728" customWidth="1"/>
    <col min="5372" max="5372" width="4.875" style="728" customWidth="1"/>
    <col min="5373" max="5373" width="4.25" style="728" customWidth="1"/>
    <col min="5374" max="5374" width="4" style="728" customWidth="1"/>
    <col min="5375" max="5375" width="4.25" style="728" customWidth="1"/>
    <col min="5376" max="5377" width="4.375" style="728" customWidth="1"/>
    <col min="5378" max="5379" width="4" style="728" customWidth="1"/>
    <col min="5380" max="5380" width="4.375" style="728" customWidth="1"/>
    <col min="5381" max="5381" width="4.125" style="728" customWidth="1"/>
    <col min="5382" max="5382" width="4.375" style="728" customWidth="1"/>
    <col min="5383" max="5383" width="4.5" style="728" customWidth="1"/>
    <col min="5384" max="5384" width="4.75" style="728" customWidth="1"/>
    <col min="5385" max="5386" width="3.625" style="728" customWidth="1"/>
    <col min="5387" max="5388" width="5.25" style="728" customWidth="1"/>
    <col min="5389" max="5390" width="4.375" style="728" customWidth="1"/>
    <col min="5391" max="5622" width="9" style="728"/>
    <col min="5623" max="5623" width="2.75" style="728" customWidth="1"/>
    <col min="5624" max="5624" width="11" style="728" customWidth="1"/>
    <col min="5625" max="5625" width="4.875" style="728" customWidth="1"/>
    <col min="5626" max="5626" width="5.125" style="728" customWidth="1"/>
    <col min="5627" max="5627" width="5.25" style="728" customWidth="1"/>
    <col min="5628" max="5628" width="4.875" style="728" customWidth="1"/>
    <col min="5629" max="5629" width="4.25" style="728" customWidth="1"/>
    <col min="5630" max="5630" width="4" style="728" customWidth="1"/>
    <col min="5631" max="5631" width="4.25" style="728" customWidth="1"/>
    <col min="5632" max="5633" width="4.375" style="728" customWidth="1"/>
    <col min="5634" max="5635" width="4" style="728" customWidth="1"/>
    <col min="5636" max="5636" width="4.375" style="728" customWidth="1"/>
    <col min="5637" max="5637" width="4.125" style="728" customWidth="1"/>
    <col min="5638" max="5638" width="4.375" style="728" customWidth="1"/>
    <col min="5639" max="5639" width="4.5" style="728" customWidth="1"/>
    <col min="5640" max="5640" width="4.75" style="728" customWidth="1"/>
    <col min="5641" max="5642" width="3.625" style="728" customWidth="1"/>
    <col min="5643" max="5644" width="5.25" style="728" customWidth="1"/>
    <col min="5645" max="5646" width="4.375" style="728" customWidth="1"/>
    <col min="5647" max="5878" width="9" style="728"/>
    <col min="5879" max="5879" width="2.75" style="728" customWidth="1"/>
    <col min="5880" max="5880" width="11" style="728" customWidth="1"/>
    <col min="5881" max="5881" width="4.875" style="728" customWidth="1"/>
    <col min="5882" max="5882" width="5.125" style="728" customWidth="1"/>
    <col min="5883" max="5883" width="5.25" style="728" customWidth="1"/>
    <col min="5884" max="5884" width="4.875" style="728" customWidth="1"/>
    <col min="5885" max="5885" width="4.25" style="728" customWidth="1"/>
    <col min="5886" max="5886" width="4" style="728" customWidth="1"/>
    <col min="5887" max="5887" width="4.25" style="728" customWidth="1"/>
    <col min="5888" max="5889" width="4.375" style="728" customWidth="1"/>
    <col min="5890" max="5891" width="4" style="728" customWidth="1"/>
    <col min="5892" max="5892" width="4.375" style="728" customWidth="1"/>
    <col min="5893" max="5893" width="4.125" style="728" customWidth="1"/>
    <col min="5894" max="5894" width="4.375" style="728" customWidth="1"/>
    <col min="5895" max="5895" width="4.5" style="728" customWidth="1"/>
    <col min="5896" max="5896" width="4.75" style="728" customWidth="1"/>
    <col min="5897" max="5898" width="3.625" style="728" customWidth="1"/>
    <col min="5899" max="5900" width="5.25" style="728" customWidth="1"/>
    <col min="5901" max="5902" width="4.375" style="728" customWidth="1"/>
    <col min="5903" max="6134" width="9" style="728"/>
    <col min="6135" max="6135" width="2.75" style="728" customWidth="1"/>
    <col min="6136" max="6136" width="11" style="728" customWidth="1"/>
    <col min="6137" max="6137" width="4.875" style="728" customWidth="1"/>
    <col min="6138" max="6138" width="5.125" style="728" customWidth="1"/>
    <col min="6139" max="6139" width="5.25" style="728" customWidth="1"/>
    <col min="6140" max="6140" width="4.875" style="728" customWidth="1"/>
    <col min="6141" max="6141" width="4.25" style="728" customWidth="1"/>
    <col min="6142" max="6142" width="4" style="728" customWidth="1"/>
    <col min="6143" max="6143" width="4.25" style="728" customWidth="1"/>
    <col min="6144" max="6145" width="4.375" style="728" customWidth="1"/>
    <col min="6146" max="6147" width="4" style="728" customWidth="1"/>
    <col min="6148" max="6148" width="4.375" style="728" customWidth="1"/>
    <col min="6149" max="6149" width="4.125" style="728" customWidth="1"/>
    <col min="6150" max="6150" width="4.375" style="728" customWidth="1"/>
    <col min="6151" max="6151" width="4.5" style="728" customWidth="1"/>
    <col min="6152" max="6152" width="4.75" style="728" customWidth="1"/>
    <col min="6153" max="6154" width="3.625" style="728" customWidth="1"/>
    <col min="6155" max="6156" width="5.25" style="728" customWidth="1"/>
    <col min="6157" max="6158" width="4.375" style="728" customWidth="1"/>
    <col min="6159" max="6390" width="9" style="728"/>
    <col min="6391" max="6391" width="2.75" style="728" customWidth="1"/>
    <col min="6392" max="6392" width="11" style="728" customWidth="1"/>
    <col min="6393" max="6393" width="4.875" style="728" customWidth="1"/>
    <col min="6394" max="6394" width="5.125" style="728" customWidth="1"/>
    <col min="6395" max="6395" width="5.25" style="728" customWidth="1"/>
    <col min="6396" max="6396" width="4.875" style="728" customWidth="1"/>
    <col min="6397" max="6397" width="4.25" style="728" customWidth="1"/>
    <col min="6398" max="6398" width="4" style="728" customWidth="1"/>
    <col min="6399" max="6399" width="4.25" style="728" customWidth="1"/>
    <col min="6400" max="6401" width="4.375" style="728" customWidth="1"/>
    <col min="6402" max="6403" width="4" style="728" customWidth="1"/>
    <col min="6404" max="6404" width="4.375" style="728" customWidth="1"/>
    <col min="6405" max="6405" width="4.125" style="728" customWidth="1"/>
    <col min="6406" max="6406" width="4.375" style="728" customWidth="1"/>
    <col min="6407" max="6407" width="4.5" style="728" customWidth="1"/>
    <col min="6408" max="6408" width="4.75" style="728" customWidth="1"/>
    <col min="6409" max="6410" width="3.625" style="728" customWidth="1"/>
    <col min="6411" max="6412" width="5.25" style="728" customWidth="1"/>
    <col min="6413" max="6414" width="4.375" style="728" customWidth="1"/>
    <col min="6415" max="6646" width="9" style="728"/>
    <col min="6647" max="6647" width="2.75" style="728" customWidth="1"/>
    <col min="6648" max="6648" width="11" style="728" customWidth="1"/>
    <col min="6649" max="6649" width="4.875" style="728" customWidth="1"/>
    <col min="6650" max="6650" width="5.125" style="728" customWidth="1"/>
    <col min="6651" max="6651" width="5.25" style="728" customWidth="1"/>
    <col min="6652" max="6652" width="4.875" style="728" customWidth="1"/>
    <col min="6653" max="6653" width="4.25" style="728" customWidth="1"/>
    <col min="6654" max="6654" width="4" style="728" customWidth="1"/>
    <col min="6655" max="6655" width="4.25" style="728" customWidth="1"/>
    <col min="6656" max="6657" width="4.375" style="728" customWidth="1"/>
    <col min="6658" max="6659" width="4" style="728" customWidth="1"/>
    <col min="6660" max="6660" width="4.375" style="728" customWidth="1"/>
    <col min="6661" max="6661" width="4.125" style="728" customWidth="1"/>
    <col min="6662" max="6662" width="4.375" style="728" customWidth="1"/>
    <col min="6663" max="6663" width="4.5" style="728" customWidth="1"/>
    <col min="6664" max="6664" width="4.75" style="728" customWidth="1"/>
    <col min="6665" max="6666" width="3.625" style="728" customWidth="1"/>
    <col min="6667" max="6668" width="5.25" style="728" customWidth="1"/>
    <col min="6669" max="6670" width="4.375" style="728" customWidth="1"/>
    <col min="6671" max="6902" width="9" style="728"/>
    <col min="6903" max="6903" width="2.75" style="728" customWidth="1"/>
    <col min="6904" max="6904" width="11" style="728" customWidth="1"/>
    <col min="6905" max="6905" width="4.875" style="728" customWidth="1"/>
    <col min="6906" max="6906" width="5.125" style="728" customWidth="1"/>
    <col min="6907" max="6907" width="5.25" style="728" customWidth="1"/>
    <col min="6908" max="6908" width="4.875" style="728" customWidth="1"/>
    <col min="6909" max="6909" width="4.25" style="728" customWidth="1"/>
    <col min="6910" max="6910" width="4" style="728" customWidth="1"/>
    <col min="6911" max="6911" width="4.25" style="728" customWidth="1"/>
    <col min="6912" max="6913" width="4.375" style="728" customWidth="1"/>
    <col min="6914" max="6915" width="4" style="728" customWidth="1"/>
    <col min="6916" max="6916" width="4.375" style="728" customWidth="1"/>
    <col min="6917" max="6917" width="4.125" style="728" customWidth="1"/>
    <col min="6918" max="6918" width="4.375" style="728" customWidth="1"/>
    <col min="6919" max="6919" width="4.5" style="728" customWidth="1"/>
    <col min="6920" max="6920" width="4.75" style="728" customWidth="1"/>
    <col min="6921" max="6922" width="3.625" style="728" customWidth="1"/>
    <col min="6923" max="6924" width="5.25" style="728" customWidth="1"/>
    <col min="6925" max="6926" width="4.375" style="728" customWidth="1"/>
    <col min="6927" max="7158" width="9" style="728"/>
    <col min="7159" max="7159" width="2.75" style="728" customWidth="1"/>
    <col min="7160" max="7160" width="11" style="728" customWidth="1"/>
    <col min="7161" max="7161" width="4.875" style="728" customWidth="1"/>
    <col min="7162" max="7162" width="5.125" style="728" customWidth="1"/>
    <col min="7163" max="7163" width="5.25" style="728" customWidth="1"/>
    <col min="7164" max="7164" width="4.875" style="728" customWidth="1"/>
    <col min="7165" max="7165" width="4.25" style="728" customWidth="1"/>
    <col min="7166" max="7166" width="4" style="728" customWidth="1"/>
    <col min="7167" max="7167" width="4.25" style="728" customWidth="1"/>
    <col min="7168" max="7169" width="4.375" style="728" customWidth="1"/>
    <col min="7170" max="7171" width="4" style="728" customWidth="1"/>
    <col min="7172" max="7172" width="4.375" style="728" customWidth="1"/>
    <col min="7173" max="7173" width="4.125" style="728" customWidth="1"/>
    <col min="7174" max="7174" width="4.375" style="728" customWidth="1"/>
    <col min="7175" max="7175" width="4.5" style="728" customWidth="1"/>
    <col min="7176" max="7176" width="4.75" style="728" customWidth="1"/>
    <col min="7177" max="7178" width="3.625" style="728" customWidth="1"/>
    <col min="7179" max="7180" width="5.25" style="728" customWidth="1"/>
    <col min="7181" max="7182" width="4.375" style="728" customWidth="1"/>
    <col min="7183" max="7414" width="9" style="728"/>
    <col min="7415" max="7415" width="2.75" style="728" customWidth="1"/>
    <col min="7416" max="7416" width="11" style="728" customWidth="1"/>
    <col min="7417" max="7417" width="4.875" style="728" customWidth="1"/>
    <col min="7418" max="7418" width="5.125" style="728" customWidth="1"/>
    <col min="7419" max="7419" width="5.25" style="728" customWidth="1"/>
    <col min="7420" max="7420" width="4.875" style="728" customWidth="1"/>
    <col min="7421" max="7421" width="4.25" style="728" customWidth="1"/>
    <col min="7422" max="7422" width="4" style="728" customWidth="1"/>
    <col min="7423" max="7423" width="4.25" style="728" customWidth="1"/>
    <col min="7424" max="7425" width="4.375" style="728" customWidth="1"/>
    <col min="7426" max="7427" width="4" style="728" customWidth="1"/>
    <col min="7428" max="7428" width="4.375" style="728" customWidth="1"/>
    <col min="7429" max="7429" width="4.125" style="728" customWidth="1"/>
    <col min="7430" max="7430" width="4.375" style="728" customWidth="1"/>
    <col min="7431" max="7431" width="4.5" style="728" customWidth="1"/>
    <col min="7432" max="7432" width="4.75" style="728" customWidth="1"/>
    <col min="7433" max="7434" width="3.625" style="728" customWidth="1"/>
    <col min="7435" max="7436" width="5.25" style="728" customWidth="1"/>
    <col min="7437" max="7438" width="4.375" style="728" customWidth="1"/>
    <col min="7439" max="7670" width="9" style="728"/>
    <col min="7671" max="7671" width="2.75" style="728" customWidth="1"/>
    <col min="7672" max="7672" width="11" style="728" customWidth="1"/>
    <col min="7673" max="7673" width="4.875" style="728" customWidth="1"/>
    <col min="7674" max="7674" width="5.125" style="728" customWidth="1"/>
    <col min="7675" max="7675" width="5.25" style="728" customWidth="1"/>
    <col min="7676" max="7676" width="4.875" style="728" customWidth="1"/>
    <col min="7677" max="7677" width="4.25" style="728" customWidth="1"/>
    <col min="7678" max="7678" width="4" style="728" customWidth="1"/>
    <col min="7679" max="7679" width="4.25" style="728" customWidth="1"/>
    <col min="7680" max="7681" width="4.375" style="728" customWidth="1"/>
    <col min="7682" max="7683" width="4" style="728" customWidth="1"/>
    <col min="7684" max="7684" width="4.375" style="728" customWidth="1"/>
    <col min="7685" max="7685" width="4.125" style="728" customWidth="1"/>
    <col min="7686" max="7686" width="4.375" style="728" customWidth="1"/>
    <col min="7687" max="7687" width="4.5" style="728" customWidth="1"/>
    <col min="7688" max="7688" width="4.75" style="728" customWidth="1"/>
    <col min="7689" max="7690" width="3.625" style="728" customWidth="1"/>
    <col min="7691" max="7692" width="5.25" style="728" customWidth="1"/>
    <col min="7693" max="7694" width="4.375" style="728" customWidth="1"/>
    <col min="7695" max="7926" width="9" style="728"/>
    <col min="7927" max="7927" width="2.75" style="728" customWidth="1"/>
    <col min="7928" max="7928" width="11" style="728" customWidth="1"/>
    <col min="7929" max="7929" width="4.875" style="728" customWidth="1"/>
    <col min="7930" max="7930" width="5.125" style="728" customWidth="1"/>
    <col min="7931" max="7931" width="5.25" style="728" customWidth="1"/>
    <col min="7932" max="7932" width="4.875" style="728" customWidth="1"/>
    <col min="7933" max="7933" width="4.25" style="728" customWidth="1"/>
    <col min="7934" max="7934" width="4" style="728" customWidth="1"/>
    <col min="7935" max="7935" width="4.25" style="728" customWidth="1"/>
    <col min="7936" max="7937" width="4.375" style="728" customWidth="1"/>
    <col min="7938" max="7939" width="4" style="728" customWidth="1"/>
    <col min="7940" max="7940" width="4.375" style="728" customWidth="1"/>
    <col min="7941" max="7941" width="4.125" style="728" customWidth="1"/>
    <col min="7942" max="7942" width="4.375" style="728" customWidth="1"/>
    <col min="7943" max="7943" width="4.5" style="728" customWidth="1"/>
    <col min="7944" max="7944" width="4.75" style="728" customWidth="1"/>
    <col min="7945" max="7946" width="3.625" style="728" customWidth="1"/>
    <col min="7947" max="7948" width="5.25" style="728" customWidth="1"/>
    <col min="7949" max="7950" width="4.375" style="728" customWidth="1"/>
    <col min="7951" max="8182" width="9" style="728"/>
    <col min="8183" max="8183" width="2.75" style="728" customWidth="1"/>
    <col min="8184" max="8184" width="11" style="728" customWidth="1"/>
    <col min="8185" max="8185" width="4.875" style="728" customWidth="1"/>
    <col min="8186" max="8186" width="5.125" style="728" customWidth="1"/>
    <col min="8187" max="8187" width="5.25" style="728" customWidth="1"/>
    <col min="8188" max="8188" width="4.875" style="728" customWidth="1"/>
    <col min="8189" max="8189" width="4.25" style="728" customWidth="1"/>
    <col min="8190" max="8190" width="4" style="728" customWidth="1"/>
    <col min="8191" max="8191" width="4.25" style="728" customWidth="1"/>
    <col min="8192" max="8193" width="4.375" style="728" customWidth="1"/>
    <col min="8194" max="8195" width="4" style="728" customWidth="1"/>
    <col min="8196" max="8196" width="4.375" style="728" customWidth="1"/>
    <col min="8197" max="8197" width="4.125" style="728" customWidth="1"/>
    <col min="8198" max="8198" width="4.375" style="728" customWidth="1"/>
    <col min="8199" max="8199" width="4.5" style="728" customWidth="1"/>
    <col min="8200" max="8200" width="4.75" style="728" customWidth="1"/>
    <col min="8201" max="8202" width="3.625" style="728" customWidth="1"/>
    <col min="8203" max="8204" width="5.25" style="728" customWidth="1"/>
    <col min="8205" max="8206" width="4.375" style="728" customWidth="1"/>
    <col min="8207" max="8438" width="9" style="728"/>
    <col min="8439" max="8439" width="2.75" style="728" customWidth="1"/>
    <col min="8440" max="8440" width="11" style="728" customWidth="1"/>
    <col min="8441" max="8441" width="4.875" style="728" customWidth="1"/>
    <col min="8442" max="8442" width="5.125" style="728" customWidth="1"/>
    <col min="8443" max="8443" width="5.25" style="728" customWidth="1"/>
    <col min="8444" max="8444" width="4.875" style="728" customWidth="1"/>
    <col min="8445" max="8445" width="4.25" style="728" customWidth="1"/>
    <col min="8446" max="8446" width="4" style="728" customWidth="1"/>
    <col min="8447" max="8447" width="4.25" style="728" customWidth="1"/>
    <col min="8448" max="8449" width="4.375" style="728" customWidth="1"/>
    <col min="8450" max="8451" width="4" style="728" customWidth="1"/>
    <col min="8452" max="8452" width="4.375" style="728" customWidth="1"/>
    <col min="8453" max="8453" width="4.125" style="728" customWidth="1"/>
    <col min="8454" max="8454" width="4.375" style="728" customWidth="1"/>
    <col min="8455" max="8455" width="4.5" style="728" customWidth="1"/>
    <col min="8456" max="8456" width="4.75" style="728" customWidth="1"/>
    <col min="8457" max="8458" width="3.625" style="728" customWidth="1"/>
    <col min="8459" max="8460" width="5.25" style="728" customWidth="1"/>
    <col min="8461" max="8462" width="4.375" style="728" customWidth="1"/>
    <col min="8463" max="8694" width="9" style="728"/>
    <col min="8695" max="8695" width="2.75" style="728" customWidth="1"/>
    <col min="8696" max="8696" width="11" style="728" customWidth="1"/>
    <col min="8697" max="8697" width="4.875" style="728" customWidth="1"/>
    <col min="8698" max="8698" width="5.125" style="728" customWidth="1"/>
    <col min="8699" max="8699" width="5.25" style="728" customWidth="1"/>
    <col min="8700" max="8700" width="4.875" style="728" customWidth="1"/>
    <col min="8701" max="8701" width="4.25" style="728" customWidth="1"/>
    <col min="8702" max="8702" width="4" style="728" customWidth="1"/>
    <col min="8703" max="8703" width="4.25" style="728" customWidth="1"/>
    <col min="8704" max="8705" width="4.375" style="728" customWidth="1"/>
    <col min="8706" max="8707" width="4" style="728" customWidth="1"/>
    <col min="8708" max="8708" width="4.375" style="728" customWidth="1"/>
    <col min="8709" max="8709" width="4.125" style="728" customWidth="1"/>
    <col min="8710" max="8710" width="4.375" style="728" customWidth="1"/>
    <col min="8711" max="8711" width="4.5" style="728" customWidth="1"/>
    <col min="8712" max="8712" width="4.75" style="728" customWidth="1"/>
    <col min="8713" max="8714" width="3.625" style="728" customWidth="1"/>
    <col min="8715" max="8716" width="5.25" style="728" customWidth="1"/>
    <col min="8717" max="8718" width="4.375" style="728" customWidth="1"/>
    <col min="8719" max="8950" width="9" style="728"/>
    <col min="8951" max="8951" width="2.75" style="728" customWidth="1"/>
    <col min="8952" max="8952" width="11" style="728" customWidth="1"/>
    <col min="8953" max="8953" width="4.875" style="728" customWidth="1"/>
    <col min="8954" max="8954" width="5.125" style="728" customWidth="1"/>
    <col min="8955" max="8955" width="5.25" style="728" customWidth="1"/>
    <col min="8956" max="8956" width="4.875" style="728" customWidth="1"/>
    <col min="8957" max="8957" width="4.25" style="728" customWidth="1"/>
    <col min="8958" max="8958" width="4" style="728" customWidth="1"/>
    <col min="8959" max="8959" width="4.25" style="728" customWidth="1"/>
    <col min="8960" max="8961" width="4.375" style="728" customWidth="1"/>
    <col min="8962" max="8963" width="4" style="728" customWidth="1"/>
    <col min="8964" max="8964" width="4.375" style="728" customWidth="1"/>
    <col min="8965" max="8965" width="4.125" style="728" customWidth="1"/>
    <col min="8966" max="8966" width="4.375" style="728" customWidth="1"/>
    <col min="8967" max="8967" width="4.5" style="728" customWidth="1"/>
    <col min="8968" max="8968" width="4.75" style="728" customWidth="1"/>
    <col min="8969" max="8970" width="3.625" style="728" customWidth="1"/>
    <col min="8971" max="8972" width="5.25" style="728" customWidth="1"/>
    <col min="8973" max="8974" width="4.375" style="728" customWidth="1"/>
    <col min="8975" max="9206" width="9" style="728"/>
    <col min="9207" max="9207" width="2.75" style="728" customWidth="1"/>
    <col min="9208" max="9208" width="11" style="728" customWidth="1"/>
    <col min="9209" max="9209" width="4.875" style="728" customWidth="1"/>
    <col min="9210" max="9210" width="5.125" style="728" customWidth="1"/>
    <col min="9211" max="9211" width="5.25" style="728" customWidth="1"/>
    <col min="9212" max="9212" width="4.875" style="728" customWidth="1"/>
    <col min="9213" max="9213" width="4.25" style="728" customWidth="1"/>
    <col min="9214" max="9214" width="4" style="728" customWidth="1"/>
    <col min="9215" max="9215" width="4.25" style="728" customWidth="1"/>
    <col min="9216" max="9217" width="4.375" style="728" customWidth="1"/>
    <col min="9218" max="9219" width="4" style="728" customWidth="1"/>
    <col min="9220" max="9220" width="4.375" style="728" customWidth="1"/>
    <col min="9221" max="9221" width="4.125" style="728" customWidth="1"/>
    <col min="9222" max="9222" width="4.375" style="728" customWidth="1"/>
    <col min="9223" max="9223" width="4.5" style="728" customWidth="1"/>
    <col min="9224" max="9224" width="4.75" style="728" customWidth="1"/>
    <col min="9225" max="9226" width="3.625" style="728" customWidth="1"/>
    <col min="9227" max="9228" width="5.25" style="728" customWidth="1"/>
    <col min="9229" max="9230" width="4.375" style="728" customWidth="1"/>
    <col min="9231" max="9462" width="9" style="728"/>
    <col min="9463" max="9463" width="2.75" style="728" customWidth="1"/>
    <col min="9464" max="9464" width="11" style="728" customWidth="1"/>
    <col min="9465" max="9465" width="4.875" style="728" customWidth="1"/>
    <col min="9466" max="9466" width="5.125" style="728" customWidth="1"/>
    <col min="9467" max="9467" width="5.25" style="728" customWidth="1"/>
    <col min="9468" max="9468" width="4.875" style="728" customWidth="1"/>
    <col min="9469" max="9469" width="4.25" style="728" customWidth="1"/>
    <col min="9470" max="9470" width="4" style="728" customWidth="1"/>
    <col min="9471" max="9471" width="4.25" style="728" customWidth="1"/>
    <col min="9472" max="9473" width="4.375" style="728" customWidth="1"/>
    <col min="9474" max="9475" width="4" style="728" customWidth="1"/>
    <col min="9476" max="9476" width="4.375" style="728" customWidth="1"/>
    <col min="9477" max="9477" width="4.125" style="728" customWidth="1"/>
    <col min="9478" max="9478" width="4.375" style="728" customWidth="1"/>
    <col min="9479" max="9479" width="4.5" style="728" customWidth="1"/>
    <col min="9480" max="9480" width="4.75" style="728" customWidth="1"/>
    <col min="9481" max="9482" width="3.625" style="728" customWidth="1"/>
    <col min="9483" max="9484" width="5.25" style="728" customWidth="1"/>
    <col min="9485" max="9486" width="4.375" style="728" customWidth="1"/>
    <col min="9487" max="9718" width="9" style="728"/>
    <col min="9719" max="9719" width="2.75" style="728" customWidth="1"/>
    <col min="9720" max="9720" width="11" style="728" customWidth="1"/>
    <col min="9721" max="9721" width="4.875" style="728" customWidth="1"/>
    <col min="9722" max="9722" width="5.125" style="728" customWidth="1"/>
    <col min="9723" max="9723" width="5.25" style="728" customWidth="1"/>
    <col min="9724" max="9724" width="4.875" style="728" customWidth="1"/>
    <col min="9725" max="9725" width="4.25" style="728" customWidth="1"/>
    <col min="9726" max="9726" width="4" style="728" customWidth="1"/>
    <col min="9727" max="9727" width="4.25" style="728" customWidth="1"/>
    <col min="9728" max="9729" width="4.375" style="728" customWidth="1"/>
    <col min="9730" max="9731" width="4" style="728" customWidth="1"/>
    <col min="9732" max="9732" width="4.375" style="728" customWidth="1"/>
    <col min="9733" max="9733" width="4.125" style="728" customWidth="1"/>
    <col min="9734" max="9734" width="4.375" style="728" customWidth="1"/>
    <col min="9735" max="9735" width="4.5" style="728" customWidth="1"/>
    <col min="9736" max="9736" width="4.75" style="728" customWidth="1"/>
    <col min="9737" max="9738" width="3.625" style="728" customWidth="1"/>
    <col min="9739" max="9740" width="5.25" style="728" customWidth="1"/>
    <col min="9741" max="9742" width="4.375" style="728" customWidth="1"/>
    <col min="9743" max="9974" width="9" style="728"/>
    <col min="9975" max="9975" width="2.75" style="728" customWidth="1"/>
    <col min="9976" max="9976" width="11" style="728" customWidth="1"/>
    <col min="9977" max="9977" width="4.875" style="728" customWidth="1"/>
    <col min="9978" max="9978" width="5.125" style="728" customWidth="1"/>
    <col min="9979" max="9979" width="5.25" style="728" customWidth="1"/>
    <col min="9980" max="9980" width="4.875" style="728" customWidth="1"/>
    <col min="9981" max="9981" width="4.25" style="728" customWidth="1"/>
    <col min="9982" max="9982" width="4" style="728" customWidth="1"/>
    <col min="9983" max="9983" width="4.25" style="728" customWidth="1"/>
    <col min="9984" max="9985" width="4.375" style="728" customWidth="1"/>
    <col min="9986" max="9987" width="4" style="728" customWidth="1"/>
    <col min="9988" max="9988" width="4.375" style="728" customWidth="1"/>
    <col min="9989" max="9989" width="4.125" style="728" customWidth="1"/>
    <col min="9990" max="9990" width="4.375" style="728" customWidth="1"/>
    <col min="9991" max="9991" width="4.5" style="728" customWidth="1"/>
    <col min="9992" max="9992" width="4.75" style="728" customWidth="1"/>
    <col min="9993" max="9994" width="3.625" style="728" customWidth="1"/>
    <col min="9995" max="9996" width="5.25" style="728" customWidth="1"/>
    <col min="9997" max="9998" width="4.375" style="728" customWidth="1"/>
    <col min="9999" max="10230" width="9" style="728"/>
    <col min="10231" max="10231" width="2.75" style="728" customWidth="1"/>
    <col min="10232" max="10232" width="11" style="728" customWidth="1"/>
    <col min="10233" max="10233" width="4.875" style="728" customWidth="1"/>
    <col min="10234" max="10234" width="5.125" style="728" customWidth="1"/>
    <col min="10235" max="10235" width="5.25" style="728" customWidth="1"/>
    <col min="10236" max="10236" width="4.875" style="728" customWidth="1"/>
    <col min="10237" max="10237" width="4.25" style="728" customWidth="1"/>
    <col min="10238" max="10238" width="4" style="728" customWidth="1"/>
    <col min="10239" max="10239" width="4.25" style="728" customWidth="1"/>
    <col min="10240" max="10241" width="4.375" style="728" customWidth="1"/>
    <col min="10242" max="10243" width="4" style="728" customWidth="1"/>
    <col min="10244" max="10244" width="4.375" style="728" customWidth="1"/>
    <col min="10245" max="10245" width="4.125" style="728" customWidth="1"/>
    <col min="10246" max="10246" width="4.375" style="728" customWidth="1"/>
    <col min="10247" max="10247" width="4.5" style="728" customWidth="1"/>
    <col min="10248" max="10248" width="4.75" style="728" customWidth="1"/>
    <col min="10249" max="10250" width="3.625" style="728" customWidth="1"/>
    <col min="10251" max="10252" width="5.25" style="728" customWidth="1"/>
    <col min="10253" max="10254" width="4.375" style="728" customWidth="1"/>
    <col min="10255" max="10486" width="9" style="728"/>
    <col min="10487" max="10487" width="2.75" style="728" customWidth="1"/>
    <col min="10488" max="10488" width="11" style="728" customWidth="1"/>
    <col min="10489" max="10489" width="4.875" style="728" customWidth="1"/>
    <col min="10490" max="10490" width="5.125" style="728" customWidth="1"/>
    <col min="10491" max="10491" width="5.25" style="728" customWidth="1"/>
    <col min="10492" max="10492" width="4.875" style="728" customWidth="1"/>
    <col min="10493" max="10493" width="4.25" style="728" customWidth="1"/>
    <col min="10494" max="10494" width="4" style="728" customWidth="1"/>
    <col min="10495" max="10495" width="4.25" style="728" customWidth="1"/>
    <col min="10496" max="10497" width="4.375" style="728" customWidth="1"/>
    <col min="10498" max="10499" width="4" style="728" customWidth="1"/>
    <col min="10500" max="10500" width="4.375" style="728" customWidth="1"/>
    <col min="10501" max="10501" width="4.125" style="728" customWidth="1"/>
    <col min="10502" max="10502" width="4.375" style="728" customWidth="1"/>
    <col min="10503" max="10503" width="4.5" style="728" customWidth="1"/>
    <col min="10504" max="10504" width="4.75" style="728" customWidth="1"/>
    <col min="10505" max="10506" width="3.625" style="728" customWidth="1"/>
    <col min="10507" max="10508" width="5.25" style="728" customWidth="1"/>
    <col min="10509" max="10510" width="4.375" style="728" customWidth="1"/>
    <col min="10511" max="10742" width="9" style="728"/>
    <col min="10743" max="10743" width="2.75" style="728" customWidth="1"/>
    <col min="10744" max="10744" width="11" style="728" customWidth="1"/>
    <col min="10745" max="10745" width="4.875" style="728" customWidth="1"/>
    <col min="10746" max="10746" width="5.125" style="728" customWidth="1"/>
    <col min="10747" max="10747" width="5.25" style="728" customWidth="1"/>
    <col min="10748" max="10748" width="4.875" style="728" customWidth="1"/>
    <col min="10749" max="10749" width="4.25" style="728" customWidth="1"/>
    <col min="10750" max="10750" width="4" style="728" customWidth="1"/>
    <col min="10751" max="10751" width="4.25" style="728" customWidth="1"/>
    <col min="10752" max="10753" width="4.375" style="728" customWidth="1"/>
    <col min="10754" max="10755" width="4" style="728" customWidth="1"/>
    <col min="10756" max="10756" width="4.375" style="728" customWidth="1"/>
    <col min="10757" max="10757" width="4.125" style="728" customWidth="1"/>
    <col min="10758" max="10758" width="4.375" style="728" customWidth="1"/>
    <col min="10759" max="10759" width="4.5" style="728" customWidth="1"/>
    <col min="10760" max="10760" width="4.75" style="728" customWidth="1"/>
    <col min="10761" max="10762" width="3.625" style="728" customWidth="1"/>
    <col min="10763" max="10764" width="5.25" style="728" customWidth="1"/>
    <col min="10765" max="10766" width="4.375" style="728" customWidth="1"/>
    <col min="10767" max="10998" width="9" style="728"/>
    <col min="10999" max="10999" width="2.75" style="728" customWidth="1"/>
    <col min="11000" max="11000" width="11" style="728" customWidth="1"/>
    <col min="11001" max="11001" width="4.875" style="728" customWidth="1"/>
    <col min="11002" max="11002" width="5.125" style="728" customWidth="1"/>
    <col min="11003" max="11003" width="5.25" style="728" customWidth="1"/>
    <col min="11004" max="11004" width="4.875" style="728" customWidth="1"/>
    <col min="11005" max="11005" width="4.25" style="728" customWidth="1"/>
    <col min="11006" max="11006" width="4" style="728" customWidth="1"/>
    <col min="11007" max="11007" width="4.25" style="728" customWidth="1"/>
    <col min="11008" max="11009" width="4.375" style="728" customWidth="1"/>
    <col min="11010" max="11011" width="4" style="728" customWidth="1"/>
    <col min="11012" max="11012" width="4.375" style="728" customWidth="1"/>
    <col min="11013" max="11013" width="4.125" style="728" customWidth="1"/>
    <col min="11014" max="11014" width="4.375" style="728" customWidth="1"/>
    <col min="11015" max="11015" width="4.5" style="728" customWidth="1"/>
    <col min="11016" max="11016" width="4.75" style="728" customWidth="1"/>
    <col min="11017" max="11018" width="3.625" style="728" customWidth="1"/>
    <col min="11019" max="11020" width="5.25" style="728" customWidth="1"/>
    <col min="11021" max="11022" width="4.375" style="728" customWidth="1"/>
    <col min="11023" max="11254" width="9" style="728"/>
    <col min="11255" max="11255" width="2.75" style="728" customWidth="1"/>
    <col min="11256" max="11256" width="11" style="728" customWidth="1"/>
    <col min="11257" max="11257" width="4.875" style="728" customWidth="1"/>
    <col min="11258" max="11258" width="5.125" style="728" customWidth="1"/>
    <col min="11259" max="11259" width="5.25" style="728" customWidth="1"/>
    <col min="11260" max="11260" width="4.875" style="728" customWidth="1"/>
    <col min="11261" max="11261" width="4.25" style="728" customWidth="1"/>
    <col min="11262" max="11262" width="4" style="728" customWidth="1"/>
    <col min="11263" max="11263" width="4.25" style="728" customWidth="1"/>
    <col min="11264" max="11265" width="4.375" style="728" customWidth="1"/>
    <col min="11266" max="11267" width="4" style="728" customWidth="1"/>
    <col min="11268" max="11268" width="4.375" style="728" customWidth="1"/>
    <col min="11269" max="11269" width="4.125" style="728" customWidth="1"/>
    <col min="11270" max="11270" width="4.375" style="728" customWidth="1"/>
    <col min="11271" max="11271" width="4.5" style="728" customWidth="1"/>
    <col min="11272" max="11272" width="4.75" style="728" customWidth="1"/>
    <col min="11273" max="11274" width="3.625" style="728" customWidth="1"/>
    <col min="11275" max="11276" width="5.25" style="728" customWidth="1"/>
    <col min="11277" max="11278" width="4.375" style="728" customWidth="1"/>
    <col min="11279" max="11510" width="9" style="728"/>
    <col min="11511" max="11511" width="2.75" style="728" customWidth="1"/>
    <col min="11512" max="11512" width="11" style="728" customWidth="1"/>
    <col min="11513" max="11513" width="4.875" style="728" customWidth="1"/>
    <col min="11514" max="11514" width="5.125" style="728" customWidth="1"/>
    <col min="11515" max="11515" width="5.25" style="728" customWidth="1"/>
    <col min="11516" max="11516" width="4.875" style="728" customWidth="1"/>
    <col min="11517" max="11517" width="4.25" style="728" customWidth="1"/>
    <col min="11518" max="11518" width="4" style="728" customWidth="1"/>
    <col min="11519" max="11519" width="4.25" style="728" customWidth="1"/>
    <col min="11520" max="11521" width="4.375" style="728" customWidth="1"/>
    <col min="11522" max="11523" width="4" style="728" customWidth="1"/>
    <col min="11524" max="11524" width="4.375" style="728" customWidth="1"/>
    <col min="11525" max="11525" width="4.125" style="728" customWidth="1"/>
    <col min="11526" max="11526" width="4.375" style="728" customWidth="1"/>
    <col min="11527" max="11527" width="4.5" style="728" customWidth="1"/>
    <col min="11528" max="11528" width="4.75" style="728" customWidth="1"/>
    <col min="11529" max="11530" width="3.625" style="728" customWidth="1"/>
    <col min="11531" max="11532" width="5.25" style="728" customWidth="1"/>
    <col min="11533" max="11534" width="4.375" style="728" customWidth="1"/>
    <col min="11535" max="11766" width="9" style="728"/>
    <col min="11767" max="11767" width="2.75" style="728" customWidth="1"/>
    <col min="11768" max="11768" width="11" style="728" customWidth="1"/>
    <col min="11769" max="11769" width="4.875" style="728" customWidth="1"/>
    <col min="11770" max="11770" width="5.125" style="728" customWidth="1"/>
    <col min="11771" max="11771" width="5.25" style="728" customWidth="1"/>
    <col min="11772" max="11772" width="4.875" style="728" customWidth="1"/>
    <col min="11773" max="11773" width="4.25" style="728" customWidth="1"/>
    <col min="11774" max="11774" width="4" style="728" customWidth="1"/>
    <col min="11775" max="11775" width="4.25" style="728" customWidth="1"/>
    <col min="11776" max="11777" width="4.375" style="728" customWidth="1"/>
    <col min="11778" max="11779" width="4" style="728" customWidth="1"/>
    <col min="11780" max="11780" width="4.375" style="728" customWidth="1"/>
    <col min="11781" max="11781" width="4.125" style="728" customWidth="1"/>
    <col min="11782" max="11782" width="4.375" style="728" customWidth="1"/>
    <col min="11783" max="11783" width="4.5" style="728" customWidth="1"/>
    <col min="11784" max="11784" width="4.75" style="728" customWidth="1"/>
    <col min="11785" max="11786" width="3.625" style="728" customWidth="1"/>
    <col min="11787" max="11788" width="5.25" style="728" customWidth="1"/>
    <col min="11789" max="11790" width="4.375" style="728" customWidth="1"/>
    <col min="11791" max="12022" width="9" style="728"/>
    <col min="12023" max="12023" width="2.75" style="728" customWidth="1"/>
    <col min="12024" max="12024" width="11" style="728" customWidth="1"/>
    <col min="12025" max="12025" width="4.875" style="728" customWidth="1"/>
    <col min="12026" max="12026" width="5.125" style="728" customWidth="1"/>
    <col min="12027" max="12027" width="5.25" style="728" customWidth="1"/>
    <col min="12028" max="12028" width="4.875" style="728" customWidth="1"/>
    <col min="12029" max="12029" width="4.25" style="728" customWidth="1"/>
    <col min="12030" max="12030" width="4" style="728" customWidth="1"/>
    <col min="12031" max="12031" width="4.25" style="728" customWidth="1"/>
    <col min="12032" max="12033" width="4.375" style="728" customWidth="1"/>
    <col min="12034" max="12035" width="4" style="728" customWidth="1"/>
    <col min="12036" max="12036" width="4.375" style="728" customWidth="1"/>
    <col min="12037" max="12037" width="4.125" style="728" customWidth="1"/>
    <col min="12038" max="12038" width="4.375" style="728" customWidth="1"/>
    <col min="12039" max="12039" width="4.5" style="728" customWidth="1"/>
    <col min="12040" max="12040" width="4.75" style="728" customWidth="1"/>
    <col min="12041" max="12042" width="3.625" style="728" customWidth="1"/>
    <col min="12043" max="12044" width="5.25" style="728" customWidth="1"/>
    <col min="12045" max="12046" width="4.375" style="728" customWidth="1"/>
    <col min="12047" max="12278" width="9" style="728"/>
    <col min="12279" max="12279" width="2.75" style="728" customWidth="1"/>
    <col min="12280" max="12280" width="11" style="728" customWidth="1"/>
    <col min="12281" max="12281" width="4.875" style="728" customWidth="1"/>
    <col min="12282" max="12282" width="5.125" style="728" customWidth="1"/>
    <col min="12283" max="12283" width="5.25" style="728" customWidth="1"/>
    <col min="12284" max="12284" width="4.875" style="728" customWidth="1"/>
    <col min="12285" max="12285" width="4.25" style="728" customWidth="1"/>
    <col min="12286" max="12286" width="4" style="728" customWidth="1"/>
    <col min="12287" max="12287" width="4.25" style="728" customWidth="1"/>
    <col min="12288" max="12289" width="4.375" style="728" customWidth="1"/>
    <col min="12290" max="12291" width="4" style="728" customWidth="1"/>
    <col min="12292" max="12292" width="4.375" style="728" customWidth="1"/>
    <col min="12293" max="12293" width="4.125" style="728" customWidth="1"/>
    <col min="12294" max="12294" width="4.375" style="728" customWidth="1"/>
    <col min="12295" max="12295" width="4.5" style="728" customWidth="1"/>
    <col min="12296" max="12296" width="4.75" style="728" customWidth="1"/>
    <col min="12297" max="12298" width="3.625" style="728" customWidth="1"/>
    <col min="12299" max="12300" width="5.25" style="728" customWidth="1"/>
    <col min="12301" max="12302" width="4.375" style="728" customWidth="1"/>
    <col min="12303" max="12534" width="9" style="728"/>
    <col min="12535" max="12535" width="2.75" style="728" customWidth="1"/>
    <col min="12536" max="12536" width="11" style="728" customWidth="1"/>
    <col min="12537" max="12537" width="4.875" style="728" customWidth="1"/>
    <col min="12538" max="12538" width="5.125" style="728" customWidth="1"/>
    <col min="12539" max="12539" width="5.25" style="728" customWidth="1"/>
    <col min="12540" max="12540" width="4.875" style="728" customWidth="1"/>
    <col min="12541" max="12541" width="4.25" style="728" customWidth="1"/>
    <col min="12542" max="12542" width="4" style="728" customWidth="1"/>
    <col min="12543" max="12543" width="4.25" style="728" customWidth="1"/>
    <col min="12544" max="12545" width="4.375" style="728" customWidth="1"/>
    <col min="12546" max="12547" width="4" style="728" customWidth="1"/>
    <col min="12548" max="12548" width="4.375" style="728" customWidth="1"/>
    <col min="12549" max="12549" width="4.125" style="728" customWidth="1"/>
    <col min="12550" max="12550" width="4.375" style="728" customWidth="1"/>
    <col min="12551" max="12551" width="4.5" style="728" customWidth="1"/>
    <col min="12552" max="12552" width="4.75" style="728" customWidth="1"/>
    <col min="12553" max="12554" width="3.625" style="728" customWidth="1"/>
    <col min="12555" max="12556" width="5.25" style="728" customWidth="1"/>
    <col min="12557" max="12558" width="4.375" style="728" customWidth="1"/>
    <col min="12559" max="12790" width="9" style="728"/>
    <col min="12791" max="12791" width="2.75" style="728" customWidth="1"/>
    <col min="12792" max="12792" width="11" style="728" customWidth="1"/>
    <col min="12793" max="12793" width="4.875" style="728" customWidth="1"/>
    <col min="12794" max="12794" width="5.125" style="728" customWidth="1"/>
    <col min="12795" max="12795" width="5.25" style="728" customWidth="1"/>
    <col min="12796" max="12796" width="4.875" style="728" customWidth="1"/>
    <col min="12797" max="12797" width="4.25" style="728" customWidth="1"/>
    <col min="12798" max="12798" width="4" style="728" customWidth="1"/>
    <col min="12799" max="12799" width="4.25" style="728" customWidth="1"/>
    <col min="12800" max="12801" width="4.375" style="728" customWidth="1"/>
    <col min="12802" max="12803" width="4" style="728" customWidth="1"/>
    <col min="12804" max="12804" width="4.375" style="728" customWidth="1"/>
    <col min="12805" max="12805" width="4.125" style="728" customWidth="1"/>
    <col min="12806" max="12806" width="4.375" style="728" customWidth="1"/>
    <col min="12807" max="12807" width="4.5" style="728" customWidth="1"/>
    <col min="12808" max="12808" width="4.75" style="728" customWidth="1"/>
    <col min="12809" max="12810" width="3.625" style="728" customWidth="1"/>
    <col min="12811" max="12812" width="5.25" style="728" customWidth="1"/>
    <col min="12813" max="12814" width="4.375" style="728" customWidth="1"/>
    <col min="12815" max="13046" width="9" style="728"/>
    <col min="13047" max="13047" width="2.75" style="728" customWidth="1"/>
    <col min="13048" max="13048" width="11" style="728" customWidth="1"/>
    <col min="13049" max="13049" width="4.875" style="728" customWidth="1"/>
    <col min="13050" max="13050" width="5.125" style="728" customWidth="1"/>
    <col min="13051" max="13051" width="5.25" style="728" customWidth="1"/>
    <col min="13052" max="13052" width="4.875" style="728" customWidth="1"/>
    <col min="13053" max="13053" width="4.25" style="728" customWidth="1"/>
    <col min="13054" max="13054" width="4" style="728" customWidth="1"/>
    <col min="13055" max="13055" width="4.25" style="728" customWidth="1"/>
    <col min="13056" max="13057" width="4.375" style="728" customWidth="1"/>
    <col min="13058" max="13059" width="4" style="728" customWidth="1"/>
    <col min="13060" max="13060" width="4.375" style="728" customWidth="1"/>
    <col min="13061" max="13061" width="4.125" style="728" customWidth="1"/>
    <col min="13062" max="13062" width="4.375" style="728" customWidth="1"/>
    <col min="13063" max="13063" width="4.5" style="728" customWidth="1"/>
    <col min="13064" max="13064" width="4.75" style="728" customWidth="1"/>
    <col min="13065" max="13066" width="3.625" style="728" customWidth="1"/>
    <col min="13067" max="13068" width="5.25" style="728" customWidth="1"/>
    <col min="13069" max="13070" width="4.375" style="728" customWidth="1"/>
    <col min="13071" max="13302" width="9" style="728"/>
    <col min="13303" max="13303" width="2.75" style="728" customWidth="1"/>
    <col min="13304" max="13304" width="11" style="728" customWidth="1"/>
    <col min="13305" max="13305" width="4.875" style="728" customWidth="1"/>
    <col min="13306" max="13306" width="5.125" style="728" customWidth="1"/>
    <col min="13307" max="13307" width="5.25" style="728" customWidth="1"/>
    <col min="13308" max="13308" width="4.875" style="728" customWidth="1"/>
    <col min="13309" max="13309" width="4.25" style="728" customWidth="1"/>
    <col min="13310" max="13310" width="4" style="728" customWidth="1"/>
    <col min="13311" max="13311" width="4.25" style="728" customWidth="1"/>
    <col min="13312" max="13313" width="4.375" style="728" customWidth="1"/>
    <col min="13314" max="13315" width="4" style="728" customWidth="1"/>
    <col min="13316" max="13316" width="4.375" style="728" customWidth="1"/>
    <col min="13317" max="13317" width="4.125" style="728" customWidth="1"/>
    <col min="13318" max="13318" width="4.375" style="728" customWidth="1"/>
    <col min="13319" max="13319" width="4.5" style="728" customWidth="1"/>
    <col min="13320" max="13320" width="4.75" style="728" customWidth="1"/>
    <col min="13321" max="13322" width="3.625" style="728" customWidth="1"/>
    <col min="13323" max="13324" width="5.25" style="728" customWidth="1"/>
    <col min="13325" max="13326" width="4.375" style="728" customWidth="1"/>
    <col min="13327" max="13558" width="9" style="728"/>
    <col min="13559" max="13559" width="2.75" style="728" customWidth="1"/>
    <col min="13560" max="13560" width="11" style="728" customWidth="1"/>
    <col min="13561" max="13561" width="4.875" style="728" customWidth="1"/>
    <col min="13562" max="13562" width="5.125" style="728" customWidth="1"/>
    <col min="13563" max="13563" width="5.25" style="728" customWidth="1"/>
    <col min="13564" max="13564" width="4.875" style="728" customWidth="1"/>
    <col min="13565" max="13565" width="4.25" style="728" customWidth="1"/>
    <col min="13566" max="13566" width="4" style="728" customWidth="1"/>
    <col min="13567" max="13567" width="4.25" style="728" customWidth="1"/>
    <col min="13568" max="13569" width="4.375" style="728" customWidth="1"/>
    <col min="13570" max="13571" width="4" style="728" customWidth="1"/>
    <col min="13572" max="13572" width="4.375" style="728" customWidth="1"/>
    <col min="13573" max="13573" width="4.125" style="728" customWidth="1"/>
    <col min="13574" max="13574" width="4.375" style="728" customWidth="1"/>
    <col min="13575" max="13575" width="4.5" style="728" customWidth="1"/>
    <col min="13576" max="13576" width="4.75" style="728" customWidth="1"/>
    <col min="13577" max="13578" width="3.625" style="728" customWidth="1"/>
    <col min="13579" max="13580" width="5.25" style="728" customWidth="1"/>
    <col min="13581" max="13582" width="4.375" style="728" customWidth="1"/>
    <col min="13583" max="13814" width="9" style="728"/>
    <col min="13815" max="13815" width="2.75" style="728" customWidth="1"/>
    <col min="13816" max="13816" width="11" style="728" customWidth="1"/>
    <col min="13817" max="13817" width="4.875" style="728" customWidth="1"/>
    <col min="13818" max="13818" width="5.125" style="728" customWidth="1"/>
    <col min="13819" max="13819" width="5.25" style="728" customWidth="1"/>
    <col min="13820" max="13820" width="4.875" style="728" customWidth="1"/>
    <col min="13821" max="13821" width="4.25" style="728" customWidth="1"/>
    <col min="13822" max="13822" width="4" style="728" customWidth="1"/>
    <col min="13823" max="13823" width="4.25" style="728" customWidth="1"/>
    <col min="13824" max="13825" width="4.375" style="728" customWidth="1"/>
    <col min="13826" max="13827" width="4" style="728" customWidth="1"/>
    <col min="13828" max="13828" width="4.375" style="728" customWidth="1"/>
    <col min="13829" max="13829" width="4.125" style="728" customWidth="1"/>
    <col min="13830" max="13830" width="4.375" style="728" customWidth="1"/>
    <col min="13831" max="13831" width="4.5" style="728" customWidth="1"/>
    <col min="13832" max="13832" width="4.75" style="728" customWidth="1"/>
    <col min="13833" max="13834" width="3.625" style="728" customWidth="1"/>
    <col min="13835" max="13836" width="5.25" style="728" customWidth="1"/>
    <col min="13837" max="13838" width="4.375" style="728" customWidth="1"/>
    <col min="13839" max="14070" width="9" style="728"/>
    <col min="14071" max="14071" width="2.75" style="728" customWidth="1"/>
    <col min="14072" max="14072" width="11" style="728" customWidth="1"/>
    <col min="14073" max="14073" width="4.875" style="728" customWidth="1"/>
    <col min="14074" max="14074" width="5.125" style="728" customWidth="1"/>
    <col min="14075" max="14075" width="5.25" style="728" customWidth="1"/>
    <col min="14076" max="14076" width="4.875" style="728" customWidth="1"/>
    <col min="14077" max="14077" width="4.25" style="728" customWidth="1"/>
    <col min="14078" max="14078" width="4" style="728" customWidth="1"/>
    <col min="14079" max="14079" width="4.25" style="728" customWidth="1"/>
    <col min="14080" max="14081" width="4.375" style="728" customWidth="1"/>
    <col min="14082" max="14083" width="4" style="728" customWidth="1"/>
    <col min="14084" max="14084" width="4.375" style="728" customWidth="1"/>
    <col min="14085" max="14085" width="4.125" style="728" customWidth="1"/>
    <col min="14086" max="14086" width="4.375" style="728" customWidth="1"/>
    <col min="14087" max="14087" width="4.5" style="728" customWidth="1"/>
    <col min="14088" max="14088" width="4.75" style="728" customWidth="1"/>
    <col min="14089" max="14090" width="3.625" style="728" customWidth="1"/>
    <col min="14091" max="14092" width="5.25" style="728" customWidth="1"/>
    <col min="14093" max="14094" width="4.375" style="728" customWidth="1"/>
    <col min="14095" max="14326" width="9" style="728"/>
    <col min="14327" max="14327" width="2.75" style="728" customWidth="1"/>
    <col min="14328" max="14328" width="11" style="728" customWidth="1"/>
    <col min="14329" max="14329" width="4.875" style="728" customWidth="1"/>
    <col min="14330" max="14330" width="5.125" style="728" customWidth="1"/>
    <col min="14331" max="14331" width="5.25" style="728" customWidth="1"/>
    <col min="14332" max="14332" width="4.875" style="728" customWidth="1"/>
    <col min="14333" max="14333" width="4.25" style="728" customWidth="1"/>
    <col min="14334" max="14334" width="4" style="728" customWidth="1"/>
    <col min="14335" max="14335" width="4.25" style="728" customWidth="1"/>
    <col min="14336" max="14337" width="4.375" style="728" customWidth="1"/>
    <col min="14338" max="14339" width="4" style="728" customWidth="1"/>
    <col min="14340" max="14340" width="4.375" style="728" customWidth="1"/>
    <col min="14341" max="14341" width="4.125" style="728" customWidth="1"/>
    <col min="14342" max="14342" width="4.375" style="728" customWidth="1"/>
    <col min="14343" max="14343" width="4.5" style="728" customWidth="1"/>
    <col min="14344" max="14344" width="4.75" style="728" customWidth="1"/>
    <col min="14345" max="14346" width="3.625" style="728" customWidth="1"/>
    <col min="14347" max="14348" width="5.25" style="728" customWidth="1"/>
    <col min="14349" max="14350" width="4.375" style="728" customWidth="1"/>
    <col min="14351" max="14582" width="9" style="728"/>
    <col min="14583" max="14583" width="2.75" style="728" customWidth="1"/>
    <col min="14584" max="14584" width="11" style="728" customWidth="1"/>
    <col min="14585" max="14585" width="4.875" style="728" customWidth="1"/>
    <col min="14586" max="14586" width="5.125" style="728" customWidth="1"/>
    <col min="14587" max="14587" width="5.25" style="728" customWidth="1"/>
    <col min="14588" max="14588" width="4.875" style="728" customWidth="1"/>
    <col min="14589" max="14589" width="4.25" style="728" customWidth="1"/>
    <col min="14590" max="14590" width="4" style="728" customWidth="1"/>
    <col min="14591" max="14591" width="4.25" style="728" customWidth="1"/>
    <col min="14592" max="14593" width="4.375" style="728" customWidth="1"/>
    <col min="14594" max="14595" width="4" style="728" customWidth="1"/>
    <col min="14596" max="14596" width="4.375" style="728" customWidth="1"/>
    <col min="14597" max="14597" width="4.125" style="728" customWidth="1"/>
    <col min="14598" max="14598" width="4.375" style="728" customWidth="1"/>
    <col min="14599" max="14599" width="4.5" style="728" customWidth="1"/>
    <col min="14600" max="14600" width="4.75" style="728" customWidth="1"/>
    <col min="14601" max="14602" width="3.625" style="728" customWidth="1"/>
    <col min="14603" max="14604" width="5.25" style="728" customWidth="1"/>
    <col min="14605" max="14606" width="4.375" style="728" customWidth="1"/>
    <col min="14607" max="14838" width="9" style="728"/>
    <col min="14839" max="14839" width="2.75" style="728" customWidth="1"/>
    <col min="14840" max="14840" width="11" style="728" customWidth="1"/>
    <col min="14841" max="14841" width="4.875" style="728" customWidth="1"/>
    <col min="14842" max="14842" width="5.125" style="728" customWidth="1"/>
    <col min="14843" max="14843" width="5.25" style="728" customWidth="1"/>
    <col min="14844" max="14844" width="4.875" style="728" customWidth="1"/>
    <col min="14845" max="14845" width="4.25" style="728" customWidth="1"/>
    <col min="14846" max="14846" width="4" style="728" customWidth="1"/>
    <col min="14847" max="14847" width="4.25" style="728" customWidth="1"/>
    <col min="14848" max="14849" width="4.375" style="728" customWidth="1"/>
    <col min="14850" max="14851" width="4" style="728" customWidth="1"/>
    <col min="14852" max="14852" width="4.375" style="728" customWidth="1"/>
    <col min="14853" max="14853" width="4.125" style="728" customWidth="1"/>
    <col min="14854" max="14854" width="4.375" style="728" customWidth="1"/>
    <col min="14855" max="14855" width="4.5" style="728" customWidth="1"/>
    <col min="14856" max="14856" width="4.75" style="728" customWidth="1"/>
    <col min="14857" max="14858" width="3.625" style="728" customWidth="1"/>
    <col min="14859" max="14860" width="5.25" style="728" customWidth="1"/>
    <col min="14861" max="14862" width="4.375" style="728" customWidth="1"/>
    <col min="14863" max="15094" width="9" style="728"/>
    <col min="15095" max="15095" width="2.75" style="728" customWidth="1"/>
    <col min="15096" max="15096" width="11" style="728" customWidth="1"/>
    <col min="15097" max="15097" width="4.875" style="728" customWidth="1"/>
    <col min="15098" max="15098" width="5.125" style="728" customWidth="1"/>
    <col min="15099" max="15099" width="5.25" style="728" customWidth="1"/>
    <col min="15100" max="15100" width="4.875" style="728" customWidth="1"/>
    <col min="15101" max="15101" width="4.25" style="728" customWidth="1"/>
    <col min="15102" max="15102" width="4" style="728" customWidth="1"/>
    <col min="15103" max="15103" width="4.25" style="728" customWidth="1"/>
    <col min="15104" max="15105" width="4.375" style="728" customWidth="1"/>
    <col min="15106" max="15107" width="4" style="728" customWidth="1"/>
    <col min="15108" max="15108" width="4.375" style="728" customWidth="1"/>
    <col min="15109" max="15109" width="4.125" style="728" customWidth="1"/>
    <col min="15110" max="15110" width="4.375" style="728" customWidth="1"/>
    <col min="15111" max="15111" width="4.5" style="728" customWidth="1"/>
    <col min="15112" max="15112" width="4.75" style="728" customWidth="1"/>
    <col min="15113" max="15114" width="3.625" style="728" customWidth="1"/>
    <col min="15115" max="15116" width="5.25" style="728" customWidth="1"/>
    <col min="15117" max="15118" width="4.375" style="728" customWidth="1"/>
    <col min="15119" max="15350" width="9" style="728"/>
    <col min="15351" max="15351" width="2.75" style="728" customWidth="1"/>
    <col min="15352" max="15352" width="11" style="728" customWidth="1"/>
    <col min="15353" max="15353" width="4.875" style="728" customWidth="1"/>
    <col min="15354" max="15354" width="5.125" style="728" customWidth="1"/>
    <col min="15355" max="15355" width="5.25" style="728" customWidth="1"/>
    <col min="15356" max="15356" width="4.875" style="728" customWidth="1"/>
    <col min="15357" max="15357" width="4.25" style="728" customWidth="1"/>
    <col min="15358" max="15358" width="4" style="728" customWidth="1"/>
    <col min="15359" max="15359" width="4.25" style="728" customWidth="1"/>
    <col min="15360" max="15361" width="4.375" style="728" customWidth="1"/>
    <col min="15362" max="15363" width="4" style="728" customWidth="1"/>
    <col min="15364" max="15364" width="4.375" style="728" customWidth="1"/>
    <col min="15365" max="15365" width="4.125" style="728" customWidth="1"/>
    <col min="15366" max="15366" width="4.375" style="728" customWidth="1"/>
    <col min="15367" max="15367" width="4.5" style="728" customWidth="1"/>
    <col min="15368" max="15368" width="4.75" style="728" customWidth="1"/>
    <col min="15369" max="15370" width="3.625" style="728" customWidth="1"/>
    <col min="15371" max="15372" width="5.25" style="728" customWidth="1"/>
    <col min="15373" max="15374" width="4.375" style="728" customWidth="1"/>
    <col min="15375" max="15606" width="9" style="728"/>
    <col min="15607" max="15607" width="2.75" style="728" customWidth="1"/>
    <col min="15608" max="15608" width="11" style="728" customWidth="1"/>
    <col min="15609" max="15609" width="4.875" style="728" customWidth="1"/>
    <col min="15610" max="15610" width="5.125" style="728" customWidth="1"/>
    <col min="15611" max="15611" width="5.25" style="728" customWidth="1"/>
    <col min="15612" max="15612" width="4.875" style="728" customWidth="1"/>
    <col min="15613" max="15613" width="4.25" style="728" customWidth="1"/>
    <col min="15614" max="15614" width="4" style="728" customWidth="1"/>
    <col min="15615" max="15615" width="4.25" style="728" customWidth="1"/>
    <col min="15616" max="15617" width="4.375" style="728" customWidth="1"/>
    <col min="15618" max="15619" width="4" style="728" customWidth="1"/>
    <col min="15620" max="15620" width="4.375" style="728" customWidth="1"/>
    <col min="15621" max="15621" width="4.125" style="728" customWidth="1"/>
    <col min="15622" max="15622" width="4.375" style="728" customWidth="1"/>
    <col min="15623" max="15623" width="4.5" style="728" customWidth="1"/>
    <col min="15624" max="15624" width="4.75" style="728" customWidth="1"/>
    <col min="15625" max="15626" width="3.625" style="728" customWidth="1"/>
    <col min="15627" max="15628" width="5.25" style="728" customWidth="1"/>
    <col min="15629" max="15630" width="4.375" style="728" customWidth="1"/>
    <col min="15631" max="15862" width="9" style="728"/>
    <col min="15863" max="15863" width="2.75" style="728" customWidth="1"/>
    <col min="15864" max="15864" width="11" style="728" customWidth="1"/>
    <col min="15865" max="15865" width="4.875" style="728" customWidth="1"/>
    <col min="15866" max="15866" width="5.125" style="728" customWidth="1"/>
    <col min="15867" max="15867" width="5.25" style="728" customWidth="1"/>
    <col min="15868" max="15868" width="4.875" style="728" customWidth="1"/>
    <col min="15869" max="15869" width="4.25" style="728" customWidth="1"/>
    <col min="15870" max="15870" width="4" style="728" customWidth="1"/>
    <col min="15871" max="15871" width="4.25" style="728" customWidth="1"/>
    <col min="15872" max="15873" width="4.375" style="728" customWidth="1"/>
    <col min="15874" max="15875" width="4" style="728" customWidth="1"/>
    <col min="15876" max="15876" width="4.375" style="728" customWidth="1"/>
    <col min="15877" max="15877" width="4.125" style="728" customWidth="1"/>
    <col min="15878" max="15878" width="4.375" style="728" customWidth="1"/>
    <col min="15879" max="15879" width="4.5" style="728" customWidth="1"/>
    <col min="15880" max="15880" width="4.75" style="728" customWidth="1"/>
    <col min="15881" max="15882" width="3.625" style="728" customWidth="1"/>
    <col min="15883" max="15884" width="5.25" style="728" customWidth="1"/>
    <col min="15885" max="15886" width="4.375" style="728" customWidth="1"/>
    <col min="15887" max="16118" width="9" style="728"/>
    <col min="16119" max="16119" width="2.75" style="728" customWidth="1"/>
    <col min="16120" max="16120" width="11" style="728" customWidth="1"/>
    <col min="16121" max="16121" width="4.875" style="728" customWidth="1"/>
    <col min="16122" max="16122" width="5.125" style="728" customWidth="1"/>
    <col min="16123" max="16123" width="5.25" style="728" customWidth="1"/>
    <col min="16124" max="16124" width="4.875" style="728" customWidth="1"/>
    <col min="16125" max="16125" width="4.25" style="728" customWidth="1"/>
    <col min="16126" max="16126" width="4" style="728" customWidth="1"/>
    <col min="16127" max="16127" width="4.25" style="728" customWidth="1"/>
    <col min="16128" max="16129" width="4.375" style="728" customWidth="1"/>
    <col min="16130" max="16131" width="4" style="728" customWidth="1"/>
    <col min="16132" max="16132" width="4.375" style="728" customWidth="1"/>
    <col min="16133" max="16133" width="4.125" style="728" customWidth="1"/>
    <col min="16134" max="16134" width="4.375" style="728" customWidth="1"/>
    <col min="16135" max="16135" width="4.5" style="728" customWidth="1"/>
    <col min="16136" max="16136" width="4.75" style="728" customWidth="1"/>
    <col min="16137" max="16138" width="3.625" style="728" customWidth="1"/>
    <col min="16139" max="16140" width="5.25" style="728" customWidth="1"/>
    <col min="16141" max="16142" width="4.375" style="728" customWidth="1"/>
    <col min="16143" max="16384" width="9" style="728"/>
  </cols>
  <sheetData>
    <row r="1" spans="1:24" ht="21.75" customHeight="1" x14ac:dyDescent="0.2">
      <c r="A1" s="2004" t="s">
        <v>2415</v>
      </c>
      <c r="B1" s="2004"/>
      <c r="C1" s="2004"/>
      <c r="D1" s="2004"/>
      <c r="E1" s="2004"/>
      <c r="F1" s="2004"/>
      <c r="G1" s="2004"/>
      <c r="H1" s="2004"/>
      <c r="I1" s="2004"/>
      <c r="J1" s="2004"/>
      <c r="K1" s="2004"/>
      <c r="L1" s="2004"/>
      <c r="M1" s="2004"/>
      <c r="N1" s="2004"/>
      <c r="O1" s="2004"/>
      <c r="P1" s="2004"/>
      <c r="Q1" s="2004"/>
      <c r="R1" s="2004"/>
      <c r="S1" s="2004"/>
      <c r="T1" s="2004"/>
      <c r="U1" s="2004"/>
      <c r="V1" s="2004"/>
      <c r="W1" s="2004"/>
      <c r="X1" s="2004"/>
    </row>
    <row r="2" spans="1:24" s="729" customFormat="1" ht="15.75" customHeight="1" x14ac:dyDescent="0.25">
      <c r="A2" s="2005" t="e">
        <f>'Biểu 16'!A2:AA2</f>
        <v>#REF!</v>
      </c>
      <c r="B2" s="2005"/>
      <c r="C2" s="2005"/>
      <c r="D2" s="2005"/>
      <c r="E2" s="2005"/>
      <c r="F2" s="2005"/>
      <c r="G2" s="2005"/>
      <c r="H2" s="2005"/>
      <c r="I2" s="2005"/>
      <c r="J2" s="2005"/>
      <c r="K2" s="2005"/>
      <c r="L2" s="2005"/>
      <c r="M2" s="2005"/>
      <c r="N2" s="2005"/>
      <c r="O2" s="2005"/>
      <c r="P2" s="2005"/>
      <c r="Q2" s="2005"/>
      <c r="R2" s="2005"/>
      <c r="S2" s="2005"/>
      <c r="T2" s="2005"/>
      <c r="U2" s="2005"/>
      <c r="V2" s="2005"/>
      <c r="W2" s="2005"/>
      <c r="X2" s="2005"/>
    </row>
    <row r="3" spans="1:24" s="729" customFormat="1" ht="13.5" customHeight="1" x14ac:dyDescent="0.25">
      <c r="A3" s="730"/>
      <c r="B3" s="731"/>
      <c r="C3" s="731"/>
      <c r="D3" s="731"/>
      <c r="E3" s="2006"/>
      <c r="F3" s="2006"/>
      <c r="G3" s="2006"/>
      <c r="H3" s="2006"/>
      <c r="I3" s="2006"/>
      <c r="J3" s="2006"/>
      <c r="K3" s="2006"/>
      <c r="L3" s="731"/>
      <c r="M3" s="731"/>
      <c r="N3" s="731"/>
      <c r="O3" s="731"/>
      <c r="P3" s="2007" t="s">
        <v>1454</v>
      </c>
      <c r="Q3" s="2007"/>
      <c r="R3" s="2007"/>
      <c r="S3" s="2007"/>
      <c r="T3" s="2007"/>
      <c r="U3" s="2007"/>
      <c r="V3" s="2007"/>
    </row>
    <row r="4" spans="1:24" s="359" customFormat="1" ht="21" customHeight="1" x14ac:dyDescent="0.2">
      <c r="A4" s="2008" t="s">
        <v>0</v>
      </c>
      <c r="B4" s="2008" t="s">
        <v>1</v>
      </c>
      <c r="C4" s="2010" t="s">
        <v>1268</v>
      </c>
      <c r="D4" s="2011"/>
      <c r="E4" s="1970" t="s">
        <v>148</v>
      </c>
      <c r="F4" s="1972"/>
      <c r="G4" s="1970" t="s">
        <v>149</v>
      </c>
      <c r="H4" s="1972"/>
      <c r="I4" s="1970" t="s">
        <v>385</v>
      </c>
      <c r="J4" s="1972"/>
      <c r="K4" s="1970" t="s">
        <v>151</v>
      </c>
      <c r="L4" s="1972"/>
      <c r="M4" s="1970" t="s">
        <v>152</v>
      </c>
      <c r="N4" s="1972"/>
      <c r="O4" s="1970" t="s">
        <v>153</v>
      </c>
      <c r="P4" s="1972"/>
      <c r="Q4" s="1970" t="s">
        <v>154</v>
      </c>
      <c r="R4" s="1972"/>
      <c r="S4" s="1970" t="s">
        <v>155</v>
      </c>
      <c r="T4" s="1972"/>
      <c r="U4" s="1970" t="s">
        <v>559</v>
      </c>
      <c r="V4" s="1972"/>
      <c r="W4" s="1975" t="s">
        <v>577</v>
      </c>
      <c r="X4" s="1975"/>
    </row>
    <row r="5" spans="1:24" s="359" customFormat="1" ht="25.5" customHeight="1" x14ac:dyDescent="0.2">
      <c r="A5" s="2009"/>
      <c r="B5" s="2009"/>
      <c r="C5" s="727" t="s">
        <v>1455</v>
      </c>
      <c r="D5" s="727" t="s">
        <v>1456</v>
      </c>
      <c r="E5" s="727" t="s">
        <v>1455</v>
      </c>
      <c r="F5" s="727" t="s">
        <v>1456</v>
      </c>
      <c r="G5" s="727" t="s">
        <v>1455</v>
      </c>
      <c r="H5" s="727" t="s">
        <v>1456</v>
      </c>
      <c r="I5" s="727" t="s">
        <v>1455</v>
      </c>
      <c r="J5" s="727" t="s">
        <v>1456</v>
      </c>
      <c r="K5" s="727" t="s">
        <v>1455</v>
      </c>
      <c r="L5" s="727" t="s">
        <v>1456</v>
      </c>
      <c r="M5" s="727" t="s">
        <v>1455</v>
      </c>
      <c r="N5" s="727" t="s">
        <v>1456</v>
      </c>
      <c r="O5" s="727" t="s">
        <v>1455</v>
      </c>
      <c r="P5" s="727" t="s">
        <v>1456</v>
      </c>
      <c r="Q5" s="727" t="s">
        <v>1455</v>
      </c>
      <c r="R5" s="727" t="s">
        <v>1456</v>
      </c>
      <c r="S5" s="727" t="s">
        <v>1455</v>
      </c>
      <c r="T5" s="727" t="s">
        <v>1456</v>
      </c>
      <c r="U5" s="727" t="s">
        <v>1455</v>
      </c>
      <c r="V5" s="727" t="s">
        <v>1456</v>
      </c>
      <c r="W5" s="727" t="s">
        <v>1455</v>
      </c>
      <c r="X5" s="727" t="s">
        <v>1456</v>
      </c>
    </row>
    <row r="6" spans="1:24" s="359" customFormat="1" ht="11.25" x14ac:dyDescent="0.2">
      <c r="A6" s="727" t="s">
        <v>2</v>
      </c>
      <c r="B6" s="727" t="s">
        <v>3</v>
      </c>
      <c r="C6" s="727">
        <v>1</v>
      </c>
      <c r="D6" s="727">
        <v>2</v>
      </c>
      <c r="E6" s="727">
        <v>3</v>
      </c>
      <c r="F6" s="727">
        <v>4</v>
      </c>
      <c r="G6" s="727">
        <v>5</v>
      </c>
      <c r="H6" s="727">
        <v>6</v>
      </c>
      <c r="I6" s="727">
        <v>7</v>
      </c>
      <c r="J6" s="727">
        <v>8</v>
      </c>
      <c r="K6" s="727">
        <v>9</v>
      </c>
      <c r="L6" s="727">
        <v>10</v>
      </c>
      <c r="M6" s="727">
        <v>11</v>
      </c>
      <c r="N6" s="727">
        <v>12</v>
      </c>
      <c r="O6" s="727">
        <v>13</v>
      </c>
      <c r="P6" s="727">
        <v>14</v>
      </c>
      <c r="Q6" s="727">
        <v>15</v>
      </c>
      <c r="R6" s="727">
        <v>16</v>
      </c>
      <c r="S6" s="727">
        <v>17</v>
      </c>
      <c r="T6" s="727">
        <v>18</v>
      </c>
      <c r="U6" s="727">
        <v>19</v>
      </c>
      <c r="V6" s="727">
        <v>20</v>
      </c>
      <c r="W6" s="727">
        <v>21</v>
      </c>
      <c r="X6" s="727">
        <v>22</v>
      </c>
    </row>
    <row r="7" spans="1:24" s="363" customFormat="1" ht="15.75" customHeight="1" x14ac:dyDescent="0.15">
      <c r="A7" s="360"/>
      <c r="B7" s="360" t="s">
        <v>229</v>
      </c>
      <c r="C7" s="361">
        <f t="shared" ref="C7:X7" si="0">C8+C49+C50+C57</f>
        <v>678000</v>
      </c>
      <c r="D7" s="361">
        <f t="shared" si="0"/>
        <v>700000</v>
      </c>
      <c r="E7" s="361">
        <f t="shared" si="0"/>
        <v>104060</v>
      </c>
      <c r="F7" s="361">
        <f t="shared" si="0"/>
        <v>114000</v>
      </c>
      <c r="G7" s="361">
        <f t="shared" si="0"/>
        <v>12820</v>
      </c>
      <c r="H7" s="361">
        <f t="shared" si="0"/>
        <v>13330</v>
      </c>
      <c r="I7" s="361">
        <f t="shared" si="0"/>
        <v>14040</v>
      </c>
      <c r="J7" s="361">
        <f t="shared" si="0"/>
        <v>14600</v>
      </c>
      <c r="K7" s="361">
        <f t="shared" si="0"/>
        <v>118630</v>
      </c>
      <c r="L7" s="361">
        <f t="shared" si="0"/>
        <v>124600</v>
      </c>
      <c r="M7" s="361">
        <f t="shared" si="0"/>
        <v>17820</v>
      </c>
      <c r="N7" s="361">
        <f t="shared" si="0"/>
        <v>18350</v>
      </c>
      <c r="O7" s="361">
        <f t="shared" si="0"/>
        <v>14100</v>
      </c>
      <c r="P7" s="361">
        <f t="shared" si="0"/>
        <v>15220</v>
      </c>
      <c r="Q7" s="361">
        <f t="shared" si="0"/>
        <v>29800</v>
      </c>
      <c r="R7" s="361">
        <f t="shared" si="0"/>
        <v>32500</v>
      </c>
      <c r="S7" s="361">
        <f t="shared" si="0"/>
        <v>9190</v>
      </c>
      <c r="T7" s="361">
        <f t="shared" si="0"/>
        <v>9800</v>
      </c>
      <c r="U7" s="361">
        <f t="shared" si="0"/>
        <v>354540</v>
      </c>
      <c r="V7" s="361">
        <f t="shared" si="0"/>
        <v>354600</v>
      </c>
      <c r="W7" s="361">
        <f t="shared" si="0"/>
        <v>3000</v>
      </c>
      <c r="X7" s="361">
        <f t="shared" si="0"/>
        <v>3000</v>
      </c>
    </row>
    <row r="8" spans="1:24" s="363" customFormat="1" ht="10.5" x14ac:dyDescent="0.15">
      <c r="A8" s="364" t="s">
        <v>9</v>
      </c>
      <c r="B8" s="365" t="s">
        <v>7</v>
      </c>
      <c r="C8" s="366">
        <f>C9+C14+C20+C23+C29+C30+C31+C32+C33+C34+C37+C40+C45+C46+C47+C48</f>
        <v>675000</v>
      </c>
      <c r="D8" s="366">
        <f t="shared" ref="D8:V8" si="1">D9+D14+D20+D23+D29+D30+D31+D32+D33+D34+D37+D40+D45+D46+D47+D48</f>
        <v>697000</v>
      </c>
      <c r="E8" s="366">
        <f t="shared" si="1"/>
        <v>104060</v>
      </c>
      <c r="F8" s="366">
        <f t="shared" si="1"/>
        <v>114000</v>
      </c>
      <c r="G8" s="366">
        <f t="shared" si="1"/>
        <v>12820</v>
      </c>
      <c r="H8" s="366">
        <f t="shared" si="1"/>
        <v>13330</v>
      </c>
      <c r="I8" s="366">
        <f t="shared" si="1"/>
        <v>14040</v>
      </c>
      <c r="J8" s="366">
        <f t="shared" si="1"/>
        <v>14600</v>
      </c>
      <c r="K8" s="366">
        <f t="shared" si="1"/>
        <v>118630</v>
      </c>
      <c r="L8" s="366">
        <f t="shared" si="1"/>
        <v>124600</v>
      </c>
      <c r="M8" s="366">
        <f t="shared" si="1"/>
        <v>17820</v>
      </c>
      <c r="N8" s="366">
        <f t="shared" si="1"/>
        <v>18350</v>
      </c>
      <c r="O8" s="366">
        <f t="shared" si="1"/>
        <v>14100</v>
      </c>
      <c r="P8" s="366">
        <f t="shared" si="1"/>
        <v>15220</v>
      </c>
      <c r="Q8" s="366">
        <f t="shared" si="1"/>
        <v>29800</v>
      </c>
      <c r="R8" s="366">
        <f t="shared" si="1"/>
        <v>32500</v>
      </c>
      <c r="S8" s="366">
        <f t="shared" si="1"/>
        <v>9190</v>
      </c>
      <c r="T8" s="366">
        <f t="shared" si="1"/>
        <v>9800</v>
      </c>
      <c r="U8" s="366">
        <f t="shared" si="1"/>
        <v>354540</v>
      </c>
      <c r="V8" s="366">
        <f t="shared" si="1"/>
        <v>354600</v>
      </c>
      <c r="W8" s="366"/>
      <c r="X8" s="366"/>
    </row>
    <row r="9" spans="1:24" s="363" customFormat="1" ht="21.75" customHeight="1" x14ac:dyDescent="0.15">
      <c r="A9" s="364">
        <v>1</v>
      </c>
      <c r="B9" s="365" t="s">
        <v>560</v>
      </c>
      <c r="C9" s="366">
        <f t="shared" ref="C9" si="2">SUM(C10:C13)</f>
        <v>90400</v>
      </c>
      <c r="D9" s="366">
        <f>SUM(D10:D12)</f>
        <v>90400</v>
      </c>
      <c r="E9" s="366">
        <f>SUM(E10:E12)</f>
        <v>270</v>
      </c>
      <c r="F9" s="366">
        <f>SUM(F10:F12)</f>
        <v>270</v>
      </c>
      <c r="G9" s="366">
        <f t="shared" ref="G9:U9" si="3">SUM(G10:G12)</f>
        <v>75</v>
      </c>
      <c r="H9" s="366">
        <f t="shared" ref="H9" si="4">SUM(H10:H12)</f>
        <v>75</v>
      </c>
      <c r="I9" s="366">
        <f t="shared" si="3"/>
        <v>105</v>
      </c>
      <c r="J9" s="366">
        <f t="shared" ref="J9" si="5">SUM(J10:J12)</f>
        <v>105</v>
      </c>
      <c r="K9" s="366">
        <f t="shared" si="3"/>
        <v>21110</v>
      </c>
      <c r="L9" s="366">
        <f t="shared" ref="L9" si="6">SUM(L10:L12)</f>
        <v>21110</v>
      </c>
      <c r="M9" s="366">
        <f t="shared" si="3"/>
        <v>130</v>
      </c>
      <c r="N9" s="366">
        <f t="shared" ref="N9" si="7">SUM(N10:N12)</f>
        <v>130</v>
      </c>
      <c r="O9" s="366">
        <f t="shared" si="3"/>
        <v>690</v>
      </c>
      <c r="P9" s="366">
        <f t="shared" ref="P9" si="8">SUM(P10:P12)</f>
        <v>690</v>
      </c>
      <c r="Q9" s="366">
        <f t="shared" si="3"/>
        <v>1400</v>
      </c>
      <c r="R9" s="366">
        <f t="shared" ref="R9" si="9">SUM(R10:R12)</f>
        <v>1400</v>
      </c>
      <c r="S9" s="366">
        <f t="shared" si="3"/>
        <v>90</v>
      </c>
      <c r="T9" s="366">
        <f t="shared" ref="T9" si="10">SUM(T10:T12)</f>
        <v>90</v>
      </c>
      <c r="U9" s="366">
        <f t="shared" si="3"/>
        <v>66530</v>
      </c>
      <c r="V9" s="366">
        <f t="shared" ref="V9" si="11">SUM(V10:V12)</f>
        <v>66530</v>
      </c>
      <c r="W9" s="366"/>
      <c r="X9" s="366"/>
    </row>
    <row r="10" spans="1:24" s="359" customFormat="1" ht="11.25" x14ac:dyDescent="0.2">
      <c r="A10" s="369"/>
      <c r="B10" s="370" t="s">
        <v>561</v>
      </c>
      <c r="C10" s="371">
        <f>E10+G10+I10+K10+M10+O10+Q10+S10+U10+W10</f>
        <v>1200</v>
      </c>
      <c r="D10" s="371">
        <f>F10+H10+J10+L10+N10+P10+R10+T10+V10</f>
        <v>1200</v>
      </c>
      <c r="E10" s="372">
        <v>20</v>
      </c>
      <c r="F10" s="372">
        <v>20</v>
      </c>
      <c r="G10" s="372">
        <v>0</v>
      </c>
      <c r="H10" s="372">
        <v>0</v>
      </c>
      <c r="I10" s="372">
        <v>0</v>
      </c>
      <c r="J10" s="372">
        <v>0</v>
      </c>
      <c r="K10" s="372">
        <v>0</v>
      </c>
      <c r="L10" s="372">
        <v>0</v>
      </c>
      <c r="M10" s="372">
        <v>0</v>
      </c>
      <c r="N10" s="372">
        <v>0</v>
      </c>
      <c r="O10" s="372">
        <v>120</v>
      </c>
      <c r="P10" s="372">
        <v>120</v>
      </c>
      <c r="Q10" s="372">
        <v>0</v>
      </c>
      <c r="R10" s="372">
        <v>0</v>
      </c>
      <c r="S10" s="372">
        <v>0</v>
      </c>
      <c r="T10" s="372">
        <v>0</v>
      </c>
      <c r="U10" s="372">
        <v>1060</v>
      </c>
      <c r="V10" s="372">
        <v>1060</v>
      </c>
      <c r="W10" s="372"/>
      <c r="X10" s="372"/>
    </row>
    <row r="11" spans="1:24" s="359" customFormat="1" ht="11.25" x14ac:dyDescent="0.2">
      <c r="A11" s="369"/>
      <c r="B11" s="370" t="s">
        <v>562</v>
      </c>
      <c r="C11" s="371">
        <f>E11+G11+I11+K11+M11+O11+Q11+S11+U11+W11</f>
        <v>22000</v>
      </c>
      <c r="D11" s="371">
        <f>F11+H11+J11+L11+N11+P11+R11+T11+V11</f>
        <v>22000</v>
      </c>
      <c r="E11" s="372">
        <v>0</v>
      </c>
      <c r="F11" s="372">
        <v>0</v>
      </c>
      <c r="G11" s="372">
        <v>0</v>
      </c>
      <c r="H11" s="372">
        <v>0</v>
      </c>
      <c r="I11" s="372">
        <v>0</v>
      </c>
      <c r="J11" s="372">
        <v>0</v>
      </c>
      <c r="K11" s="372">
        <v>20700</v>
      </c>
      <c r="L11" s="372">
        <v>20700</v>
      </c>
      <c r="M11" s="372">
        <v>0</v>
      </c>
      <c r="N11" s="372">
        <v>0</v>
      </c>
      <c r="O11" s="372">
        <v>0</v>
      </c>
      <c r="P11" s="372">
        <v>0</v>
      </c>
      <c r="Q11" s="372">
        <v>1300</v>
      </c>
      <c r="R11" s="372">
        <v>1300</v>
      </c>
      <c r="S11" s="372">
        <v>0</v>
      </c>
      <c r="T11" s="372">
        <v>0</v>
      </c>
      <c r="U11" s="372">
        <v>0</v>
      </c>
      <c r="V11" s="372">
        <v>0</v>
      </c>
      <c r="W11" s="372"/>
      <c r="X11" s="372"/>
    </row>
    <row r="12" spans="1:24" s="359" customFormat="1" ht="11.25" x14ac:dyDescent="0.2">
      <c r="A12" s="369"/>
      <c r="B12" s="370" t="s">
        <v>563</v>
      </c>
      <c r="C12" s="371">
        <f>E12+G12+I12+K12+M12+O12+Q12+S12+U12+W12</f>
        <v>67200</v>
      </c>
      <c r="D12" s="371">
        <f>F12+H12+J12+L12+N12+P12+R12+T12+V12</f>
        <v>67200</v>
      </c>
      <c r="E12" s="372">
        <v>250</v>
      </c>
      <c r="F12" s="372">
        <v>250</v>
      </c>
      <c r="G12" s="372">
        <v>75</v>
      </c>
      <c r="H12" s="372">
        <v>75</v>
      </c>
      <c r="I12" s="372">
        <v>105</v>
      </c>
      <c r="J12" s="372">
        <v>105</v>
      </c>
      <c r="K12" s="372">
        <v>410</v>
      </c>
      <c r="L12" s="372">
        <v>410</v>
      </c>
      <c r="M12" s="372">
        <v>130</v>
      </c>
      <c r="N12" s="372">
        <v>130</v>
      </c>
      <c r="O12" s="372">
        <v>570</v>
      </c>
      <c r="P12" s="372">
        <v>570</v>
      </c>
      <c r="Q12" s="372">
        <v>100</v>
      </c>
      <c r="R12" s="372">
        <v>100</v>
      </c>
      <c r="S12" s="372">
        <v>90</v>
      </c>
      <c r="T12" s="372">
        <v>90</v>
      </c>
      <c r="U12" s="372">
        <v>65470</v>
      </c>
      <c r="V12" s="372">
        <v>65470</v>
      </c>
      <c r="W12" s="372"/>
      <c r="X12" s="372"/>
    </row>
    <row r="13" spans="1:24" s="359" customFormat="1" ht="11.25" x14ac:dyDescent="0.2">
      <c r="A13" s="369"/>
      <c r="B13" s="370" t="s">
        <v>564</v>
      </c>
      <c r="C13" s="371"/>
      <c r="D13" s="371">
        <f>F13+H13+J13+L13+N13+P13+R13+T13+V13</f>
        <v>0</v>
      </c>
      <c r="E13" s="372"/>
      <c r="F13" s="372"/>
      <c r="G13" s="372"/>
      <c r="H13" s="372"/>
      <c r="I13" s="372"/>
      <c r="J13" s="372"/>
      <c r="K13" s="372"/>
      <c r="L13" s="372"/>
      <c r="M13" s="372"/>
      <c r="N13" s="372"/>
      <c r="O13" s="372"/>
      <c r="P13" s="372"/>
      <c r="Q13" s="372"/>
      <c r="R13" s="372"/>
      <c r="S13" s="372"/>
      <c r="T13" s="372"/>
      <c r="U13" s="372"/>
      <c r="V13" s="372"/>
      <c r="W13" s="372"/>
      <c r="X13" s="372"/>
    </row>
    <row r="14" spans="1:24" s="363" customFormat="1" ht="21" x14ac:dyDescent="0.15">
      <c r="A14" s="364">
        <v>2</v>
      </c>
      <c r="B14" s="365" t="s">
        <v>565</v>
      </c>
      <c r="C14" s="366">
        <f t="shared" ref="C14:D14" si="12">SUM(C15:C17)</f>
        <v>8000</v>
      </c>
      <c r="D14" s="366">
        <f t="shared" si="12"/>
        <v>8000</v>
      </c>
      <c r="E14" s="366">
        <f>SUM(E15:E17)</f>
        <v>700</v>
      </c>
      <c r="F14" s="366">
        <f>SUM(F15:F17)</f>
        <v>700</v>
      </c>
      <c r="G14" s="366">
        <f t="shared" ref="G14:U14" si="13">SUM(G15:G17)</f>
        <v>10</v>
      </c>
      <c r="H14" s="366">
        <f t="shared" ref="H14" si="14">SUM(H15:H17)</f>
        <v>10</v>
      </c>
      <c r="I14" s="366">
        <f t="shared" si="13"/>
        <v>15</v>
      </c>
      <c r="J14" s="366">
        <f t="shared" ref="J14" si="15">SUM(J15:J17)</f>
        <v>15</v>
      </c>
      <c r="K14" s="366">
        <f t="shared" si="13"/>
        <v>100</v>
      </c>
      <c r="L14" s="366">
        <f t="shared" ref="L14" si="16">SUM(L15:L17)</f>
        <v>100</v>
      </c>
      <c r="M14" s="366">
        <f t="shared" si="13"/>
        <v>100</v>
      </c>
      <c r="N14" s="366">
        <f t="shared" ref="N14" si="17">SUM(N15:N17)</f>
        <v>100</v>
      </c>
      <c r="O14" s="366">
        <f t="shared" si="13"/>
        <v>30</v>
      </c>
      <c r="P14" s="366">
        <f t="shared" ref="P14" si="18">SUM(P15:P17)</f>
        <v>30</v>
      </c>
      <c r="Q14" s="366">
        <f t="shared" si="13"/>
        <v>160</v>
      </c>
      <c r="R14" s="366">
        <f t="shared" ref="R14" si="19">SUM(R15:R17)</f>
        <v>160</v>
      </c>
      <c r="S14" s="366">
        <f t="shared" si="13"/>
        <v>0</v>
      </c>
      <c r="T14" s="366">
        <f t="shared" ref="T14" si="20">SUM(T15:T17)</f>
        <v>0</v>
      </c>
      <c r="U14" s="366">
        <f t="shared" si="13"/>
        <v>6885</v>
      </c>
      <c r="V14" s="366">
        <f t="shared" ref="V14" si="21">SUM(V15:V17)</f>
        <v>6885</v>
      </c>
      <c r="W14" s="366"/>
      <c r="X14" s="366"/>
    </row>
    <row r="15" spans="1:24" s="359" customFormat="1" ht="11.25" x14ac:dyDescent="0.2">
      <c r="A15" s="369"/>
      <c r="B15" s="370" t="s">
        <v>561</v>
      </c>
      <c r="C15" s="371">
        <f>E15+G15+I15+K15+M15+O15+Q15+S15+U15+W15</f>
        <v>1840</v>
      </c>
      <c r="D15" s="371">
        <f>F15+H15+J15+L15+N15+P15+R15+T15+V15</f>
        <v>1840</v>
      </c>
      <c r="E15" s="372">
        <v>340</v>
      </c>
      <c r="F15" s="372">
        <v>340</v>
      </c>
      <c r="G15" s="372">
        <v>0</v>
      </c>
      <c r="H15" s="372">
        <v>0</v>
      </c>
      <c r="I15" s="372">
        <v>0</v>
      </c>
      <c r="J15" s="372">
        <v>0</v>
      </c>
      <c r="K15" s="372">
        <v>40</v>
      </c>
      <c r="L15" s="372">
        <v>40</v>
      </c>
      <c r="M15" s="372">
        <v>50</v>
      </c>
      <c r="N15" s="372">
        <v>50</v>
      </c>
      <c r="O15" s="372">
        <v>5</v>
      </c>
      <c r="P15" s="372">
        <v>5</v>
      </c>
      <c r="Q15" s="372">
        <v>30</v>
      </c>
      <c r="R15" s="372">
        <v>30</v>
      </c>
      <c r="S15" s="372">
        <v>0</v>
      </c>
      <c r="T15" s="372">
        <v>0</v>
      </c>
      <c r="U15" s="372">
        <v>1375</v>
      </c>
      <c r="V15" s="372">
        <v>1375</v>
      </c>
      <c r="W15" s="372"/>
      <c r="X15" s="372"/>
    </row>
    <row r="16" spans="1:24" s="359" customFormat="1" ht="11.25" x14ac:dyDescent="0.2">
      <c r="A16" s="369"/>
      <c r="B16" s="370" t="s">
        <v>562</v>
      </c>
      <c r="C16" s="371">
        <f>E16+G16+I16+K16+M16+O16+Q16+S16+U16+W16</f>
        <v>160</v>
      </c>
      <c r="D16" s="371">
        <f>F16+H16+J16+L16+N16+P16+R16+T16+V16</f>
        <v>160</v>
      </c>
      <c r="E16" s="372">
        <v>60</v>
      </c>
      <c r="F16" s="372">
        <v>60</v>
      </c>
      <c r="G16" s="372">
        <v>10</v>
      </c>
      <c r="H16" s="372">
        <v>10</v>
      </c>
      <c r="I16" s="372">
        <v>15</v>
      </c>
      <c r="J16" s="372">
        <v>15</v>
      </c>
      <c r="K16" s="372">
        <v>20</v>
      </c>
      <c r="L16" s="372">
        <v>20</v>
      </c>
      <c r="M16" s="372">
        <v>0</v>
      </c>
      <c r="N16" s="372">
        <v>0</v>
      </c>
      <c r="O16" s="372">
        <v>25</v>
      </c>
      <c r="P16" s="372">
        <v>25</v>
      </c>
      <c r="Q16" s="372">
        <v>30</v>
      </c>
      <c r="R16" s="372">
        <v>30</v>
      </c>
      <c r="S16" s="372">
        <v>0</v>
      </c>
      <c r="T16" s="372">
        <v>0</v>
      </c>
      <c r="U16" s="372">
        <v>0</v>
      </c>
      <c r="V16" s="372">
        <v>0</v>
      </c>
      <c r="W16" s="372"/>
      <c r="X16" s="372"/>
    </row>
    <row r="17" spans="1:24" s="359" customFormat="1" ht="11.25" x14ac:dyDescent="0.2">
      <c r="A17" s="369"/>
      <c r="B17" s="370" t="s">
        <v>563</v>
      </c>
      <c r="C17" s="371">
        <f>E17+G17+I17+K17+M17+O17+Q17+S17+U17+W17</f>
        <v>6000</v>
      </c>
      <c r="D17" s="371">
        <f>F17+H17+J17+L17+N17+P17+R17+T17+V17</f>
        <v>6000</v>
      </c>
      <c r="E17" s="372">
        <v>300</v>
      </c>
      <c r="F17" s="372">
        <v>300</v>
      </c>
      <c r="G17" s="372">
        <v>0</v>
      </c>
      <c r="H17" s="372">
        <v>0</v>
      </c>
      <c r="I17" s="372">
        <v>0</v>
      </c>
      <c r="J17" s="372">
        <v>0</v>
      </c>
      <c r="K17" s="372">
        <v>40</v>
      </c>
      <c r="L17" s="372">
        <v>40</v>
      </c>
      <c r="M17" s="372">
        <v>50</v>
      </c>
      <c r="N17" s="372">
        <v>50</v>
      </c>
      <c r="O17" s="372">
        <v>0</v>
      </c>
      <c r="P17" s="372">
        <v>0</v>
      </c>
      <c r="Q17" s="372">
        <v>100</v>
      </c>
      <c r="R17" s="372">
        <v>100</v>
      </c>
      <c r="S17" s="372">
        <v>0</v>
      </c>
      <c r="T17" s="372">
        <v>0</v>
      </c>
      <c r="U17" s="372">
        <v>5510</v>
      </c>
      <c r="V17" s="372">
        <v>5510</v>
      </c>
      <c r="W17" s="372"/>
      <c r="X17" s="372"/>
    </row>
    <row r="18" spans="1:24" s="359" customFormat="1" ht="11.25" x14ac:dyDescent="0.2">
      <c r="A18" s="369"/>
      <c r="B18" s="370" t="s">
        <v>566</v>
      </c>
      <c r="C18" s="371"/>
      <c r="D18" s="371">
        <f>F18+H18+J18+L18+N18+P18+R18+T18+V18</f>
        <v>0</v>
      </c>
      <c r="E18" s="372"/>
      <c r="F18" s="372"/>
      <c r="G18" s="372"/>
      <c r="H18" s="372"/>
      <c r="I18" s="372"/>
      <c r="J18" s="372"/>
      <c r="K18" s="372"/>
      <c r="L18" s="372"/>
      <c r="M18" s="372"/>
      <c r="N18" s="372"/>
      <c r="O18" s="372"/>
      <c r="P18" s="372"/>
      <c r="Q18" s="372"/>
      <c r="R18" s="372"/>
      <c r="S18" s="372"/>
      <c r="T18" s="372"/>
      <c r="U18" s="372"/>
      <c r="V18" s="372"/>
      <c r="W18" s="372"/>
      <c r="X18" s="372"/>
    </row>
    <row r="19" spans="1:24" s="359" customFormat="1" ht="11.25" x14ac:dyDescent="0.2">
      <c r="A19" s="369"/>
      <c r="B19" s="370" t="s">
        <v>564</v>
      </c>
      <c r="C19" s="371"/>
      <c r="D19" s="371">
        <f>F19+H19+J19+L19+N19+P19+R19+T19+V19</f>
        <v>0</v>
      </c>
      <c r="E19" s="372"/>
      <c r="F19" s="372"/>
      <c r="G19" s="372"/>
      <c r="H19" s="372"/>
      <c r="I19" s="372"/>
      <c r="J19" s="372"/>
      <c r="K19" s="372"/>
      <c r="L19" s="372"/>
      <c r="M19" s="372"/>
      <c r="N19" s="372"/>
      <c r="O19" s="372"/>
      <c r="P19" s="372"/>
      <c r="Q19" s="372"/>
      <c r="R19" s="372"/>
      <c r="S19" s="372"/>
      <c r="T19" s="372"/>
      <c r="U19" s="372"/>
      <c r="V19" s="372"/>
      <c r="W19" s="372"/>
      <c r="X19" s="372"/>
    </row>
    <row r="20" spans="1:24" s="363" customFormat="1" ht="31.5" x14ac:dyDescent="0.15">
      <c r="A20" s="364">
        <v>3</v>
      </c>
      <c r="B20" s="365" t="s">
        <v>567</v>
      </c>
      <c r="C20" s="366">
        <f t="shared" ref="C20:D20" si="22">C21+C22</f>
        <v>1100</v>
      </c>
      <c r="D20" s="366">
        <f t="shared" si="22"/>
        <v>1100</v>
      </c>
      <c r="E20" s="366">
        <f>E21+E22</f>
        <v>0</v>
      </c>
      <c r="F20" s="366">
        <f>F21+F22</f>
        <v>0</v>
      </c>
      <c r="G20" s="366">
        <f t="shared" ref="G20:U20" si="23">G21+G22</f>
        <v>0</v>
      </c>
      <c r="H20" s="366">
        <f t="shared" ref="H20" si="24">H21+H22</f>
        <v>0</v>
      </c>
      <c r="I20" s="366">
        <f t="shared" si="23"/>
        <v>0</v>
      </c>
      <c r="J20" s="366">
        <f t="shared" ref="J20" si="25">J21+J22</f>
        <v>0</v>
      </c>
      <c r="K20" s="366">
        <f t="shared" si="23"/>
        <v>0</v>
      </c>
      <c r="L20" s="366">
        <f t="shared" ref="L20" si="26">L21+L22</f>
        <v>0</v>
      </c>
      <c r="M20" s="366">
        <f t="shared" si="23"/>
        <v>0</v>
      </c>
      <c r="N20" s="366">
        <f t="shared" ref="N20" si="27">N21+N22</f>
        <v>0</v>
      </c>
      <c r="O20" s="366">
        <f t="shared" si="23"/>
        <v>0</v>
      </c>
      <c r="P20" s="366">
        <f t="shared" ref="P20" si="28">P21+P22</f>
        <v>0</v>
      </c>
      <c r="Q20" s="366">
        <f t="shared" si="23"/>
        <v>0</v>
      </c>
      <c r="R20" s="366">
        <f t="shared" ref="R20" si="29">R21+R22</f>
        <v>0</v>
      </c>
      <c r="S20" s="366">
        <f t="shared" si="23"/>
        <v>0</v>
      </c>
      <c r="T20" s="366">
        <f t="shared" ref="T20" si="30">T21+T22</f>
        <v>0</v>
      </c>
      <c r="U20" s="366">
        <f t="shared" si="23"/>
        <v>1100</v>
      </c>
      <c r="V20" s="366">
        <f t="shared" ref="V20" si="31">V21+V22</f>
        <v>1100</v>
      </c>
      <c r="W20" s="366"/>
      <c r="X20" s="366"/>
    </row>
    <row r="21" spans="1:24" s="359" customFormat="1" ht="11.25" x14ac:dyDescent="0.2">
      <c r="A21" s="369"/>
      <c r="B21" s="370" t="s">
        <v>561</v>
      </c>
      <c r="C21" s="371">
        <f>E21+G21+I21+K21+M21+O21+Q21+S21+U21+W21</f>
        <v>0</v>
      </c>
      <c r="D21" s="371">
        <f>F21+H21+J21+L21+N21+P21+R21+T21+V21</f>
        <v>0</v>
      </c>
      <c r="E21" s="372"/>
      <c r="F21" s="372"/>
      <c r="G21" s="372"/>
      <c r="H21" s="372"/>
      <c r="I21" s="372"/>
      <c r="J21" s="372"/>
      <c r="K21" s="372"/>
      <c r="L21" s="372"/>
      <c r="M21" s="372"/>
      <c r="N21" s="372"/>
      <c r="O21" s="372"/>
      <c r="P21" s="372"/>
      <c r="Q21" s="372"/>
      <c r="R21" s="372"/>
      <c r="S21" s="372"/>
      <c r="T21" s="372"/>
      <c r="U21" s="372"/>
      <c r="V21" s="372"/>
      <c r="W21" s="372"/>
      <c r="X21" s="372"/>
    </row>
    <row r="22" spans="1:24" s="359" customFormat="1" ht="11.25" x14ac:dyDescent="0.2">
      <c r="A22" s="369"/>
      <c r="B22" s="370" t="s">
        <v>563</v>
      </c>
      <c r="C22" s="371">
        <f>E22+G22+I22+K22+M22+O22+Q22+S22+U22+W22</f>
        <v>1100</v>
      </c>
      <c r="D22" s="371">
        <f>F22+H22+J22+L22+N22+P22+R22+T22+V22</f>
        <v>1100</v>
      </c>
      <c r="E22" s="372"/>
      <c r="F22" s="372"/>
      <c r="G22" s="372"/>
      <c r="H22" s="372"/>
      <c r="I22" s="372"/>
      <c r="J22" s="372"/>
      <c r="K22" s="372"/>
      <c r="L22" s="372"/>
      <c r="M22" s="372"/>
      <c r="N22" s="372"/>
      <c r="O22" s="372"/>
      <c r="P22" s="372"/>
      <c r="Q22" s="372"/>
      <c r="R22" s="372"/>
      <c r="S22" s="372"/>
      <c r="T22" s="372"/>
      <c r="U22" s="372">
        <v>1100</v>
      </c>
      <c r="V22" s="372">
        <v>1100</v>
      </c>
      <c r="W22" s="372"/>
      <c r="X22" s="372"/>
    </row>
    <row r="23" spans="1:24" s="363" customFormat="1" ht="21" x14ac:dyDescent="0.15">
      <c r="A23" s="364">
        <v>4</v>
      </c>
      <c r="B23" s="365" t="s">
        <v>568</v>
      </c>
      <c r="C23" s="366">
        <f>SUM(C24:C28)</f>
        <v>186000</v>
      </c>
      <c r="D23" s="366">
        <f t="shared" ref="D23" si="32">SUM(D24:D27)</f>
        <v>193000</v>
      </c>
      <c r="E23" s="366">
        <f>SUM(E24:E27)</f>
        <v>25580</v>
      </c>
      <c r="F23" s="366">
        <f>SUM(F24:F27)</f>
        <v>25800</v>
      </c>
      <c r="G23" s="366">
        <f t="shared" ref="G23:U23" si="33">SUM(G24:G27)</f>
        <v>5365</v>
      </c>
      <c r="H23" s="366">
        <f t="shared" ref="H23" si="34">SUM(H24:H27)</f>
        <v>5735</v>
      </c>
      <c r="I23" s="366">
        <f t="shared" si="33"/>
        <v>4080</v>
      </c>
      <c r="J23" s="366">
        <f t="shared" ref="J23" si="35">SUM(J24:J27)</f>
        <v>4280</v>
      </c>
      <c r="K23" s="366">
        <f t="shared" si="33"/>
        <v>29140</v>
      </c>
      <c r="L23" s="366">
        <f t="shared" ref="L23" si="36">SUM(L24:L27)</f>
        <v>33340</v>
      </c>
      <c r="M23" s="366">
        <f t="shared" si="33"/>
        <v>5220</v>
      </c>
      <c r="N23" s="366">
        <f t="shared" ref="N23" si="37">SUM(N24:N27)</f>
        <v>5520</v>
      </c>
      <c r="O23" s="366">
        <f t="shared" si="33"/>
        <v>6670</v>
      </c>
      <c r="P23" s="366">
        <f t="shared" ref="P23" si="38">SUM(P24:P27)</f>
        <v>7600</v>
      </c>
      <c r="Q23" s="366">
        <f t="shared" si="33"/>
        <v>8680</v>
      </c>
      <c r="R23" s="366">
        <f t="shared" ref="R23" si="39">SUM(R24:R27)</f>
        <v>9450</v>
      </c>
      <c r="S23" s="366">
        <f t="shared" si="33"/>
        <v>2140</v>
      </c>
      <c r="T23" s="366">
        <f t="shared" ref="T23" si="40">SUM(T24:T27)</f>
        <v>2150</v>
      </c>
      <c r="U23" s="366">
        <f t="shared" si="33"/>
        <v>99125</v>
      </c>
      <c r="V23" s="366">
        <f t="shared" ref="V23" si="41">SUM(V24:V27)</f>
        <v>99125</v>
      </c>
      <c r="W23" s="366"/>
      <c r="X23" s="366"/>
    </row>
    <row r="24" spans="1:24" s="359" customFormat="1" ht="11.25" x14ac:dyDescent="0.2">
      <c r="A24" s="369"/>
      <c r="B24" s="370" t="s">
        <v>561</v>
      </c>
      <c r="C24" s="371">
        <f>E24+G24+I24+K24+M24+O24+Q24+S24+U24+W24</f>
        <v>10500</v>
      </c>
      <c r="D24" s="371">
        <f t="shared" ref="D24:D45" si="42">F24+H24+J24+L24+N24+P24+R24+T24+V24</f>
        <v>10500</v>
      </c>
      <c r="E24" s="372">
        <v>1000</v>
      </c>
      <c r="F24" s="372">
        <v>1000</v>
      </c>
      <c r="G24" s="372">
        <v>20</v>
      </c>
      <c r="H24" s="372">
        <v>20</v>
      </c>
      <c r="I24" s="372">
        <v>250</v>
      </c>
      <c r="J24" s="372">
        <v>250</v>
      </c>
      <c r="K24" s="372">
        <v>230</v>
      </c>
      <c r="L24" s="372">
        <v>230</v>
      </c>
      <c r="M24" s="372">
        <v>250</v>
      </c>
      <c r="N24" s="372">
        <v>250</v>
      </c>
      <c r="O24" s="372">
        <v>850</v>
      </c>
      <c r="P24" s="372">
        <v>850</v>
      </c>
      <c r="Q24" s="372">
        <v>150</v>
      </c>
      <c r="R24" s="372">
        <v>150</v>
      </c>
      <c r="S24" s="372">
        <v>50</v>
      </c>
      <c r="T24" s="372">
        <v>50</v>
      </c>
      <c r="U24" s="372">
        <v>7700</v>
      </c>
      <c r="V24" s="372">
        <v>7700</v>
      </c>
      <c r="W24" s="372"/>
      <c r="X24" s="372"/>
    </row>
    <row r="25" spans="1:24" s="359" customFormat="1" ht="11.25" x14ac:dyDescent="0.2">
      <c r="A25" s="369"/>
      <c r="B25" s="370" t="s">
        <v>562</v>
      </c>
      <c r="C25" s="371">
        <f>E25+G25+I25+K25+M25+O25+Q25+S25+U25+W25</f>
        <v>25000</v>
      </c>
      <c r="D25" s="371">
        <f t="shared" si="42"/>
        <v>32000</v>
      </c>
      <c r="E25" s="372">
        <v>780</v>
      </c>
      <c r="F25" s="372">
        <v>1000</v>
      </c>
      <c r="G25" s="372">
        <v>1330</v>
      </c>
      <c r="H25" s="372">
        <v>1700</v>
      </c>
      <c r="I25" s="372">
        <v>700</v>
      </c>
      <c r="J25" s="372">
        <v>900</v>
      </c>
      <c r="K25" s="372">
        <v>15000</v>
      </c>
      <c r="L25" s="372">
        <v>19200</v>
      </c>
      <c r="M25" s="372">
        <v>1050</v>
      </c>
      <c r="N25" s="372">
        <v>1350</v>
      </c>
      <c r="O25" s="372">
        <v>3370</v>
      </c>
      <c r="P25" s="372">
        <v>4300</v>
      </c>
      <c r="Q25" s="372">
        <v>2730</v>
      </c>
      <c r="R25" s="372">
        <v>3500</v>
      </c>
      <c r="S25" s="372">
        <v>40</v>
      </c>
      <c r="T25" s="372">
        <v>50</v>
      </c>
      <c r="U25" s="372">
        <v>0</v>
      </c>
      <c r="V25" s="372">
        <v>0</v>
      </c>
      <c r="W25" s="372"/>
      <c r="X25" s="372"/>
    </row>
    <row r="26" spans="1:24" s="359" customFormat="1" ht="11.25" x14ac:dyDescent="0.2">
      <c r="A26" s="369"/>
      <c r="B26" s="370" t="s">
        <v>563</v>
      </c>
      <c r="C26" s="371">
        <f>E26+G26+I26+K26+M26+O26+Q26+S26+U26+W26</f>
        <v>150000</v>
      </c>
      <c r="D26" s="371">
        <f t="shared" si="42"/>
        <v>150000</v>
      </c>
      <c r="E26" s="372">
        <v>23400</v>
      </c>
      <c r="F26" s="372">
        <v>23400</v>
      </c>
      <c r="G26" s="372">
        <v>4000</v>
      </c>
      <c r="H26" s="372">
        <v>4000</v>
      </c>
      <c r="I26" s="372">
        <v>3100</v>
      </c>
      <c r="J26" s="372">
        <v>3100</v>
      </c>
      <c r="K26" s="372">
        <v>13900</v>
      </c>
      <c r="L26" s="372">
        <v>13900</v>
      </c>
      <c r="M26" s="372">
        <v>3900</v>
      </c>
      <c r="N26" s="372">
        <v>3900</v>
      </c>
      <c r="O26" s="372">
        <v>2450</v>
      </c>
      <c r="P26" s="372">
        <v>2450</v>
      </c>
      <c r="Q26" s="372">
        <v>5800</v>
      </c>
      <c r="R26" s="372">
        <v>5800</v>
      </c>
      <c r="S26" s="372">
        <v>2050</v>
      </c>
      <c r="T26" s="372">
        <v>2050</v>
      </c>
      <c r="U26" s="372">
        <v>91400</v>
      </c>
      <c r="V26" s="372">
        <v>91400</v>
      </c>
      <c r="W26" s="372"/>
      <c r="X26" s="372"/>
    </row>
    <row r="27" spans="1:24" s="359" customFormat="1" ht="11.25" x14ac:dyDescent="0.2">
      <c r="A27" s="369"/>
      <c r="B27" s="370" t="s">
        <v>566</v>
      </c>
      <c r="C27" s="371">
        <f>E27+G27+I27+K27+M27+O27+Q27+S27+U27+W27</f>
        <v>500</v>
      </c>
      <c r="D27" s="371">
        <f t="shared" si="42"/>
        <v>500</v>
      </c>
      <c r="E27" s="372">
        <v>400</v>
      </c>
      <c r="F27" s="372">
        <v>400</v>
      </c>
      <c r="G27" s="372">
        <v>15</v>
      </c>
      <c r="H27" s="372">
        <v>15</v>
      </c>
      <c r="I27" s="372">
        <v>30</v>
      </c>
      <c r="J27" s="372">
        <v>30</v>
      </c>
      <c r="K27" s="372">
        <v>10</v>
      </c>
      <c r="L27" s="372">
        <v>10</v>
      </c>
      <c r="M27" s="372">
        <v>20</v>
      </c>
      <c r="N27" s="372">
        <v>20</v>
      </c>
      <c r="O27" s="372">
        <v>0</v>
      </c>
      <c r="P27" s="372">
        <v>0</v>
      </c>
      <c r="Q27" s="372">
        <v>0</v>
      </c>
      <c r="R27" s="372">
        <v>0</v>
      </c>
      <c r="S27" s="372">
        <v>0</v>
      </c>
      <c r="T27" s="372">
        <v>0</v>
      </c>
      <c r="U27" s="372">
        <v>25</v>
      </c>
      <c r="V27" s="372">
        <v>25</v>
      </c>
      <c r="W27" s="372"/>
      <c r="X27" s="372"/>
    </row>
    <row r="28" spans="1:24" s="359" customFormat="1" ht="11.25" x14ac:dyDescent="0.2">
      <c r="A28" s="369"/>
      <c r="B28" s="370" t="s">
        <v>564</v>
      </c>
      <c r="C28" s="371"/>
      <c r="D28" s="371">
        <f t="shared" si="42"/>
        <v>0</v>
      </c>
      <c r="E28" s="372"/>
      <c r="F28" s="372"/>
      <c r="G28" s="372"/>
      <c r="H28" s="372"/>
      <c r="I28" s="372"/>
      <c r="J28" s="372"/>
      <c r="K28" s="372"/>
      <c r="L28" s="372"/>
      <c r="M28" s="372"/>
      <c r="N28" s="372"/>
      <c r="O28" s="372"/>
      <c r="P28" s="372"/>
      <c r="Q28" s="372"/>
      <c r="R28" s="372"/>
      <c r="S28" s="372"/>
      <c r="T28" s="372"/>
      <c r="U28" s="372"/>
      <c r="V28" s="372"/>
      <c r="W28" s="372"/>
      <c r="X28" s="372"/>
    </row>
    <row r="29" spans="1:24" s="363" customFormat="1" ht="10.5" x14ac:dyDescent="0.15">
      <c r="A29" s="364">
        <v>5</v>
      </c>
      <c r="B29" s="365" t="s">
        <v>230</v>
      </c>
      <c r="C29" s="376">
        <f t="shared" ref="C29:C48" si="43">E29+G29+I29+K29+M29+O29+Q29+S29+U29+W29</f>
        <v>28000</v>
      </c>
      <c r="D29" s="376">
        <f t="shared" si="42"/>
        <v>28000</v>
      </c>
      <c r="E29" s="366">
        <v>10650</v>
      </c>
      <c r="F29" s="366">
        <v>10650</v>
      </c>
      <c r="G29" s="366">
        <v>860</v>
      </c>
      <c r="H29" s="366">
        <v>860</v>
      </c>
      <c r="I29" s="366">
        <v>1200</v>
      </c>
      <c r="J29" s="366">
        <v>1200</v>
      </c>
      <c r="K29" s="366">
        <v>1650</v>
      </c>
      <c r="L29" s="366">
        <v>1650</v>
      </c>
      <c r="M29" s="366">
        <v>2000</v>
      </c>
      <c r="N29" s="366">
        <v>2000</v>
      </c>
      <c r="O29" s="366">
        <v>740</v>
      </c>
      <c r="P29" s="366">
        <v>740</v>
      </c>
      <c r="Q29" s="366">
        <v>1470</v>
      </c>
      <c r="R29" s="366">
        <v>1470</v>
      </c>
      <c r="S29" s="366">
        <v>630</v>
      </c>
      <c r="T29" s="366">
        <v>630</v>
      </c>
      <c r="U29" s="366">
        <v>8800</v>
      </c>
      <c r="V29" s="366">
        <v>8800</v>
      </c>
      <c r="W29" s="366"/>
      <c r="X29" s="366"/>
    </row>
    <row r="30" spans="1:24" s="363" customFormat="1" ht="21" x14ac:dyDescent="0.15">
      <c r="A30" s="364">
        <v>6</v>
      </c>
      <c r="B30" s="365" t="s">
        <v>236</v>
      </c>
      <c r="C30" s="734">
        <f t="shared" si="43"/>
        <v>3000</v>
      </c>
      <c r="D30" s="734">
        <f t="shared" si="42"/>
        <v>3300</v>
      </c>
      <c r="E30" s="366">
        <v>230</v>
      </c>
      <c r="F30" s="366">
        <v>250</v>
      </c>
      <c r="G30" s="366">
        <v>360</v>
      </c>
      <c r="H30" s="366">
        <v>400</v>
      </c>
      <c r="I30" s="366">
        <v>640</v>
      </c>
      <c r="J30" s="366">
        <v>700</v>
      </c>
      <c r="K30" s="366">
        <v>500</v>
      </c>
      <c r="L30" s="366">
        <v>550</v>
      </c>
      <c r="M30" s="366">
        <v>350</v>
      </c>
      <c r="N30" s="366">
        <v>380</v>
      </c>
      <c r="O30" s="366">
        <v>310</v>
      </c>
      <c r="P30" s="366">
        <v>340</v>
      </c>
      <c r="Q30" s="366">
        <v>360</v>
      </c>
      <c r="R30" s="366">
        <v>400</v>
      </c>
      <c r="S30" s="366">
        <v>250</v>
      </c>
      <c r="T30" s="366">
        <v>280</v>
      </c>
      <c r="U30" s="366">
        <v>0</v>
      </c>
      <c r="V30" s="366">
        <v>0</v>
      </c>
      <c r="W30" s="366"/>
      <c r="X30" s="366"/>
    </row>
    <row r="31" spans="1:24" s="363" customFormat="1" ht="13.5" customHeight="1" x14ac:dyDescent="0.15">
      <c r="A31" s="364">
        <v>7</v>
      </c>
      <c r="B31" s="365" t="s">
        <v>239</v>
      </c>
      <c r="C31" s="376">
        <f t="shared" si="43"/>
        <v>65000</v>
      </c>
      <c r="D31" s="376">
        <f t="shared" si="42"/>
        <v>78000</v>
      </c>
      <c r="E31" s="366">
        <v>43200</v>
      </c>
      <c r="F31" s="366">
        <v>52500</v>
      </c>
      <c r="G31" s="366">
        <v>1650</v>
      </c>
      <c r="H31" s="366">
        <f>2000-300</f>
        <v>1700</v>
      </c>
      <c r="I31" s="366">
        <v>2060</v>
      </c>
      <c r="J31" s="366">
        <f>2500-200</f>
        <v>2300</v>
      </c>
      <c r="K31" s="366">
        <v>4110</v>
      </c>
      <c r="L31" s="366">
        <v>5000</v>
      </c>
      <c r="M31" s="366">
        <v>2880</v>
      </c>
      <c r="N31" s="366">
        <f>3500-500</f>
        <v>3000</v>
      </c>
      <c r="O31" s="366">
        <v>410</v>
      </c>
      <c r="P31" s="366">
        <v>500</v>
      </c>
      <c r="Q31" s="366">
        <v>8230</v>
      </c>
      <c r="R31" s="366">
        <v>10000</v>
      </c>
      <c r="S31" s="366">
        <v>2460</v>
      </c>
      <c r="T31" s="366">
        <v>3000</v>
      </c>
      <c r="U31" s="366">
        <v>0</v>
      </c>
      <c r="V31" s="366">
        <v>0</v>
      </c>
      <c r="W31" s="366"/>
      <c r="X31" s="366"/>
    </row>
    <row r="32" spans="1:24" s="363" customFormat="1" ht="21" x14ac:dyDescent="0.15">
      <c r="A32" s="364">
        <v>8</v>
      </c>
      <c r="B32" s="365" t="s">
        <v>237</v>
      </c>
      <c r="C32" s="734">
        <f t="shared" si="43"/>
        <v>500</v>
      </c>
      <c r="D32" s="734">
        <f t="shared" si="42"/>
        <v>600</v>
      </c>
      <c r="E32" s="366">
        <v>250</v>
      </c>
      <c r="F32" s="366">
        <v>330</v>
      </c>
      <c r="G32" s="366">
        <v>30</v>
      </c>
      <c r="H32" s="366">
        <v>30</v>
      </c>
      <c r="I32" s="366">
        <v>30</v>
      </c>
      <c r="J32" s="366">
        <v>30</v>
      </c>
      <c r="K32" s="366">
        <v>130</v>
      </c>
      <c r="L32" s="366">
        <v>150</v>
      </c>
      <c r="M32" s="366">
        <v>20</v>
      </c>
      <c r="N32" s="366">
        <v>20</v>
      </c>
      <c r="O32" s="366">
        <v>20</v>
      </c>
      <c r="P32" s="366">
        <v>20</v>
      </c>
      <c r="Q32" s="366">
        <v>20</v>
      </c>
      <c r="R32" s="366">
        <v>20</v>
      </c>
      <c r="S32" s="366"/>
      <c r="T32" s="366"/>
      <c r="U32" s="366">
        <v>0</v>
      </c>
      <c r="V32" s="366">
        <v>0</v>
      </c>
      <c r="W32" s="366"/>
      <c r="X32" s="366"/>
    </row>
    <row r="33" spans="1:24" s="363" customFormat="1" ht="21" x14ac:dyDescent="0.15">
      <c r="A33" s="364">
        <v>9</v>
      </c>
      <c r="B33" s="365" t="s">
        <v>238</v>
      </c>
      <c r="C33" s="734">
        <f t="shared" si="43"/>
        <v>12000</v>
      </c>
      <c r="D33" s="734">
        <f t="shared" si="42"/>
        <v>12000</v>
      </c>
      <c r="E33" s="366">
        <v>0</v>
      </c>
      <c r="F33" s="366">
        <v>0</v>
      </c>
      <c r="G33" s="366">
        <v>0</v>
      </c>
      <c r="H33" s="366">
        <v>0</v>
      </c>
      <c r="I33" s="366">
        <v>0</v>
      </c>
      <c r="J33" s="366">
        <v>0</v>
      </c>
      <c r="K33" s="366">
        <v>0</v>
      </c>
      <c r="L33" s="366">
        <v>0</v>
      </c>
      <c r="M33" s="366"/>
      <c r="N33" s="366"/>
      <c r="O33" s="366"/>
      <c r="P33" s="366"/>
      <c r="Q33" s="366"/>
      <c r="R33" s="366"/>
      <c r="S33" s="366"/>
      <c r="T33" s="366"/>
      <c r="U33" s="366">
        <v>12000</v>
      </c>
      <c r="V33" s="366">
        <v>12000</v>
      </c>
      <c r="W33" s="366"/>
      <c r="X33" s="366"/>
    </row>
    <row r="34" spans="1:24" s="363" customFormat="1" ht="10.5" x14ac:dyDescent="0.15">
      <c r="A34" s="364">
        <v>10</v>
      </c>
      <c r="B34" s="365" t="s">
        <v>248</v>
      </c>
      <c r="C34" s="376">
        <f t="shared" si="43"/>
        <v>110500</v>
      </c>
      <c r="D34" s="376">
        <f t="shared" si="42"/>
        <v>110500</v>
      </c>
      <c r="E34" s="366">
        <v>0</v>
      </c>
      <c r="F34" s="366">
        <v>0</v>
      </c>
      <c r="G34" s="366">
        <v>0</v>
      </c>
      <c r="H34" s="366">
        <v>0</v>
      </c>
      <c r="I34" s="366">
        <v>0</v>
      </c>
      <c r="J34" s="366">
        <v>0</v>
      </c>
      <c r="K34" s="366">
        <v>0</v>
      </c>
      <c r="L34" s="366">
        <v>0</v>
      </c>
      <c r="M34" s="366">
        <v>0</v>
      </c>
      <c r="N34" s="366">
        <v>0</v>
      </c>
      <c r="O34" s="366"/>
      <c r="P34" s="366"/>
      <c r="Q34" s="366"/>
      <c r="R34" s="366"/>
      <c r="S34" s="366"/>
      <c r="T34" s="366"/>
      <c r="U34" s="366">
        <v>110500</v>
      </c>
      <c r="V34" s="366">
        <v>110500</v>
      </c>
      <c r="W34" s="366"/>
      <c r="X34" s="366"/>
    </row>
    <row r="35" spans="1:24" s="359" customFormat="1" ht="33.75" hidden="1" x14ac:dyDescent="0.2">
      <c r="A35" s="369"/>
      <c r="B35" s="377" t="s">
        <v>569</v>
      </c>
      <c r="C35" s="376">
        <f t="shared" si="43"/>
        <v>0</v>
      </c>
      <c r="D35" s="376">
        <f t="shared" si="42"/>
        <v>0</v>
      </c>
      <c r="E35" s="372"/>
      <c r="F35" s="372"/>
      <c r="G35" s="372"/>
      <c r="H35" s="372"/>
      <c r="I35" s="372"/>
      <c r="J35" s="372"/>
      <c r="K35" s="372"/>
      <c r="L35" s="372"/>
      <c r="M35" s="372"/>
      <c r="N35" s="372"/>
      <c r="O35" s="372"/>
      <c r="P35" s="372"/>
      <c r="Q35" s="372"/>
      <c r="R35" s="372"/>
      <c r="S35" s="372"/>
      <c r="T35" s="372"/>
      <c r="U35" s="372"/>
      <c r="V35" s="372"/>
      <c r="W35" s="372"/>
      <c r="X35" s="372"/>
    </row>
    <row r="36" spans="1:24" s="359" customFormat="1" ht="22.5" hidden="1" x14ac:dyDescent="0.2">
      <c r="A36" s="369"/>
      <c r="B36" s="377" t="s">
        <v>570</v>
      </c>
      <c r="C36" s="376">
        <f t="shared" si="43"/>
        <v>0</v>
      </c>
      <c r="D36" s="376">
        <f t="shared" si="42"/>
        <v>0</v>
      </c>
      <c r="E36" s="372"/>
      <c r="F36" s="372"/>
      <c r="G36" s="372"/>
      <c r="H36" s="372"/>
      <c r="I36" s="372"/>
      <c r="J36" s="372"/>
      <c r="K36" s="372"/>
      <c r="L36" s="372"/>
      <c r="M36" s="372"/>
      <c r="N36" s="372"/>
      <c r="O36" s="372"/>
      <c r="P36" s="372"/>
      <c r="Q36" s="372"/>
      <c r="R36" s="372"/>
      <c r="S36" s="372"/>
      <c r="T36" s="372"/>
      <c r="U36" s="372"/>
      <c r="V36" s="372"/>
      <c r="W36" s="372"/>
      <c r="X36" s="372"/>
    </row>
    <row r="37" spans="1:24" s="363" customFormat="1" ht="10.5" x14ac:dyDescent="0.15">
      <c r="A37" s="364">
        <v>11</v>
      </c>
      <c r="B37" s="365" t="s">
        <v>231</v>
      </c>
      <c r="C37" s="376">
        <f t="shared" si="43"/>
        <v>35000</v>
      </c>
      <c r="D37" s="376">
        <f t="shared" si="42"/>
        <v>35600</v>
      </c>
      <c r="E37" s="366">
        <v>16910</v>
      </c>
      <c r="F37" s="366">
        <v>17200</v>
      </c>
      <c r="G37" s="366">
        <v>1570</v>
      </c>
      <c r="H37" s="366">
        <v>1600</v>
      </c>
      <c r="I37" s="366">
        <v>2560</v>
      </c>
      <c r="J37" s="366">
        <v>2600</v>
      </c>
      <c r="K37" s="366">
        <v>3150</v>
      </c>
      <c r="L37" s="366">
        <v>3200</v>
      </c>
      <c r="M37" s="366">
        <v>3540</v>
      </c>
      <c r="N37" s="366">
        <v>3600</v>
      </c>
      <c r="O37" s="366">
        <v>2160</v>
      </c>
      <c r="P37" s="366">
        <v>2200</v>
      </c>
      <c r="Q37" s="366">
        <v>3930</v>
      </c>
      <c r="R37" s="366">
        <v>4000</v>
      </c>
      <c r="S37" s="366">
        <v>1180</v>
      </c>
      <c r="T37" s="366">
        <v>1200</v>
      </c>
      <c r="U37" s="366">
        <f t="shared" ref="U37:V37" si="44">U38+U39</f>
        <v>0</v>
      </c>
      <c r="V37" s="366">
        <f t="shared" si="44"/>
        <v>0</v>
      </c>
      <c r="W37" s="366"/>
      <c r="X37" s="366"/>
    </row>
    <row r="38" spans="1:24" s="359" customFormat="1" ht="11.25" x14ac:dyDescent="0.2">
      <c r="A38" s="369"/>
      <c r="B38" s="377" t="s">
        <v>571</v>
      </c>
      <c r="C38" s="371">
        <f t="shared" si="43"/>
        <v>0</v>
      </c>
      <c r="D38" s="371">
        <f t="shared" si="42"/>
        <v>0</v>
      </c>
      <c r="E38" s="372"/>
      <c r="F38" s="372"/>
      <c r="G38" s="372"/>
      <c r="H38" s="372"/>
      <c r="I38" s="372"/>
      <c r="J38" s="372"/>
      <c r="K38" s="372"/>
      <c r="L38" s="372"/>
      <c r="M38" s="372"/>
      <c r="N38" s="372"/>
      <c r="O38" s="372"/>
      <c r="P38" s="372"/>
      <c r="Q38" s="372"/>
      <c r="R38" s="372"/>
      <c r="S38" s="372"/>
      <c r="T38" s="372"/>
      <c r="U38" s="372"/>
      <c r="V38" s="372"/>
      <c r="W38" s="372"/>
      <c r="X38" s="372"/>
    </row>
    <row r="39" spans="1:24" s="359" customFormat="1" ht="11.25" x14ac:dyDescent="0.2">
      <c r="A39" s="369"/>
      <c r="B39" s="377" t="s">
        <v>572</v>
      </c>
      <c r="C39" s="371">
        <f t="shared" si="43"/>
        <v>0</v>
      </c>
      <c r="D39" s="371">
        <f t="shared" si="42"/>
        <v>0</v>
      </c>
      <c r="E39" s="372"/>
      <c r="F39" s="372"/>
      <c r="G39" s="372"/>
      <c r="H39" s="372"/>
      <c r="I39" s="372"/>
      <c r="J39" s="372"/>
      <c r="K39" s="372"/>
      <c r="L39" s="372"/>
      <c r="M39" s="372"/>
      <c r="N39" s="372"/>
      <c r="O39" s="372"/>
      <c r="P39" s="372"/>
      <c r="Q39" s="372"/>
      <c r="R39" s="372"/>
      <c r="S39" s="372"/>
      <c r="T39" s="372"/>
      <c r="U39" s="372"/>
      <c r="V39" s="372"/>
      <c r="W39" s="372"/>
      <c r="X39" s="372"/>
    </row>
    <row r="40" spans="1:24" s="363" customFormat="1" ht="12" customHeight="1" x14ac:dyDescent="0.15">
      <c r="A40" s="364">
        <v>12</v>
      </c>
      <c r="B40" s="365" t="s">
        <v>249</v>
      </c>
      <c r="C40" s="376">
        <f t="shared" si="43"/>
        <v>73000</v>
      </c>
      <c r="D40" s="376">
        <f t="shared" si="42"/>
        <v>74000</v>
      </c>
      <c r="E40" s="366">
        <v>2370</v>
      </c>
      <c r="F40" s="366">
        <v>2400</v>
      </c>
      <c r="G40" s="366">
        <v>1100</v>
      </c>
      <c r="H40" s="366">
        <v>1120</v>
      </c>
      <c r="I40" s="366">
        <v>1550</v>
      </c>
      <c r="J40" s="366">
        <v>1570</v>
      </c>
      <c r="K40" s="366">
        <v>55740</v>
      </c>
      <c r="L40" s="366">
        <v>56500</v>
      </c>
      <c r="M40" s="366">
        <v>1680</v>
      </c>
      <c r="N40" s="366">
        <v>1700</v>
      </c>
      <c r="O40" s="366">
        <v>1870</v>
      </c>
      <c r="P40" s="366">
        <v>1900</v>
      </c>
      <c r="Q40" s="366">
        <v>3750</v>
      </c>
      <c r="R40" s="366">
        <v>3800</v>
      </c>
      <c r="S40" s="366">
        <v>440</v>
      </c>
      <c r="T40" s="366">
        <v>450</v>
      </c>
      <c r="U40" s="366">
        <v>4500</v>
      </c>
      <c r="V40" s="366">
        <v>4560</v>
      </c>
      <c r="W40" s="366"/>
      <c r="X40" s="366"/>
    </row>
    <row r="41" spans="1:24" s="359" customFormat="1" ht="11.25" hidden="1" x14ac:dyDescent="0.2">
      <c r="A41" s="369" t="s">
        <v>23</v>
      </c>
      <c r="B41" s="377" t="s">
        <v>232</v>
      </c>
      <c r="C41" s="376">
        <f t="shared" si="43"/>
        <v>0</v>
      </c>
      <c r="D41" s="371">
        <f t="shared" si="42"/>
        <v>0</v>
      </c>
      <c r="E41" s="372"/>
      <c r="F41" s="372"/>
      <c r="G41" s="372"/>
      <c r="H41" s="372"/>
      <c r="I41" s="372"/>
      <c r="J41" s="372"/>
      <c r="K41" s="372"/>
      <c r="L41" s="372"/>
      <c r="M41" s="372"/>
      <c r="N41" s="372"/>
      <c r="O41" s="372"/>
      <c r="P41" s="372"/>
      <c r="Q41" s="372"/>
      <c r="R41" s="372"/>
      <c r="S41" s="372"/>
      <c r="T41" s="372"/>
      <c r="U41" s="372"/>
      <c r="V41" s="372"/>
      <c r="W41" s="372"/>
      <c r="X41" s="372"/>
    </row>
    <row r="42" spans="1:24" s="359" customFormat="1" ht="11.25" hidden="1" x14ac:dyDescent="0.2">
      <c r="A42" s="369" t="s">
        <v>23</v>
      </c>
      <c r="B42" s="377" t="s">
        <v>233</v>
      </c>
      <c r="C42" s="376">
        <f t="shared" si="43"/>
        <v>0</v>
      </c>
      <c r="D42" s="371">
        <f t="shared" si="42"/>
        <v>0</v>
      </c>
      <c r="E42" s="372"/>
      <c r="F42" s="372"/>
      <c r="G42" s="372"/>
      <c r="H42" s="372"/>
      <c r="I42" s="372"/>
      <c r="J42" s="372"/>
      <c r="K42" s="372"/>
      <c r="L42" s="372"/>
      <c r="M42" s="372"/>
      <c r="N42" s="372"/>
      <c r="O42" s="372"/>
      <c r="P42" s="372"/>
      <c r="Q42" s="372"/>
      <c r="R42" s="372"/>
      <c r="S42" s="372"/>
      <c r="T42" s="372"/>
      <c r="U42" s="372"/>
      <c r="V42" s="372"/>
      <c r="W42" s="372"/>
      <c r="X42" s="372"/>
    </row>
    <row r="43" spans="1:24" s="359" customFormat="1" ht="11.25" hidden="1" x14ac:dyDescent="0.2">
      <c r="A43" s="369" t="s">
        <v>23</v>
      </c>
      <c r="B43" s="377" t="s">
        <v>234</v>
      </c>
      <c r="C43" s="376">
        <f t="shared" si="43"/>
        <v>0</v>
      </c>
      <c r="D43" s="371">
        <f t="shared" si="42"/>
        <v>0</v>
      </c>
      <c r="E43" s="372"/>
      <c r="F43" s="372"/>
      <c r="G43" s="372"/>
      <c r="H43" s="372"/>
      <c r="I43" s="372"/>
      <c r="J43" s="372"/>
      <c r="K43" s="372"/>
      <c r="L43" s="372"/>
      <c r="M43" s="372"/>
      <c r="N43" s="372"/>
      <c r="O43" s="372"/>
      <c r="P43" s="372"/>
      <c r="Q43" s="372"/>
      <c r="R43" s="372"/>
      <c r="S43" s="372"/>
      <c r="T43" s="372"/>
      <c r="U43" s="372"/>
      <c r="V43" s="372"/>
      <c r="W43" s="372"/>
      <c r="X43" s="372"/>
    </row>
    <row r="44" spans="1:24" s="359" customFormat="1" ht="11.25" hidden="1" x14ac:dyDescent="0.2">
      <c r="A44" s="369" t="s">
        <v>23</v>
      </c>
      <c r="B44" s="377" t="s">
        <v>235</v>
      </c>
      <c r="C44" s="376">
        <f t="shared" si="43"/>
        <v>0</v>
      </c>
      <c r="D44" s="371">
        <f t="shared" si="42"/>
        <v>0</v>
      </c>
      <c r="E44" s="372"/>
      <c r="F44" s="372"/>
      <c r="G44" s="372"/>
      <c r="H44" s="372"/>
      <c r="I44" s="372"/>
      <c r="J44" s="372"/>
      <c r="K44" s="372"/>
      <c r="L44" s="372"/>
      <c r="M44" s="372"/>
      <c r="N44" s="372"/>
      <c r="O44" s="372"/>
      <c r="P44" s="372"/>
      <c r="Q44" s="372"/>
      <c r="R44" s="372"/>
      <c r="S44" s="372"/>
      <c r="T44" s="372"/>
      <c r="U44" s="372"/>
      <c r="V44" s="372"/>
      <c r="W44" s="372"/>
      <c r="X44" s="372"/>
    </row>
    <row r="45" spans="1:24" s="363" customFormat="1" ht="12.75" customHeight="1" x14ac:dyDescent="0.15">
      <c r="A45" s="364">
        <v>13</v>
      </c>
      <c r="B45" s="365" t="s">
        <v>242</v>
      </c>
      <c r="C45" s="376">
        <f t="shared" si="43"/>
        <v>38000</v>
      </c>
      <c r="D45" s="376">
        <f t="shared" si="42"/>
        <v>38000</v>
      </c>
      <c r="E45" s="366">
        <v>3900</v>
      </c>
      <c r="F45" s="366">
        <v>3900</v>
      </c>
      <c r="G45" s="366">
        <v>1800</v>
      </c>
      <c r="H45" s="366">
        <v>1800</v>
      </c>
      <c r="I45" s="366">
        <v>1800</v>
      </c>
      <c r="J45" s="366">
        <v>1800</v>
      </c>
      <c r="K45" s="366">
        <v>3000</v>
      </c>
      <c r="L45" s="366">
        <v>3000</v>
      </c>
      <c r="M45" s="366">
        <v>1900</v>
      </c>
      <c r="N45" s="366">
        <v>1900</v>
      </c>
      <c r="O45" s="366">
        <v>1200</v>
      </c>
      <c r="P45" s="366">
        <v>1200</v>
      </c>
      <c r="Q45" s="366">
        <v>1800</v>
      </c>
      <c r="R45" s="366">
        <v>1800</v>
      </c>
      <c r="S45" s="366">
        <v>2000</v>
      </c>
      <c r="T45" s="366">
        <v>2000</v>
      </c>
      <c r="U45" s="366">
        <v>20600</v>
      </c>
      <c r="V45" s="366">
        <v>20600</v>
      </c>
      <c r="W45" s="366"/>
      <c r="X45" s="366"/>
    </row>
    <row r="46" spans="1:24" s="363" customFormat="1" ht="10.5" hidden="1" x14ac:dyDescent="0.15">
      <c r="A46" s="364">
        <v>15</v>
      </c>
      <c r="B46" s="365" t="s">
        <v>291</v>
      </c>
      <c r="C46" s="376">
        <f t="shared" si="43"/>
        <v>0</v>
      </c>
      <c r="D46" s="376"/>
      <c r="E46" s="366"/>
      <c r="F46" s="366"/>
      <c r="G46" s="366"/>
      <c r="H46" s="366"/>
      <c r="I46" s="366"/>
      <c r="J46" s="366"/>
      <c r="K46" s="366"/>
      <c r="L46" s="366"/>
      <c r="M46" s="366"/>
      <c r="N46" s="366"/>
      <c r="O46" s="366"/>
      <c r="P46" s="366"/>
      <c r="Q46" s="366"/>
      <c r="R46" s="366"/>
      <c r="S46" s="366"/>
      <c r="T46" s="366"/>
      <c r="U46" s="366">
        <v>0</v>
      </c>
      <c r="V46" s="366">
        <v>0</v>
      </c>
      <c r="W46" s="366"/>
      <c r="X46" s="366"/>
    </row>
    <row r="47" spans="1:24" s="363" customFormat="1" ht="22.5" customHeight="1" x14ac:dyDescent="0.15">
      <c r="A47" s="364">
        <v>14</v>
      </c>
      <c r="B47" s="365" t="s">
        <v>241</v>
      </c>
      <c r="C47" s="376">
        <f t="shared" si="43"/>
        <v>9500</v>
      </c>
      <c r="D47" s="376">
        <f>F47+H47+J47+L47+N47+P47+R47+T47+V47</f>
        <v>9500</v>
      </c>
      <c r="E47" s="366">
        <v>0</v>
      </c>
      <c r="F47" s="366">
        <v>0</v>
      </c>
      <c r="G47" s="366">
        <v>0</v>
      </c>
      <c r="H47" s="366">
        <v>0</v>
      </c>
      <c r="I47" s="366">
        <v>0</v>
      </c>
      <c r="J47" s="366">
        <v>0</v>
      </c>
      <c r="K47" s="366">
        <v>0</v>
      </c>
      <c r="L47" s="366">
        <v>0</v>
      </c>
      <c r="M47" s="366">
        <v>0</v>
      </c>
      <c r="N47" s="366">
        <v>0</v>
      </c>
      <c r="O47" s="366">
        <v>0</v>
      </c>
      <c r="P47" s="366">
        <v>0</v>
      </c>
      <c r="Q47" s="366"/>
      <c r="R47" s="366"/>
      <c r="S47" s="366"/>
      <c r="T47" s="366"/>
      <c r="U47" s="366">
        <v>9500</v>
      </c>
      <c r="V47" s="366">
        <v>9500</v>
      </c>
      <c r="W47" s="366"/>
      <c r="X47" s="366"/>
    </row>
    <row r="48" spans="1:24" s="363" customFormat="1" ht="21" customHeight="1" x14ac:dyDescent="0.15">
      <c r="A48" s="364">
        <v>15</v>
      </c>
      <c r="B48" s="365" t="s">
        <v>250</v>
      </c>
      <c r="C48" s="376">
        <f t="shared" si="43"/>
        <v>15000</v>
      </c>
      <c r="D48" s="376">
        <f>F48+H48+J48+L48+N48+P48+R48+T48+V48</f>
        <v>15000</v>
      </c>
      <c r="E48" s="366">
        <v>0</v>
      </c>
      <c r="F48" s="366">
        <v>0</v>
      </c>
      <c r="G48" s="366">
        <v>0</v>
      </c>
      <c r="H48" s="366">
        <v>0</v>
      </c>
      <c r="I48" s="366">
        <v>0</v>
      </c>
      <c r="J48" s="366">
        <v>0</v>
      </c>
      <c r="K48" s="366">
        <v>0</v>
      </c>
      <c r="L48" s="366">
        <v>0</v>
      </c>
      <c r="M48" s="366">
        <v>0</v>
      </c>
      <c r="N48" s="366">
        <v>0</v>
      </c>
      <c r="O48" s="366">
        <v>0</v>
      </c>
      <c r="P48" s="366">
        <v>0</v>
      </c>
      <c r="Q48" s="366">
        <v>0</v>
      </c>
      <c r="R48" s="366">
        <v>0</v>
      </c>
      <c r="S48" s="366">
        <v>0</v>
      </c>
      <c r="T48" s="366">
        <v>0</v>
      </c>
      <c r="U48" s="366">
        <v>15000</v>
      </c>
      <c r="V48" s="366">
        <v>15000</v>
      </c>
      <c r="W48" s="366"/>
      <c r="X48" s="366"/>
    </row>
    <row r="49" spans="1:24" s="359" customFormat="1" ht="11.25" hidden="1" x14ac:dyDescent="0.2">
      <c r="A49" s="364" t="s">
        <v>11</v>
      </c>
      <c r="B49" s="365" t="s">
        <v>8</v>
      </c>
      <c r="C49" s="371"/>
      <c r="D49" s="371">
        <f>F49+H49+J49+L49+N49+P49+R49+T49+V49</f>
        <v>0</v>
      </c>
      <c r="E49" s="372"/>
      <c r="F49" s="372"/>
      <c r="G49" s="372"/>
      <c r="H49" s="372"/>
      <c r="I49" s="372"/>
      <c r="J49" s="372"/>
      <c r="K49" s="372"/>
      <c r="L49" s="372"/>
      <c r="M49" s="372"/>
      <c r="N49" s="372"/>
      <c r="O49" s="372"/>
      <c r="P49" s="372"/>
      <c r="Q49" s="372"/>
      <c r="R49" s="372"/>
      <c r="S49" s="372"/>
      <c r="T49" s="372"/>
      <c r="U49" s="372"/>
      <c r="V49" s="372"/>
      <c r="W49" s="372"/>
      <c r="X49" s="372"/>
    </row>
    <row r="50" spans="1:24" s="359" customFormat="1" ht="21" x14ac:dyDescent="0.2">
      <c r="A50" s="379" t="s">
        <v>11</v>
      </c>
      <c r="B50" s="380" t="s">
        <v>251</v>
      </c>
      <c r="C50" s="697">
        <v>3000</v>
      </c>
      <c r="D50" s="697">
        <v>3000</v>
      </c>
      <c r="E50" s="382"/>
      <c r="F50" s="382"/>
      <c r="G50" s="382"/>
      <c r="H50" s="382"/>
      <c r="I50" s="382"/>
      <c r="J50" s="382"/>
      <c r="K50" s="382"/>
      <c r="L50" s="382"/>
      <c r="M50" s="382"/>
      <c r="N50" s="382"/>
      <c r="O50" s="382"/>
      <c r="P50" s="382"/>
      <c r="Q50" s="382"/>
      <c r="R50" s="382"/>
      <c r="S50" s="382"/>
      <c r="T50" s="382"/>
      <c r="U50" s="382"/>
      <c r="V50" s="382"/>
      <c r="W50" s="698">
        <v>3000</v>
      </c>
      <c r="X50" s="698">
        <v>3000</v>
      </c>
    </row>
    <row r="51" spans="1:24" s="359" customFormat="1" ht="22.5" hidden="1" x14ac:dyDescent="0.2">
      <c r="A51" s="700"/>
      <c r="B51" s="701" t="s">
        <v>573</v>
      </c>
      <c r="C51" s="703"/>
      <c r="D51" s="703"/>
      <c r="E51" s="692"/>
      <c r="F51" s="692"/>
      <c r="G51" s="692"/>
      <c r="H51" s="692"/>
      <c r="I51" s="692"/>
      <c r="J51" s="692"/>
      <c r="K51" s="692"/>
      <c r="L51" s="692"/>
      <c r="M51" s="692"/>
      <c r="N51" s="692"/>
      <c r="O51" s="692"/>
      <c r="P51" s="692"/>
      <c r="Q51" s="692"/>
      <c r="R51" s="692"/>
      <c r="S51" s="692"/>
      <c r="T51" s="692"/>
      <c r="U51" s="692"/>
      <c r="V51" s="692"/>
      <c r="W51" s="692"/>
      <c r="X51" s="692"/>
    </row>
    <row r="52" spans="1:24" s="359" customFormat="1" ht="11.25" hidden="1" x14ac:dyDescent="0.2">
      <c r="A52" s="369"/>
      <c r="B52" s="378" t="s">
        <v>574</v>
      </c>
      <c r="C52" s="371"/>
      <c r="D52" s="371"/>
      <c r="E52" s="372"/>
      <c r="F52" s="372"/>
      <c r="G52" s="372"/>
      <c r="H52" s="372"/>
      <c r="I52" s="372"/>
      <c r="J52" s="372"/>
      <c r="K52" s="372"/>
      <c r="L52" s="372"/>
      <c r="M52" s="372"/>
      <c r="N52" s="372"/>
      <c r="O52" s="372"/>
      <c r="P52" s="372"/>
      <c r="Q52" s="372"/>
      <c r="R52" s="372"/>
      <c r="S52" s="372"/>
      <c r="T52" s="372"/>
      <c r="U52" s="372"/>
      <c r="V52" s="372"/>
      <c r="W52" s="372"/>
      <c r="X52" s="372"/>
    </row>
    <row r="53" spans="1:24" s="359" customFormat="1" ht="11.25" hidden="1" x14ac:dyDescent="0.2">
      <c r="A53" s="369"/>
      <c r="B53" s="378" t="s">
        <v>575</v>
      </c>
      <c r="C53" s="371"/>
      <c r="D53" s="371"/>
      <c r="E53" s="372"/>
      <c r="F53" s="372"/>
      <c r="G53" s="372"/>
      <c r="H53" s="372"/>
      <c r="I53" s="372"/>
      <c r="J53" s="372"/>
      <c r="K53" s="372"/>
      <c r="L53" s="372"/>
      <c r="M53" s="372"/>
      <c r="N53" s="372"/>
      <c r="O53" s="372"/>
      <c r="P53" s="372"/>
      <c r="Q53" s="372"/>
      <c r="R53" s="372"/>
      <c r="S53" s="372"/>
      <c r="T53" s="372"/>
      <c r="U53" s="372"/>
      <c r="V53" s="372"/>
      <c r="W53" s="372"/>
      <c r="X53" s="372"/>
    </row>
    <row r="54" spans="1:24" s="359" customFormat="1" ht="22.5" hidden="1" x14ac:dyDescent="0.2">
      <c r="A54" s="369"/>
      <c r="B54" s="378" t="s">
        <v>576</v>
      </c>
      <c r="C54" s="371"/>
      <c r="D54" s="371"/>
      <c r="E54" s="372"/>
      <c r="F54" s="372"/>
      <c r="G54" s="372"/>
      <c r="H54" s="372"/>
      <c r="I54" s="372"/>
      <c r="J54" s="372"/>
      <c r="K54" s="372"/>
      <c r="L54" s="372"/>
      <c r="M54" s="372"/>
      <c r="N54" s="372"/>
      <c r="O54" s="372"/>
      <c r="P54" s="372"/>
      <c r="Q54" s="372"/>
      <c r="R54" s="372"/>
      <c r="S54" s="372"/>
      <c r="T54" s="372"/>
      <c r="U54" s="372"/>
      <c r="V54" s="372"/>
      <c r="W54" s="372"/>
      <c r="X54" s="372"/>
    </row>
    <row r="55" spans="1:24" s="359" customFormat="1" ht="22.5" hidden="1" x14ac:dyDescent="0.2">
      <c r="A55" s="369"/>
      <c r="B55" s="378" t="s">
        <v>570</v>
      </c>
      <c r="C55" s="371"/>
      <c r="D55" s="371"/>
      <c r="E55" s="372"/>
      <c r="F55" s="372"/>
      <c r="G55" s="372"/>
      <c r="H55" s="372"/>
      <c r="I55" s="372"/>
      <c r="J55" s="372"/>
      <c r="K55" s="372"/>
      <c r="L55" s="372"/>
      <c r="M55" s="372"/>
      <c r="N55" s="372"/>
      <c r="O55" s="372"/>
      <c r="P55" s="372"/>
      <c r="Q55" s="372"/>
      <c r="R55" s="372"/>
      <c r="S55" s="372"/>
      <c r="T55" s="372"/>
      <c r="U55" s="372"/>
      <c r="V55" s="372"/>
      <c r="W55" s="372"/>
      <c r="X55" s="372"/>
    </row>
    <row r="56" spans="1:24" s="359" customFormat="1" ht="11.25" hidden="1" x14ac:dyDescent="0.2">
      <c r="A56" s="369"/>
      <c r="B56" s="378" t="s">
        <v>564</v>
      </c>
      <c r="C56" s="371"/>
      <c r="D56" s="371"/>
      <c r="E56" s="372"/>
      <c r="F56" s="372"/>
      <c r="G56" s="372"/>
      <c r="H56" s="372"/>
      <c r="I56" s="372"/>
      <c r="J56" s="372"/>
      <c r="K56" s="372"/>
      <c r="L56" s="372"/>
      <c r="M56" s="372"/>
      <c r="N56" s="372"/>
      <c r="O56" s="372"/>
      <c r="P56" s="372"/>
      <c r="Q56" s="372"/>
      <c r="R56" s="372"/>
      <c r="S56" s="372"/>
      <c r="T56" s="372"/>
      <c r="U56" s="372"/>
      <c r="V56" s="372"/>
      <c r="W56" s="372"/>
      <c r="X56" s="372"/>
    </row>
    <row r="57" spans="1:24" s="359" customFormat="1" ht="9.75" hidden="1" customHeight="1" x14ac:dyDescent="0.2">
      <c r="A57" s="379" t="s">
        <v>14</v>
      </c>
      <c r="B57" s="380" t="s">
        <v>243</v>
      </c>
      <c r="C57" s="381"/>
      <c r="D57" s="381"/>
      <c r="E57" s="382"/>
      <c r="F57" s="382"/>
      <c r="G57" s="382"/>
      <c r="H57" s="382"/>
      <c r="I57" s="382"/>
      <c r="J57" s="382"/>
      <c r="K57" s="382"/>
      <c r="L57" s="382"/>
      <c r="M57" s="382"/>
      <c r="N57" s="382"/>
      <c r="O57" s="382"/>
      <c r="P57" s="382"/>
      <c r="Q57" s="382"/>
      <c r="R57" s="382"/>
      <c r="S57" s="382"/>
      <c r="T57" s="382"/>
      <c r="U57" s="382"/>
      <c r="V57" s="382"/>
      <c r="W57" s="382"/>
      <c r="X57" s="382"/>
    </row>
  </sheetData>
  <mergeCells count="17">
    <mergeCell ref="I4:J4"/>
    <mergeCell ref="K4:L4"/>
    <mergeCell ref="M4:N4"/>
    <mergeCell ref="A1:X1"/>
    <mergeCell ref="A2:X2"/>
    <mergeCell ref="O4:P4"/>
    <mergeCell ref="Q4:R4"/>
    <mergeCell ref="S4:T4"/>
    <mergeCell ref="W4:X4"/>
    <mergeCell ref="G4:H4"/>
    <mergeCell ref="E3:K3"/>
    <mergeCell ref="P3:V3"/>
    <mergeCell ref="A4:A5"/>
    <mergeCell ref="B4:B5"/>
    <mergeCell ref="C4:D4"/>
    <mergeCell ref="E4:F4"/>
    <mergeCell ref="U4:V4"/>
  </mergeCells>
  <conditionalFormatting sqref="G26:G30 G21:G24 G15:G19 G10:G13 I10:I13 I15:I19 I21:I24 I26:I30 K26:K30 K21:K24 K15:K19 K10:K13 M10:M13 M15:M19 M21:M24 M26:M30 O26:O30 O21:O24 O15:O19 O10:O13 Q10:Q13 Q15:Q19 Q21:Q24 Q26:Q30 S21:S24 S15:S19 S10:S13 U37:U45 E10:E13 G37:G46 I37:I46 K37:K46 M37:M46 O37:O46 Q37:Q46 S37:S46 E15:E19 E21:E24 E26:E30 U9:V35 G32:R35 S26:T35 E32:F46">
    <cfRule type="cellIs" dxfId="53" priority="47" operator="equal">
      <formula>0</formula>
    </cfRule>
  </conditionalFormatting>
  <conditionalFormatting sqref="U46">
    <cfRule type="cellIs" dxfId="52" priority="44" operator="equal">
      <formula>0</formula>
    </cfRule>
  </conditionalFormatting>
  <conditionalFormatting sqref="H26:H30 H21:H24 H15:H19 H10:H13 H37:H46">
    <cfRule type="cellIs" dxfId="51" priority="25" operator="equal">
      <formula>0</formula>
    </cfRule>
  </conditionalFormatting>
  <conditionalFormatting sqref="F15:F19 F21:F24 F26:F30 F10:F13">
    <cfRule type="cellIs" dxfId="50" priority="26" operator="equal">
      <formula>0</formula>
    </cfRule>
  </conditionalFormatting>
  <conditionalFormatting sqref="G36 U36 I36 K36 M36 O36 Q36 S36">
    <cfRule type="cellIs" dxfId="49" priority="35" operator="equal">
      <formula>0</formula>
    </cfRule>
  </conditionalFormatting>
  <conditionalFormatting sqref="P36">
    <cfRule type="cellIs" dxfId="48" priority="16" operator="equal">
      <formula>0</formula>
    </cfRule>
  </conditionalFormatting>
  <conditionalFormatting sqref="P26:P30 P21:P24 P15:P19 P10:P13 P37:P46">
    <cfRule type="cellIs" dxfId="47" priority="17" operator="equal">
      <formula>0</formula>
    </cfRule>
  </conditionalFormatting>
  <conditionalFormatting sqref="N36">
    <cfRule type="cellIs" dxfId="46" priority="18" operator="equal">
      <formula>0</formula>
    </cfRule>
  </conditionalFormatting>
  <conditionalFormatting sqref="N10:N13 N15:N19 N21:N24 N26:N30 N37:N46">
    <cfRule type="cellIs" dxfId="45" priority="19" operator="equal">
      <formula>0</formula>
    </cfRule>
  </conditionalFormatting>
  <conditionalFormatting sqref="L36">
    <cfRule type="cellIs" dxfId="44" priority="20" operator="equal">
      <formula>0</formula>
    </cfRule>
  </conditionalFormatting>
  <conditionalFormatting sqref="L26:L30 L21:L24 L15:L19 L10:L13 L37:L46">
    <cfRule type="cellIs" dxfId="43" priority="21" operator="equal">
      <formula>0</formula>
    </cfRule>
  </conditionalFormatting>
  <conditionalFormatting sqref="J36">
    <cfRule type="cellIs" dxfId="42" priority="22" operator="equal">
      <formula>0</formula>
    </cfRule>
  </conditionalFormatting>
  <conditionalFormatting sqref="H36">
    <cfRule type="cellIs" dxfId="41" priority="24" operator="equal">
      <formula>0</formula>
    </cfRule>
  </conditionalFormatting>
  <conditionalFormatting sqref="J10:J13 J15:J19 J21:J24 J26:J30 J37:J46">
    <cfRule type="cellIs" dxfId="40" priority="23" operator="equal">
      <formula>0</formula>
    </cfRule>
  </conditionalFormatting>
  <conditionalFormatting sqref="R10:R13 R15:R19 R21:R24 R26:R30 R37:R46">
    <cfRule type="cellIs" dxfId="39" priority="15" operator="equal">
      <formula>0</formula>
    </cfRule>
  </conditionalFormatting>
  <conditionalFormatting sqref="R36">
    <cfRule type="cellIs" dxfId="38" priority="14" operator="equal">
      <formula>0</formula>
    </cfRule>
  </conditionalFormatting>
  <conditionalFormatting sqref="T21:T24 T15:T19 T10:T13 T37:T46">
    <cfRule type="cellIs" dxfId="37" priority="13" operator="equal">
      <formula>0</formula>
    </cfRule>
  </conditionalFormatting>
  <conditionalFormatting sqref="T36">
    <cfRule type="cellIs" dxfId="36" priority="12" operator="equal">
      <formula>0</formula>
    </cfRule>
  </conditionalFormatting>
  <conditionalFormatting sqref="V37:V45">
    <cfRule type="cellIs" dxfId="35" priority="11" operator="equal">
      <formula>0</formula>
    </cfRule>
  </conditionalFormatting>
  <conditionalFormatting sqref="V46">
    <cfRule type="cellIs" dxfId="34" priority="10" operator="equal">
      <formula>0</formula>
    </cfRule>
  </conditionalFormatting>
  <conditionalFormatting sqref="V36">
    <cfRule type="cellIs" dxfId="33" priority="9" operator="equal">
      <formula>0</formula>
    </cfRule>
  </conditionalFormatting>
  <pageMargins left="0.6" right="0.2" top="0.47" bottom="0.41" header="0.3" footer="0.2"/>
  <pageSetup paperSize="9" scale="83" firstPageNumber="6" fitToHeight="0" orientation="landscape" useFirstPageNumber="1" r:id="rId1"/>
  <headerFooter>
    <oddHeader>&amp;RBiểu mẫu số 16a</oddHeader>
    <oddFooter>&amp;C&amp;P</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pageSetUpPr fitToPage="1"/>
  </sheetPr>
  <dimension ref="A1:AG76"/>
  <sheetViews>
    <sheetView tabSelected="1" zoomScale="110" zoomScaleNormal="110" workbookViewId="0">
      <pane xSplit="2" ySplit="7" topLeftCell="C11" activePane="bottomRight" state="frozen"/>
      <selection pane="topRight" activeCell="C1" sqref="C1"/>
      <selection pane="bottomLeft" activeCell="A7" sqref="A7"/>
      <selection pane="bottomRight" activeCell="G69" sqref="G69"/>
    </sheetView>
  </sheetViews>
  <sheetFormatPr defaultRowHeight="12.75" x14ac:dyDescent="0.2"/>
  <cols>
    <col min="1" max="1" width="2.75" style="279" customWidth="1"/>
    <col min="2" max="2" width="21.375" style="279" customWidth="1"/>
    <col min="3" max="4" width="6" style="279" customWidth="1"/>
    <col min="5" max="5" width="4.375" style="279" hidden="1" customWidth="1"/>
    <col min="6" max="6" width="5.625" style="279" hidden="1" customWidth="1"/>
    <col min="7" max="7" width="6" style="279" customWidth="1"/>
    <col min="8" max="8" width="5.875" style="279" customWidth="1"/>
    <col min="9" max="11" width="5.25" style="279" customWidth="1"/>
    <col min="12" max="12" width="5.375" style="279" customWidth="1"/>
    <col min="13" max="13" width="6.25" style="279" customWidth="1"/>
    <col min="14" max="14" width="5.875" style="279" customWidth="1"/>
    <col min="15" max="16" width="5.5" style="279" customWidth="1"/>
    <col min="17" max="18" width="5.25" style="279" customWidth="1"/>
    <col min="19" max="19" width="5.5" style="279" customWidth="1"/>
    <col min="20" max="20" width="5.375" style="279" customWidth="1"/>
    <col min="21" max="21" width="4.625" style="279" customWidth="1"/>
    <col min="22" max="22" width="4.5" style="279" customWidth="1"/>
    <col min="23" max="24" width="6" style="279" customWidth="1"/>
    <col min="25" max="25" width="4.625" style="279" customWidth="1"/>
    <col min="26" max="26" width="10.125" style="279" hidden="1" customWidth="1"/>
    <col min="27" max="39" width="0" style="279" hidden="1" customWidth="1"/>
    <col min="40" max="16384" width="9" style="279"/>
  </cols>
  <sheetData>
    <row r="1" spans="1:32" x14ac:dyDescent="0.2">
      <c r="A1" s="104" t="e">
        <f>#REF!</f>
        <v>#REF!</v>
      </c>
    </row>
    <row r="2" spans="1:32" ht="14.25" x14ac:dyDescent="0.2">
      <c r="A2" s="2012" t="s">
        <v>2429</v>
      </c>
      <c r="B2" s="2012"/>
      <c r="C2" s="2012"/>
      <c r="D2" s="2012"/>
      <c r="E2" s="2012"/>
      <c r="F2" s="2012"/>
      <c r="G2" s="2012"/>
      <c r="H2" s="2012"/>
      <c r="I2" s="2012"/>
      <c r="J2" s="2012"/>
      <c r="K2" s="2012"/>
      <c r="L2" s="2012"/>
      <c r="M2" s="2012"/>
      <c r="N2" s="2012"/>
      <c r="O2" s="2012"/>
      <c r="P2" s="2012"/>
      <c r="Q2" s="2012"/>
      <c r="R2" s="2012"/>
      <c r="S2" s="2012"/>
      <c r="T2" s="2012"/>
      <c r="U2" s="2012"/>
      <c r="V2" s="2012"/>
      <c r="W2" s="2012"/>
      <c r="X2" s="2012"/>
      <c r="Y2" s="2012"/>
    </row>
    <row r="3" spans="1:32" ht="15" x14ac:dyDescent="0.2">
      <c r="A3" s="2013" t="e">
        <f>'Biểu 16'!A2:AA2</f>
        <v>#REF!</v>
      </c>
      <c r="B3" s="2014"/>
      <c r="C3" s="2014"/>
      <c r="D3" s="2014"/>
      <c r="E3" s="2014"/>
      <c r="F3" s="2014"/>
      <c r="G3" s="2014"/>
      <c r="H3" s="2014"/>
      <c r="I3" s="2014"/>
      <c r="J3" s="2014"/>
      <c r="K3" s="2014"/>
      <c r="L3" s="2014"/>
      <c r="M3" s="2014"/>
      <c r="N3" s="2014"/>
      <c r="O3" s="2014"/>
      <c r="P3" s="2014"/>
      <c r="Q3" s="2014"/>
      <c r="R3" s="2014"/>
      <c r="S3" s="2014"/>
      <c r="T3" s="2014"/>
      <c r="U3" s="2014"/>
      <c r="V3" s="2014"/>
      <c r="W3" s="2014"/>
      <c r="X3" s="2014"/>
      <c r="Y3" s="2014"/>
    </row>
    <row r="4" spans="1:32" x14ac:dyDescent="0.2">
      <c r="A4" s="280"/>
      <c r="E4" s="2015" t="s">
        <v>6</v>
      </c>
      <c r="F4" s="2015"/>
      <c r="V4" s="2007" t="s">
        <v>1454</v>
      </c>
      <c r="W4" s="2007"/>
      <c r="X4" s="2007"/>
      <c r="Y4" s="2007"/>
      <c r="Z4" s="2007"/>
      <c r="AA4" s="2007"/>
      <c r="AB4" s="2007"/>
    </row>
    <row r="5" spans="1:32" s="1743" customFormat="1" ht="21" x14ac:dyDescent="0.2">
      <c r="A5" s="1969" t="s">
        <v>0</v>
      </c>
      <c r="B5" s="1969" t="s">
        <v>1</v>
      </c>
      <c r="C5" s="1969" t="s">
        <v>1268</v>
      </c>
      <c r="D5" s="1969"/>
      <c r="E5" s="1969" t="s">
        <v>43</v>
      </c>
      <c r="F5" s="1969"/>
      <c r="G5" s="1975" t="s">
        <v>148</v>
      </c>
      <c r="H5" s="1975"/>
      <c r="I5" s="1975" t="s">
        <v>149</v>
      </c>
      <c r="J5" s="1975"/>
      <c r="K5" s="1975" t="s">
        <v>385</v>
      </c>
      <c r="L5" s="1975"/>
      <c r="M5" s="1975" t="s">
        <v>151</v>
      </c>
      <c r="N5" s="1975"/>
      <c r="O5" s="1975" t="s">
        <v>152</v>
      </c>
      <c r="P5" s="1975"/>
      <c r="Q5" s="1975" t="s">
        <v>153</v>
      </c>
      <c r="R5" s="1975"/>
      <c r="S5" s="1975" t="s">
        <v>154</v>
      </c>
      <c r="T5" s="1975"/>
      <c r="U5" s="1975" t="s">
        <v>155</v>
      </c>
      <c r="V5" s="1975"/>
      <c r="W5" s="1970" t="s">
        <v>559</v>
      </c>
      <c r="X5" s="1972"/>
      <c r="Y5" s="1929" t="s">
        <v>577</v>
      </c>
    </row>
    <row r="6" spans="1:32" s="1743" customFormat="1" ht="42" x14ac:dyDescent="0.2">
      <c r="A6" s="1969"/>
      <c r="B6" s="1969"/>
      <c r="C6" s="1928" t="s">
        <v>227</v>
      </c>
      <c r="D6" s="1928" t="s">
        <v>228</v>
      </c>
      <c r="E6" s="1928" t="s">
        <v>227</v>
      </c>
      <c r="F6" s="1928" t="s">
        <v>228</v>
      </c>
      <c r="G6" s="1928" t="s">
        <v>227</v>
      </c>
      <c r="H6" s="1928" t="s">
        <v>228</v>
      </c>
      <c r="I6" s="1928" t="s">
        <v>227</v>
      </c>
      <c r="J6" s="1928" t="s">
        <v>228</v>
      </c>
      <c r="K6" s="1928" t="s">
        <v>227</v>
      </c>
      <c r="L6" s="1928" t="s">
        <v>228</v>
      </c>
      <c r="M6" s="1928" t="s">
        <v>227</v>
      </c>
      <c r="N6" s="1928" t="s">
        <v>228</v>
      </c>
      <c r="O6" s="1928" t="s">
        <v>227</v>
      </c>
      <c r="P6" s="1928" t="s">
        <v>228</v>
      </c>
      <c r="Q6" s="1928" t="s">
        <v>227</v>
      </c>
      <c r="R6" s="1928" t="s">
        <v>228</v>
      </c>
      <c r="S6" s="1928" t="s">
        <v>227</v>
      </c>
      <c r="T6" s="1928" t="s">
        <v>228</v>
      </c>
      <c r="U6" s="1928" t="s">
        <v>227</v>
      </c>
      <c r="V6" s="1928" t="s">
        <v>228</v>
      </c>
      <c r="W6" s="1928" t="s">
        <v>227</v>
      </c>
      <c r="X6" s="1928" t="s">
        <v>228</v>
      </c>
      <c r="Y6" s="1928" t="s">
        <v>227</v>
      </c>
    </row>
    <row r="7" spans="1:32" s="359" customFormat="1" ht="11.25" x14ac:dyDescent="0.2">
      <c r="A7" s="979" t="s">
        <v>2</v>
      </c>
      <c r="B7" s="979" t="s">
        <v>3</v>
      </c>
      <c r="C7" s="979">
        <v>3</v>
      </c>
      <c r="D7" s="979">
        <v>4</v>
      </c>
      <c r="E7" s="979">
        <v>5</v>
      </c>
      <c r="F7" s="979">
        <v>6</v>
      </c>
      <c r="G7" s="979">
        <v>9</v>
      </c>
      <c r="H7" s="979">
        <v>10</v>
      </c>
      <c r="I7" s="979">
        <v>11</v>
      </c>
      <c r="J7" s="979">
        <v>12</v>
      </c>
      <c r="K7" s="979">
        <v>13</v>
      </c>
      <c r="L7" s="979">
        <v>14</v>
      </c>
      <c r="M7" s="979">
        <v>15</v>
      </c>
      <c r="N7" s="979">
        <v>16</v>
      </c>
      <c r="O7" s="979">
        <v>17</v>
      </c>
      <c r="P7" s="979">
        <v>18</v>
      </c>
      <c r="Q7" s="979">
        <v>19</v>
      </c>
      <c r="R7" s="979">
        <v>20</v>
      </c>
      <c r="S7" s="979">
        <v>21</v>
      </c>
      <c r="T7" s="979">
        <v>22</v>
      </c>
      <c r="U7" s="979">
        <v>23</v>
      </c>
      <c r="V7" s="979">
        <v>24</v>
      </c>
      <c r="W7" s="979">
        <v>25</v>
      </c>
      <c r="X7" s="979">
        <v>26</v>
      </c>
      <c r="Y7" s="979">
        <v>27</v>
      </c>
    </row>
    <row r="8" spans="1:32" s="363" customFormat="1" ht="10.5" x14ac:dyDescent="0.15">
      <c r="A8" s="1928"/>
      <c r="B8" s="1928" t="s">
        <v>229</v>
      </c>
      <c r="C8" s="1930">
        <f t="shared" ref="C8:Y8" si="0">C9+C50+C51+C58</f>
        <v>700000</v>
      </c>
      <c r="D8" s="1930">
        <f t="shared" si="0"/>
        <v>606528</v>
      </c>
      <c r="E8" s="1930">
        <f t="shared" si="0"/>
        <v>0</v>
      </c>
      <c r="F8" s="1930">
        <f t="shared" si="0"/>
        <v>0</v>
      </c>
      <c r="G8" s="1930">
        <f t="shared" si="0"/>
        <v>114000</v>
      </c>
      <c r="H8" s="1930">
        <f t="shared" si="0"/>
        <v>108080</v>
      </c>
      <c r="I8" s="1930">
        <f t="shared" si="0"/>
        <v>13330</v>
      </c>
      <c r="J8" s="1930">
        <f t="shared" si="0"/>
        <v>12070</v>
      </c>
      <c r="K8" s="1930">
        <f t="shared" si="0"/>
        <v>14600</v>
      </c>
      <c r="L8" s="1930">
        <f t="shared" si="0"/>
        <v>13375</v>
      </c>
      <c r="M8" s="1930">
        <f t="shared" si="0"/>
        <v>124600</v>
      </c>
      <c r="N8" s="1930">
        <f t="shared" si="0"/>
        <v>123140</v>
      </c>
      <c r="O8" s="1930">
        <f t="shared" si="0"/>
        <v>18350</v>
      </c>
      <c r="P8" s="1930">
        <f t="shared" si="0"/>
        <v>17300</v>
      </c>
      <c r="Q8" s="1930">
        <f t="shared" si="0"/>
        <v>15220</v>
      </c>
      <c r="R8" s="1930">
        <f t="shared" si="0"/>
        <v>13660</v>
      </c>
      <c r="S8" s="1930">
        <f t="shared" si="0"/>
        <v>32500</v>
      </c>
      <c r="T8" s="1930">
        <f t="shared" si="0"/>
        <v>30180</v>
      </c>
      <c r="U8" s="1930">
        <f t="shared" si="0"/>
        <v>9800</v>
      </c>
      <c r="V8" s="1930">
        <f t="shared" si="0"/>
        <v>8800</v>
      </c>
      <c r="W8" s="1930">
        <f t="shared" si="0"/>
        <v>354600</v>
      </c>
      <c r="X8" s="1930">
        <f t="shared" si="0"/>
        <v>279923</v>
      </c>
      <c r="Y8" s="1930">
        <f t="shared" si="0"/>
        <v>3000</v>
      </c>
      <c r="AC8" s="368">
        <f>D8-X8</f>
        <v>326605</v>
      </c>
      <c r="AD8" s="368">
        <f>610000-W8-Y8</f>
        <v>252400</v>
      </c>
      <c r="AE8" s="363">
        <f>235550-226820</f>
        <v>8730</v>
      </c>
      <c r="AF8" s="368">
        <f>D8-X8</f>
        <v>326605</v>
      </c>
    </row>
    <row r="9" spans="1:32" s="363" customFormat="1" ht="10.5" x14ac:dyDescent="0.15">
      <c r="A9" s="1928" t="s">
        <v>9</v>
      </c>
      <c r="B9" s="1931" t="s">
        <v>7</v>
      </c>
      <c r="C9" s="1930">
        <f>C10+C15+C21+C24+C30+C31+C32+C33+C34+C35+C38+C41+C46+C47+C48+C49</f>
        <v>697000</v>
      </c>
      <c r="D9" s="1930">
        <f t="shared" ref="D9:X9" si="1">D10+D15+D21+D24+D30+D31+D32+D33+D34+D35+D38+D41+D46+D47+D48+D49</f>
        <v>606528</v>
      </c>
      <c r="E9" s="1930">
        <f t="shared" si="1"/>
        <v>0</v>
      </c>
      <c r="F9" s="1930">
        <f t="shared" si="1"/>
        <v>0</v>
      </c>
      <c r="G9" s="1930">
        <f t="shared" si="1"/>
        <v>114000</v>
      </c>
      <c r="H9" s="1930">
        <f t="shared" si="1"/>
        <v>108080</v>
      </c>
      <c r="I9" s="1930">
        <f t="shared" si="1"/>
        <v>13330</v>
      </c>
      <c r="J9" s="1930">
        <f t="shared" si="1"/>
        <v>12070</v>
      </c>
      <c r="K9" s="1930">
        <f t="shared" si="1"/>
        <v>14600</v>
      </c>
      <c r="L9" s="1930">
        <f t="shared" si="1"/>
        <v>13375</v>
      </c>
      <c r="M9" s="1930">
        <f t="shared" si="1"/>
        <v>124600</v>
      </c>
      <c r="N9" s="1930">
        <f t="shared" si="1"/>
        <v>123140</v>
      </c>
      <c r="O9" s="1930">
        <f t="shared" si="1"/>
        <v>18350</v>
      </c>
      <c r="P9" s="1930">
        <f t="shared" si="1"/>
        <v>17300</v>
      </c>
      <c r="Q9" s="1930">
        <f t="shared" si="1"/>
        <v>15220</v>
      </c>
      <c r="R9" s="1930">
        <f t="shared" si="1"/>
        <v>13660</v>
      </c>
      <c r="S9" s="1930">
        <f t="shared" si="1"/>
        <v>32500</v>
      </c>
      <c r="T9" s="1930">
        <f t="shared" si="1"/>
        <v>30180</v>
      </c>
      <c r="U9" s="1930">
        <f t="shared" si="1"/>
        <v>9800</v>
      </c>
      <c r="V9" s="1930">
        <f t="shared" si="1"/>
        <v>8800</v>
      </c>
      <c r="W9" s="1930">
        <f t="shared" si="1"/>
        <v>354600</v>
      </c>
      <c r="X9" s="1930">
        <f t="shared" si="1"/>
        <v>279923</v>
      </c>
      <c r="Y9" s="1930"/>
      <c r="Z9" s="368">
        <f>Z10-X8</f>
        <v>245087</v>
      </c>
      <c r="AE9" s="363">
        <f>283550-274670</f>
        <v>8880</v>
      </c>
      <c r="AF9" s="363">
        <v>309460</v>
      </c>
    </row>
    <row r="10" spans="1:32" s="363" customFormat="1" ht="21" x14ac:dyDescent="0.15">
      <c r="A10" s="1928">
        <v>1</v>
      </c>
      <c r="B10" s="1931" t="s">
        <v>560</v>
      </c>
      <c r="C10" s="1930">
        <f t="shared" ref="C10" si="2">SUM(C11:C14)</f>
        <v>90400</v>
      </c>
      <c r="D10" s="1930">
        <f>SUM(D11:D13)</f>
        <v>90400</v>
      </c>
      <c r="E10" s="1930">
        <f t="shared" ref="E10:F10" si="3">SUM(E11:E13)</f>
        <v>0</v>
      </c>
      <c r="F10" s="1930">
        <f t="shared" si="3"/>
        <v>0</v>
      </c>
      <c r="G10" s="1930">
        <f>SUM(G11:G13)</f>
        <v>270</v>
      </c>
      <c r="H10" s="1930">
        <f t="shared" ref="H10:X10" si="4">SUM(H11:H13)</f>
        <v>0</v>
      </c>
      <c r="I10" s="1930">
        <f t="shared" si="4"/>
        <v>75</v>
      </c>
      <c r="J10" s="1930">
        <f t="shared" si="4"/>
        <v>0</v>
      </c>
      <c r="K10" s="1930">
        <f t="shared" si="4"/>
        <v>105</v>
      </c>
      <c r="L10" s="1930">
        <f t="shared" si="4"/>
        <v>0</v>
      </c>
      <c r="M10" s="1930">
        <f t="shared" si="4"/>
        <v>21110</v>
      </c>
      <c r="N10" s="1930">
        <f t="shared" si="4"/>
        <v>20700</v>
      </c>
      <c r="O10" s="1930">
        <f t="shared" si="4"/>
        <v>130</v>
      </c>
      <c r="P10" s="1930">
        <f t="shared" si="4"/>
        <v>0</v>
      </c>
      <c r="Q10" s="1930">
        <f t="shared" si="4"/>
        <v>690</v>
      </c>
      <c r="R10" s="1930">
        <f t="shared" si="4"/>
        <v>0</v>
      </c>
      <c r="S10" s="1930">
        <f t="shared" si="4"/>
        <v>1400</v>
      </c>
      <c r="T10" s="1930">
        <f t="shared" si="4"/>
        <v>1300</v>
      </c>
      <c r="U10" s="1930">
        <f t="shared" si="4"/>
        <v>90</v>
      </c>
      <c r="V10" s="1930">
        <f t="shared" si="4"/>
        <v>0</v>
      </c>
      <c r="W10" s="1930">
        <f t="shared" si="4"/>
        <v>66530</v>
      </c>
      <c r="X10" s="1930">
        <f t="shared" si="4"/>
        <v>68400</v>
      </c>
      <c r="Y10" s="1930"/>
      <c r="Z10" s="361">
        <f>525010</f>
        <v>525010</v>
      </c>
      <c r="AA10" s="368">
        <f>X8+D8</f>
        <v>886451</v>
      </c>
      <c r="AD10" s="1010">
        <f>G8+I8+K8+M8+O8+Q8+S8+U8</f>
        <v>342400</v>
      </c>
      <c r="AF10" s="368">
        <f>AF8-AF9</f>
        <v>17145</v>
      </c>
    </row>
    <row r="11" spans="1:32" s="359" customFormat="1" ht="11.25" x14ac:dyDescent="0.2">
      <c r="A11" s="1932"/>
      <c r="B11" s="1933" t="s">
        <v>561</v>
      </c>
      <c r="C11" s="1934">
        <f>G11+I11+K11+M11+O11+Q11+S11+U11+W11+Y11</f>
        <v>1200</v>
      </c>
      <c r="D11" s="1934">
        <f>H11+J11+L11+N11+P11+R11+T11+V11+X11</f>
        <v>1200</v>
      </c>
      <c r="E11" s="1934"/>
      <c r="F11" s="1934"/>
      <c r="G11" s="1935">
        <v>20</v>
      </c>
      <c r="H11" s="1935"/>
      <c r="I11" s="1935">
        <v>0</v>
      </c>
      <c r="J11" s="1935"/>
      <c r="K11" s="1935">
        <v>0</v>
      </c>
      <c r="L11" s="1935"/>
      <c r="M11" s="1935">
        <v>0</v>
      </c>
      <c r="N11" s="1935"/>
      <c r="O11" s="1935">
        <v>0</v>
      </c>
      <c r="P11" s="1935"/>
      <c r="Q11" s="1935">
        <v>120</v>
      </c>
      <c r="R11" s="1935"/>
      <c r="S11" s="1935">
        <v>0</v>
      </c>
      <c r="T11" s="1935"/>
      <c r="U11" s="1935">
        <v>0</v>
      </c>
      <c r="V11" s="1935"/>
      <c r="W11" s="1935">
        <v>1060</v>
      </c>
      <c r="X11" s="1935">
        <f>C11</f>
        <v>1200</v>
      </c>
      <c r="Y11" s="1935"/>
      <c r="Z11" s="359">
        <v>535330</v>
      </c>
    </row>
    <row r="12" spans="1:32" s="359" customFormat="1" ht="11.25" x14ac:dyDescent="0.2">
      <c r="A12" s="1932"/>
      <c r="B12" s="1933" t="s">
        <v>562</v>
      </c>
      <c r="C12" s="1934">
        <f t="shared" ref="C12:C13" si="5">G12+I12+K12+M12+O12+Q12+S12+U12+W12+Y12</f>
        <v>22000</v>
      </c>
      <c r="D12" s="1934">
        <f>H12+J12+L12+N12+P12+R12+T12+V12+X12</f>
        <v>22000</v>
      </c>
      <c r="E12" s="1934"/>
      <c r="F12" s="1934"/>
      <c r="G12" s="1935">
        <v>0</v>
      </c>
      <c r="H12" s="1935">
        <v>0</v>
      </c>
      <c r="I12" s="1935">
        <v>0</v>
      </c>
      <c r="J12" s="1935">
        <v>0</v>
      </c>
      <c r="K12" s="1935">
        <v>0</v>
      </c>
      <c r="L12" s="1935">
        <v>0</v>
      </c>
      <c r="M12" s="1935">
        <v>20700</v>
      </c>
      <c r="N12" s="1935">
        <f>M12</f>
        <v>20700</v>
      </c>
      <c r="O12" s="1935">
        <v>0</v>
      </c>
      <c r="P12" s="1935">
        <v>0</v>
      </c>
      <c r="Q12" s="1935">
        <v>0</v>
      </c>
      <c r="R12" s="1935">
        <v>0</v>
      </c>
      <c r="S12" s="1935">
        <v>1300</v>
      </c>
      <c r="T12" s="1935">
        <f>S12</f>
        <v>1300</v>
      </c>
      <c r="U12" s="1935">
        <v>0</v>
      </c>
      <c r="V12" s="1935">
        <v>0</v>
      </c>
      <c r="W12" s="1935">
        <v>0</v>
      </c>
      <c r="X12" s="1935"/>
      <c r="Y12" s="1935"/>
      <c r="Z12" s="374">
        <f>Z11-Z10</f>
        <v>10320</v>
      </c>
    </row>
    <row r="13" spans="1:32" s="359" customFormat="1" ht="11.25" x14ac:dyDescent="0.2">
      <c r="A13" s="1932"/>
      <c r="B13" s="1933" t="s">
        <v>563</v>
      </c>
      <c r="C13" s="1934">
        <f t="shared" si="5"/>
        <v>67200</v>
      </c>
      <c r="D13" s="1934">
        <f>H13+J13+L13+N13+P13+R13+T13+V13+X13</f>
        <v>67200</v>
      </c>
      <c r="E13" s="1934"/>
      <c r="F13" s="1934"/>
      <c r="G13" s="1935">
        <v>250</v>
      </c>
      <c r="H13" s="1935"/>
      <c r="I13" s="1935">
        <v>75</v>
      </c>
      <c r="J13" s="1935"/>
      <c r="K13" s="1935">
        <v>105</v>
      </c>
      <c r="L13" s="1935"/>
      <c r="M13" s="1935">
        <v>410</v>
      </c>
      <c r="N13" s="1935"/>
      <c r="O13" s="1935">
        <v>130</v>
      </c>
      <c r="P13" s="1935"/>
      <c r="Q13" s="1935">
        <v>570</v>
      </c>
      <c r="R13" s="1935"/>
      <c r="S13" s="1935">
        <v>100</v>
      </c>
      <c r="T13" s="1935"/>
      <c r="U13" s="1935">
        <v>90</v>
      </c>
      <c r="V13" s="1935"/>
      <c r="W13" s="1935">
        <v>65470</v>
      </c>
      <c r="X13" s="1935">
        <f>C13</f>
        <v>67200</v>
      </c>
      <c r="Y13" s="1935"/>
    </row>
    <row r="14" spans="1:32" s="359" customFormat="1" ht="11.25" x14ac:dyDescent="0.2">
      <c r="A14" s="1932"/>
      <c r="B14" s="1933" t="s">
        <v>564</v>
      </c>
      <c r="C14" s="1934"/>
      <c r="D14" s="1934">
        <f t="shared" ref="D14:D40" si="6">H14+J14+L14+N14+P14+R14+T14+V14+X14</f>
        <v>0</v>
      </c>
      <c r="E14" s="1934"/>
      <c r="F14" s="1934"/>
      <c r="G14" s="1935"/>
      <c r="H14" s="1935"/>
      <c r="I14" s="1935"/>
      <c r="J14" s="1935"/>
      <c r="K14" s="1935"/>
      <c r="L14" s="1935"/>
      <c r="M14" s="1935"/>
      <c r="N14" s="1935"/>
      <c r="O14" s="1935"/>
      <c r="P14" s="1935"/>
      <c r="Q14" s="1935"/>
      <c r="R14" s="1935"/>
      <c r="S14" s="1935"/>
      <c r="T14" s="1935"/>
      <c r="U14" s="1935"/>
      <c r="V14" s="1935"/>
      <c r="W14" s="1935"/>
      <c r="X14" s="1935"/>
      <c r="Y14" s="1935"/>
    </row>
    <row r="15" spans="1:32" s="363" customFormat="1" ht="21" x14ac:dyDescent="0.15">
      <c r="A15" s="1928">
        <v>2</v>
      </c>
      <c r="B15" s="1931" t="s">
        <v>565</v>
      </c>
      <c r="C15" s="1930">
        <f t="shared" ref="C15:F15" si="7">SUM(C16:C18)</f>
        <v>8000</v>
      </c>
      <c r="D15" s="1930">
        <f t="shared" si="7"/>
        <v>8000</v>
      </c>
      <c r="E15" s="1930">
        <f t="shared" si="7"/>
        <v>0</v>
      </c>
      <c r="F15" s="1930">
        <f t="shared" si="7"/>
        <v>0</v>
      </c>
      <c r="G15" s="1930">
        <f>SUM(G16:G18)</f>
        <v>700</v>
      </c>
      <c r="H15" s="1930">
        <f t="shared" ref="H15:X15" si="8">SUM(H16:H18)</f>
        <v>700</v>
      </c>
      <c r="I15" s="1930">
        <f t="shared" si="8"/>
        <v>10</v>
      </c>
      <c r="J15" s="1930">
        <f t="shared" si="8"/>
        <v>10</v>
      </c>
      <c r="K15" s="1930">
        <f t="shared" si="8"/>
        <v>15</v>
      </c>
      <c r="L15" s="1930">
        <f t="shared" si="8"/>
        <v>15</v>
      </c>
      <c r="M15" s="1930">
        <f t="shared" si="8"/>
        <v>100</v>
      </c>
      <c r="N15" s="1930">
        <f t="shared" si="8"/>
        <v>100</v>
      </c>
      <c r="O15" s="1930">
        <f t="shared" si="8"/>
        <v>100</v>
      </c>
      <c r="P15" s="1930">
        <f t="shared" si="8"/>
        <v>100</v>
      </c>
      <c r="Q15" s="1930">
        <f t="shared" si="8"/>
        <v>30</v>
      </c>
      <c r="R15" s="1930">
        <f t="shared" si="8"/>
        <v>30</v>
      </c>
      <c r="S15" s="1930">
        <f t="shared" si="8"/>
        <v>160</v>
      </c>
      <c r="T15" s="1930">
        <f t="shared" si="8"/>
        <v>160</v>
      </c>
      <c r="U15" s="1930">
        <f t="shared" si="8"/>
        <v>0</v>
      </c>
      <c r="V15" s="1930">
        <f t="shared" si="8"/>
        <v>0</v>
      </c>
      <c r="W15" s="1930">
        <f t="shared" si="8"/>
        <v>6885</v>
      </c>
      <c r="X15" s="1930">
        <f t="shared" si="8"/>
        <v>6885</v>
      </c>
      <c r="Y15" s="1930"/>
      <c r="Z15" s="361">
        <f>59990</f>
        <v>59990</v>
      </c>
    </row>
    <row r="16" spans="1:32" s="359" customFormat="1" ht="11.25" x14ac:dyDescent="0.2">
      <c r="A16" s="1932"/>
      <c r="B16" s="1933" t="s">
        <v>561</v>
      </c>
      <c r="C16" s="1934">
        <f>G16+I16+K16+M16+O16+Q16+S16+U16+W16+Y16</f>
        <v>1840</v>
      </c>
      <c r="D16" s="1934">
        <f t="shared" si="6"/>
        <v>1840</v>
      </c>
      <c r="E16" s="1934"/>
      <c r="F16" s="1934"/>
      <c r="G16" s="1935">
        <v>340</v>
      </c>
      <c r="H16" s="1935">
        <f>G16</f>
        <v>340</v>
      </c>
      <c r="I16" s="1935">
        <v>0</v>
      </c>
      <c r="J16" s="1935">
        <v>0</v>
      </c>
      <c r="K16" s="1935">
        <v>0</v>
      </c>
      <c r="L16" s="1935">
        <v>0</v>
      </c>
      <c r="M16" s="1935">
        <v>40</v>
      </c>
      <c r="N16" s="1935">
        <f>M16</f>
        <v>40</v>
      </c>
      <c r="O16" s="1935">
        <v>50</v>
      </c>
      <c r="P16" s="1935">
        <f>O16</f>
        <v>50</v>
      </c>
      <c r="Q16" s="1935">
        <v>5</v>
      </c>
      <c r="R16" s="1935">
        <f>Q16</f>
        <v>5</v>
      </c>
      <c r="S16" s="1935">
        <v>30</v>
      </c>
      <c r="T16" s="1935">
        <f>S16</f>
        <v>30</v>
      </c>
      <c r="U16" s="1935">
        <v>0</v>
      </c>
      <c r="V16" s="1935">
        <v>0</v>
      </c>
      <c r="W16" s="1935">
        <v>1375</v>
      </c>
      <c r="X16" s="1935">
        <f>W16</f>
        <v>1375</v>
      </c>
      <c r="Y16" s="1935"/>
      <c r="Z16" s="375">
        <f>43800+7700</f>
        <v>51500</v>
      </c>
    </row>
    <row r="17" spans="1:33" s="359" customFormat="1" ht="11.25" x14ac:dyDescent="0.2">
      <c r="A17" s="1932"/>
      <c r="B17" s="1933" t="s">
        <v>562</v>
      </c>
      <c r="C17" s="1934">
        <f t="shared" ref="C17:C18" si="9">G17+I17+K17+M17+O17+Q17+S17+U17+W17+Y17</f>
        <v>160</v>
      </c>
      <c r="D17" s="1934">
        <f t="shared" si="6"/>
        <v>160</v>
      </c>
      <c r="E17" s="1934"/>
      <c r="F17" s="1934"/>
      <c r="G17" s="1935">
        <v>60</v>
      </c>
      <c r="H17" s="1935">
        <f>G17</f>
        <v>60</v>
      </c>
      <c r="I17" s="1935">
        <v>10</v>
      </c>
      <c r="J17" s="1935">
        <f>I17</f>
        <v>10</v>
      </c>
      <c r="K17" s="1935">
        <v>15</v>
      </c>
      <c r="L17" s="1935">
        <f>K17</f>
        <v>15</v>
      </c>
      <c r="M17" s="1935">
        <v>20</v>
      </c>
      <c r="N17" s="1935">
        <f t="shared" ref="N17:N18" si="10">M17</f>
        <v>20</v>
      </c>
      <c r="O17" s="1935">
        <v>0</v>
      </c>
      <c r="P17" s="1935">
        <v>0</v>
      </c>
      <c r="Q17" s="1935">
        <v>25</v>
      </c>
      <c r="R17" s="1935">
        <f>Q17</f>
        <v>25</v>
      </c>
      <c r="S17" s="1935">
        <v>30</v>
      </c>
      <c r="T17" s="1935">
        <f t="shared" ref="T17:T18" si="11">S17</f>
        <v>30</v>
      </c>
      <c r="U17" s="1935">
        <v>0</v>
      </c>
      <c r="V17" s="1935">
        <v>0</v>
      </c>
      <c r="W17" s="1935">
        <v>0</v>
      </c>
      <c r="X17" s="1935">
        <f t="shared" ref="X17:X18" si="12">W17</f>
        <v>0</v>
      </c>
      <c r="Y17" s="1935"/>
      <c r="Z17" s="374">
        <f>Z15-Z16</f>
        <v>8490</v>
      </c>
    </row>
    <row r="18" spans="1:33" s="359" customFormat="1" ht="11.25" x14ac:dyDescent="0.2">
      <c r="A18" s="1932"/>
      <c r="B18" s="1933" t="s">
        <v>563</v>
      </c>
      <c r="C18" s="1934">
        <f t="shared" si="9"/>
        <v>6000</v>
      </c>
      <c r="D18" s="1934">
        <f t="shared" si="6"/>
        <v>6000</v>
      </c>
      <c r="E18" s="1934"/>
      <c r="F18" s="1934"/>
      <c r="G18" s="1935">
        <v>300</v>
      </c>
      <c r="H18" s="1935">
        <f>G18</f>
        <v>300</v>
      </c>
      <c r="I18" s="1935">
        <v>0</v>
      </c>
      <c r="J18" s="1935">
        <v>0</v>
      </c>
      <c r="K18" s="1935">
        <v>0</v>
      </c>
      <c r="L18" s="1935">
        <v>0</v>
      </c>
      <c r="M18" s="1935">
        <v>40</v>
      </c>
      <c r="N18" s="1935">
        <f t="shared" si="10"/>
        <v>40</v>
      </c>
      <c r="O18" s="1935">
        <v>50</v>
      </c>
      <c r="P18" s="1935">
        <f>O18</f>
        <v>50</v>
      </c>
      <c r="Q18" s="1935">
        <v>0</v>
      </c>
      <c r="R18" s="1935">
        <v>0</v>
      </c>
      <c r="S18" s="1935">
        <v>100</v>
      </c>
      <c r="T18" s="1935">
        <f t="shared" si="11"/>
        <v>100</v>
      </c>
      <c r="U18" s="1935">
        <v>0</v>
      </c>
      <c r="V18" s="1935">
        <v>0</v>
      </c>
      <c r="W18" s="1935">
        <v>5510</v>
      </c>
      <c r="X18" s="1935">
        <f t="shared" si="12"/>
        <v>5510</v>
      </c>
      <c r="Y18" s="1935"/>
    </row>
    <row r="19" spans="1:33" s="359" customFormat="1" ht="11.25" x14ac:dyDescent="0.2">
      <c r="A19" s="1932"/>
      <c r="B19" s="1933" t="s">
        <v>566</v>
      </c>
      <c r="C19" s="1934"/>
      <c r="D19" s="1934">
        <f t="shared" si="6"/>
        <v>0</v>
      </c>
      <c r="E19" s="1934"/>
      <c r="F19" s="1934"/>
      <c r="G19" s="1935"/>
      <c r="H19" s="1935"/>
      <c r="I19" s="1935"/>
      <c r="J19" s="1935"/>
      <c r="K19" s="1935"/>
      <c r="L19" s="1935"/>
      <c r="M19" s="1935"/>
      <c r="N19" s="1935"/>
      <c r="O19" s="1935"/>
      <c r="P19" s="1935"/>
      <c r="Q19" s="1935"/>
      <c r="R19" s="1935"/>
      <c r="S19" s="1935"/>
      <c r="T19" s="1935"/>
      <c r="U19" s="1935"/>
      <c r="V19" s="1935"/>
      <c r="W19" s="1935"/>
      <c r="X19" s="1935"/>
      <c r="Y19" s="1935"/>
    </row>
    <row r="20" spans="1:33" s="359" customFormat="1" ht="11.25" x14ac:dyDescent="0.2">
      <c r="A20" s="1932"/>
      <c r="B20" s="1933" t="s">
        <v>564</v>
      </c>
      <c r="C20" s="1934"/>
      <c r="D20" s="1934">
        <f t="shared" si="6"/>
        <v>0</v>
      </c>
      <c r="E20" s="1934"/>
      <c r="F20" s="1934"/>
      <c r="G20" s="1935"/>
      <c r="H20" s="1935"/>
      <c r="I20" s="1935"/>
      <c r="J20" s="1935"/>
      <c r="K20" s="1935"/>
      <c r="L20" s="1935"/>
      <c r="M20" s="1935"/>
      <c r="N20" s="1935"/>
      <c r="O20" s="1935"/>
      <c r="P20" s="1935"/>
      <c r="Q20" s="1935"/>
      <c r="R20" s="1935"/>
      <c r="S20" s="1935"/>
      <c r="T20" s="1935"/>
      <c r="U20" s="1935"/>
      <c r="V20" s="1935"/>
      <c r="W20" s="1935"/>
      <c r="X20" s="1935"/>
      <c r="Y20" s="1935"/>
    </row>
    <row r="21" spans="1:33" s="363" customFormat="1" ht="25.5" customHeight="1" x14ac:dyDescent="0.15">
      <c r="A21" s="1928">
        <v>3</v>
      </c>
      <c r="B21" s="1931" t="s">
        <v>567</v>
      </c>
      <c r="C21" s="1930">
        <f t="shared" ref="C21:F21" si="13">C22+C23</f>
        <v>1100</v>
      </c>
      <c r="D21" s="1930">
        <f t="shared" si="13"/>
        <v>1100</v>
      </c>
      <c r="E21" s="1930">
        <f t="shared" si="13"/>
        <v>0</v>
      </c>
      <c r="F21" s="1930">
        <f t="shared" si="13"/>
        <v>0</v>
      </c>
      <c r="G21" s="1930">
        <f>G22+G23</f>
        <v>0</v>
      </c>
      <c r="H21" s="1930">
        <f t="shared" ref="H21:X21" si="14">H22+H23</f>
        <v>0</v>
      </c>
      <c r="I21" s="1930">
        <f t="shared" si="14"/>
        <v>0</v>
      </c>
      <c r="J21" s="1930">
        <f t="shared" si="14"/>
        <v>0</v>
      </c>
      <c r="K21" s="1930">
        <f t="shared" si="14"/>
        <v>0</v>
      </c>
      <c r="L21" s="1930">
        <f t="shared" si="14"/>
        <v>0</v>
      </c>
      <c r="M21" s="1930">
        <f t="shared" si="14"/>
        <v>0</v>
      </c>
      <c r="N21" s="1930">
        <f t="shared" si="14"/>
        <v>0</v>
      </c>
      <c r="O21" s="1930">
        <f t="shared" si="14"/>
        <v>0</v>
      </c>
      <c r="P21" s="1930">
        <f t="shared" si="14"/>
        <v>0</v>
      </c>
      <c r="Q21" s="1930">
        <f t="shared" si="14"/>
        <v>0</v>
      </c>
      <c r="R21" s="1930">
        <f t="shared" si="14"/>
        <v>0</v>
      </c>
      <c r="S21" s="1930">
        <f t="shared" si="14"/>
        <v>0</v>
      </c>
      <c r="T21" s="1930">
        <f t="shared" si="14"/>
        <v>0</v>
      </c>
      <c r="U21" s="1930">
        <f t="shared" si="14"/>
        <v>0</v>
      </c>
      <c r="V21" s="1930">
        <f t="shared" si="14"/>
        <v>0</v>
      </c>
      <c r="W21" s="1930">
        <f t="shared" si="14"/>
        <v>1100</v>
      </c>
      <c r="X21" s="1930">
        <f t="shared" si="14"/>
        <v>1100</v>
      </c>
      <c r="Y21" s="1930"/>
    </row>
    <row r="22" spans="1:33" s="359" customFormat="1" ht="11.25" x14ac:dyDescent="0.2">
      <c r="A22" s="1932"/>
      <c r="B22" s="1933" t="s">
        <v>561</v>
      </c>
      <c r="C22" s="1934">
        <f>G22+I22+K22+M22+O22+Q22+S22+U22+W22+Y22</f>
        <v>0</v>
      </c>
      <c r="D22" s="1934">
        <f t="shared" si="6"/>
        <v>0</v>
      </c>
      <c r="E22" s="1934"/>
      <c r="F22" s="1934"/>
      <c r="G22" s="1935"/>
      <c r="H22" s="1935"/>
      <c r="I22" s="1935"/>
      <c r="J22" s="1935"/>
      <c r="K22" s="1935"/>
      <c r="L22" s="1935"/>
      <c r="M22" s="1935"/>
      <c r="N22" s="1935"/>
      <c r="O22" s="1935"/>
      <c r="P22" s="1935"/>
      <c r="Q22" s="1935"/>
      <c r="R22" s="1935"/>
      <c r="S22" s="1935"/>
      <c r="T22" s="1935"/>
      <c r="U22" s="1935"/>
      <c r="V22" s="1935"/>
      <c r="W22" s="1935"/>
      <c r="X22" s="1935">
        <f>W22</f>
        <v>0</v>
      </c>
      <c r="Y22" s="1935"/>
    </row>
    <row r="23" spans="1:33" s="359" customFormat="1" ht="11.25" x14ac:dyDescent="0.2">
      <c r="A23" s="1932"/>
      <c r="B23" s="1933" t="s">
        <v>563</v>
      </c>
      <c r="C23" s="1934">
        <f t="shared" ref="C23" si="15">G23+I23+K23+M23+O23+Q23+S23+U23+W23+Y23</f>
        <v>1100</v>
      </c>
      <c r="D23" s="1934">
        <f t="shared" si="6"/>
        <v>1100</v>
      </c>
      <c r="E23" s="1934"/>
      <c r="F23" s="1934"/>
      <c r="G23" s="1935"/>
      <c r="H23" s="1935"/>
      <c r="I23" s="1935"/>
      <c r="J23" s="1935"/>
      <c r="K23" s="1935"/>
      <c r="L23" s="1935"/>
      <c r="M23" s="1935"/>
      <c r="N23" s="1935"/>
      <c r="O23" s="1935"/>
      <c r="P23" s="1935"/>
      <c r="Q23" s="1935"/>
      <c r="R23" s="1935"/>
      <c r="S23" s="1935"/>
      <c r="T23" s="1935"/>
      <c r="U23" s="1935"/>
      <c r="V23" s="1935"/>
      <c r="W23" s="1935">
        <v>1100</v>
      </c>
      <c r="X23" s="1935">
        <f>W23</f>
        <v>1100</v>
      </c>
      <c r="Y23" s="1935"/>
    </row>
    <row r="24" spans="1:33" s="363" customFormat="1" ht="21" x14ac:dyDescent="0.15">
      <c r="A24" s="1928">
        <v>4</v>
      </c>
      <c r="B24" s="1931" t="s">
        <v>568</v>
      </c>
      <c r="C24" s="1930">
        <f>SUM(C25:C29)</f>
        <v>193000</v>
      </c>
      <c r="D24" s="1930">
        <f t="shared" ref="D24:F24" si="16">SUM(D25:D28)</f>
        <v>193000</v>
      </c>
      <c r="E24" s="1930">
        <f t="shared" si="16"/>
        <v>0</v>
      </c>
      <c r="F24" s="1930">
        <f t="shared" si="16"/>
        <v>0</v>
      </c>
      <c r="G24" s="1930">
        <f>SUM(G25:G28)</f>
        <v>25800</v>
      </c>
      <c r="H24" s="1930">
        <f>SUM(H25:H28)</f>
        <v>25400</v>
      </c>
      <c r="I24" s="1930">
        <f t="shared" ref="I24:W24" si="17">SUM(I25:I28)</f>
        <v>5735</v>
      </c>
      <c r="J24" s="1930">
        <f>SUM(J25:J28)</f>
        <v>5720</v>
      </c>
      <c r="K24" s="1930">
        <f t="shared" si="17"/>
        <v>4280</v>
      </c>
      <c r="L24" s="1930">
        <f t="shared" si="17"/>
        <v>4250</v>
      </c>
      <c r="M24" s="1930">
        <f t="shared" si="17"/>
        <v>33340</v>
      </c>
      <c r="N24" s="1930">
        <f t="shared" si="17"/>
        <v>33330</v>
      </c>
      <c r="O24" s="1930">
        <f t="shared" si="17"/>
        <v>5520</v>
      </c>
      <c r="P24" s="1930">
        <f t="shared" si="17"/>
        <v>5500</v>
      </c>
      <c r="Q24" s="1930">
        <f t="shared" si="17"/>
        <v>7600</v>
      </c>
      <c r="R24" s="1930">
        <f t="shared" si="17"/>
        <v>7600</v>
      </c>
      <c r="S24" s="1930">
        <f t="shared" si="17"/>
        <v>9450</v>
      </c>
      <c r="T24" s="1930">
        <f t="shared" si="17"/>
        <v>9450</v>
      </c>
      <c r="U24" s="1930">
        <f t="shared" si="17"/>
        <v>2150</v>
      </c>
      <c r="V24" s="1930">
        <f t="shared" si="17"/>
        <v>2150</v>
      </c>
      <c r="W24" s="1930">
        <f t="shared" si="17"/>
        <v>99125</v>
      </c>
      <c r="X24" s="1930">
        <f>SUM(X25:X28)</f>
        <v>99600</v>
      </c>
      <c r="Y24" s="1930"/>
    </row>
    <row r="25" spans="1:33" s="359" customFormat="1" ht="11.25" x14ac:dyDescent="0.2">
      <c r="A25" s="1932"/>
      <c r="B25" s="1933" t="s">
        <v>561</v>
      </c>
      <c r="C25" s="1934">
        <f>G25+I25+K25+M25+O25+Q25+S25+U25+W25+Y25</f>
        <v>10500</v>
      </c>
      <c r="D25" s="1934">
        <f t="shared" si="6"/>
        <v>10500</v>
      </c>
      <c r="E25" s="1934"/>
      <c r="F25" s="1934"/>
      <c r="G25" s="1935">
        <v>1000</v>
      </c>
      <c r="H25" s="1935">
        <f>G25</f>
        <v>1000</v>
      </c>
      <c r="I25" s="1935">
        <v>20</v>
      </c>
      <c r="J25" s="1935">
        <f>I25</f>
        <v>20</v>
      </c>
      <c r="K25" s="1935">
        <v>250</v>
      </c>
      <c r="L25" s="1935">
        <f>K25</f>
        <v>250</v>
      </c>
      <c r="M25" s="1935">
        <v>230</v>
      </c>
      <c r="N25" s="1935">
        <f>M25</f>
        <v>230</v>
      </c>
      <c r="O25" s="1935">
        <v>250</v>
      </c>
      <c r="P25" s="1935">
        <f>O25</f>
        <v>250</v>
      </c>
      <c r="Q25" s="1935">
        <v>850</v>
      </c>
      <c r="R25" s="1935">
        <f>Q25</f>
        <v>850</v>
      </c>
      <c r="S25" s="1935">
        <v>150</v>
      </c>
      <c r="T25" s="1935">
        <f>S25</f>
        <v>150</v>
      </c>
      <c r="U25" s="1935">
        <v>50</v>
      </c>
      <c r="V25" s="1935">
        <f>U25</f>
        <v>50</v>
      </c>
      <c r="W25" s="1935">
        <v>7700</v>
      </c>
      <c r="X25" s="1935">
        <f>W25</f>
        <v>7700</v>
      </c>
      <c r="Y25" s="1935"/>
    </row>
    <row r="26" spans="1:33" s="359" customFormat="1" ht="11.25" x14ac:dyDescent="0.2">
      <c r="A26" s="1932"/>
      <c r="B26" s="1933" t="s">
        <v>562</v>
      </c>
      <c r="C26" s="1934">
        <f t="shared" ref="C26:C37" si="18">G26+I26+K26+M26+O26+Q26+S26+U26+W26+Y26</f>
        <v>32000</v>
      </c>
      <c r="D26" s="1934">
        <f t="shared" si="6"/>
        <v>32000</v>
      </c>
      <c r="E26" s="1934"/>
      <c r="F26" s="1934"/>
      <c r="G26" s="1935">
        <v>1000</v>
      </c>
      <c r="H26" s="1935">
        <f t="shared" ref="H26:H27" si="19">G26</f>
        <v>1000</v>
      </c>
      <c r="I26" s="1935">
        <v>1700</v>
      </c>
      <c r="J26" s="1935">
        <f t="shared" ref="J26:J27" si="20">I26</f>
        <v>1700</v>
      </c>
      <c r="K26" s="1935">
        <v>900</v>
      </c>
      <c r="L26" s="1935">
        <f t="shared" ref="L26:L27" si="21">K26</f>
        <v>900</v>
      </c>
      <c r="M26" s="1935">
        <v>19200</v>
      </c>
      <c r="N26" s="1935">
        <f t="shared" ref="N26:N27" si="22">M26</f>
        <v>19200</v>
      </c>
      <c r="O26" s="1935">
        <v>1350</v>
      </c>
      <c r="P26" s="1935">
        <f t="shared" ref="P26:P27" si="23">O26</f>
        <v>1350</v>
      </c>
      <c r="Q26" s="1935">
        <v>4300</v>
      </c>
      <c r="R26" s="1935">
        <f t="shared" ref="R26:R27" si="24">Q26</f>
        <v>4300</v>
      </c>
      <c r="S26" s="1935">
        <v>3500</v>
      </c>
      <c r="T26" s="1935">
        <f t="shared" ref="T26:T27" si="25">S26</f>
        <v>3500</v>
      </c>
      <c r="U26" s="1935">
        <v>50</v>
      </c>
      <c r="V26" s="1935">
        <f t="shared" ref="V26:V27" si="26">U26</f>
        <v>50</v>
      </c>
      <c r="W26" s="1935">
        <v>0</v>
      </c>
      <c r="X26" s="1935">
        <f t="shared" ref="X26" si="27">W26</f>
        <v>0</v>
      </c>
      <c r="Y26" s="1935"/>
    </row>
    <row r="27" spans="1:33" s="359" customFormat="1" ht="11.25" x14ac:dyDescent="0.2">
      <c r="A27" s="1932"/>
      <c r="B27" s="1933" t="s">
        <v>563</v>
      </c>
      <c r="C27" s="1934">
        <f t="shared" si="18"/>
        <v>150000</v>
      </c>
      <c r="D27" s="1934">
        <f t="shared" si="6"/>
        <v>150000</v>
      </c>
      <c r="E27" s="1934"/>
      <c r="F27" s="1934"/>
      <c r="G27" s="1935">
        <v>23400</v>
      </c>
      <c r="H27" s="1935">
        <f t="shared" si="19"/>
        <v>23400</v>
      </c>
      <c r="I27" s="1935">
        <v>4000</v>
      </c>
      <c r="J27" s="1935">
        <f t="shared" si="20"/>
        <v>4000</v>
      </c>
      <c r="K27" s="1935">
        <v>3100</v>
      </c>
      <c r="L27" s="1935">
        <f t="shared" si="21"/>
        <v>3100</v>
      </c>
      <c r="M27" s="1935">
        <v>13900</v>
      </c>
      <c r="N27" s="1935">
        <f t="shared" si="22"/>
        <v>13900</v>
      </c>
      <c r="O27" s="1935">
        <v>3900</v>
      </c>
      <c r="P27" s="1935">
        <f t="shared" si="23"/>
        <v>3900</v>
      </c>
      <c r="Q27" s="1935">
        <v>2450</v>
      </c>
      <c r="R27" s="1935">
        <f t="shared" si="24"/>
        <v>2450</v>
      </c>
      <c r="S27" s="1935">
        <v>5800</v>
      </c>
      <c r="T27" s="1935">
        <f t="shared" si="25"/>
        <v>5800</v>
      </c>
      <c r="U27" s="1935">
        <v>2050</v>
      </c>
      <c r="V27" s="1935">
        <f t="shared" si="26"/>
        <v>2050</v>
      </c>
      <c r="W27" s="1935">
        <v>91400</v>
      </c>
      <c r="X27" s="1935">
        <f>W27</f>
        <v>91400</v>
      </c>
      <c r="Y27" s="1935"/>
    </row>
    <row r="28" spans="1:33" s="359" customFormat="1" ht="11.25" x14ac:dyDescent="0.2">
      <c r="A28" s="1932"/>
      <c r="B28" s="1933" t="s">
        <v>566</v>
      </c>
      <c r="C28" s="1934">
        <f t="shared" si="18"/>
        <v>500</v>
      </c>
      <c r="D28" s="1934">
        <f>H28+J28+L28+N28+P28+R28+T28+V28+X28</f>
        <v>500</v>
      </c>
      <c r="E28" s="1934"/>
      <c r="F28" s="1934"/>
      <c r="G28" s="1935">
        <v>400</v>
      </c>
      <c r="H28" s="1935"/>
      <c r="I28" s="1935">
        <v>15</v>
      </c>
      <c r="J28" s="1935"/>
      <c r="K28" s="1935">
        <v>30</v>
      </c>
      <c r="L28" s="1935"/>
      <c r="M28" s="1935">
        <v>10</v>
      </c>
      <c r="N28" s="1935">
        <v>0</v>
      </c>
      <c r="O28" s="1935">
        <v>20</v>
      </c>
      <c r="P28" s="1935">
        <v>0</v>
      </c>
      <c r="Q28" s="1935">
        <v>0</v>
      </c>
      <c r="R28" s="1935">
        <v>0</v>
      </c>
      <c r="S28" s="1935">
        <v>0</v>
      </c>
      <c r="T28" s="1935">
        <v>0</v>
      </c>
      <c r="U28" s="1935">
        <v>0</v>
      </c>
      <c r="V28" s="1935">
        <v>0</v>
      </c>
      <c r="W28" s="1935">
        <v>25</v>
      </c>
      <c r="X28" s="1935">
        <f>C28</f>
        <v>500</v>
      </c>
      <c r="Y28" s="1935"/>
    </row>
    <row r="29" spans="1:33" s="359" customFormat="1" ht="11.25" x14ac:dyDescent="0.2">
      <c r="A29" s="1932"/>
      <c r="B29" s="1933" t="s">
        <v>564</v>
      </c>
      <c r="C29" s="1934"/>
      <c r="D29" s="1934">
        <f t="shared" si="6"/>
        <v>0</v>
      </c>
      <c r="E29" s="1934"/>
      <c r="F29" s="1934"/>
      <c r="G29" s="1935"/>
      <c r="H29" s="1935"/>
      <c r="I29" s="1935"/>
      <c r="J29" s="1935"/>
      <c r="K29" s="1935"/>
      <c r="L29" s="1935"/>
      <c r="M29" s="1935"/>
      <c r="N29" s="1935"/>
      <c r="O29" s="1935"/>
      <c r="P29" s="1935"/>
      <c r="Q29" s="1935"/>
      <c r="R29" s="1935"/>
      <c r="S29" s="1935"/>
      <c r="T29" s="1935"/>
      <c r="U29" s="1935"/>
      <c r="V29" s="1935"/>
      <c r="W29" s="1935"/>
      <c r="X29" s="1935"/>
      <c r="Y29" s="1935"/>
    </row>
    <row r="30" spans="1:33" s="363" customFormat="1" ht="10.5" x14ac:dyDescent="0.15">
      <c r="A30" s="1928">
        <v>5</v>
      </c>
      <c r="B30" s="1931" t="s">
        <v>230</v>
      </c>
      <c r="C30" s="1936">
        <f t="shared" si="18"/>
        <v>28000</v>
      </c>
      <c r="D30" s="1936">
        <f t="shared" si="6"/>
        <v>28000</v>
      </c>
      <c r="E30" s="1936"/>
      <c r="F30" s="1936"/>
      <c r="G30" s="1930">
        <v>10650</v>
      </c>
      <c r="H30" s="1930">
        <f>G30</f>
        <v>10650</v>
      </c>
      <c r="I30" s="1930">
        <v>860</v>
      </c>
      <c r="J30" s="1930">
        <f>I30</f>
        <v>860</v>
      </c>
      <c r="K30" s="1930">
        <v>1200</v>
      </c>
      <c r="L30" s="1930">
        <f>K30</f>
        <v>1200</v>
      </c>
      <c r="M30" s="1930">
        <v>1650</v>
      </c>
      <c r="N30" s="1930">
        <f>M30</f>
        <v>1650</v>
      </c>
      <c r="O30" s="1930">
        <v>2000</v>
      </c>
      <c r="P30" s="1930">
        <f>O30</f>
        <v>2000</v>
      </c>
      <c r="Q30" s="1930">
        <v>740</v>
      </c>
      <c r="R30" s="1930">
        <f>Q30</f>
        <v>740</v>
      </c>
      <c r="S30" s="1930">
        <v>1470</v>
      </c>
      <c r="T30" s="1930">
        <f>S30</f>
        <v>1470</v>
      </c>
      <c r="U30" s="1930">
        <v>630</v>
      </c>
      <c r="V30" s="1930">
        <f>U30</f>
        <v>630</v>
      </c>
      <c r="W30" s="1930">
        <v>8800</v>
      </c>
      <c r="X30" s="1930">
        <f>W30</f>
        <v>8800</v>
      </c>
      <c r="Y30" s="1930"/>
    </row>
    <row r="31" spans="1:33" s="363" customFormat="1" ht="10.5" x14ac:dyDescent="0.15">
      <c r="A31" s="1928">
        <v>6</v>
      </c>
      <c r="B31" s="1931" t="s">
        <v>2430</v>
      </c>
      <c r="C31" s="1936">
        <f t="shared" si="18"/>
        <v>3300</v>
      </c>
      <c r="D31" s="1936">
        <f t="shared" si="6"/>
        <v>3300</v>
      </c>
      <c r="E31" s="1936"/>
      <c r="F31" s="1936"/>
      <c r="G31" s="1930">
        <v>250</v>
      </c>
      <c r="H31" s="1930">
        <f>G31</f>
        <v>250</v>
      </c>
      <c r="I31" s="1930">
        <v>400</v>
      </c>
      <c r="J31" s="1930">
        <f>I31</f>
        <v>400</v>
      </c>
      <c r="K31" s="1930">
        <v>700</v>
      </c>
      <c r="L31" s="1930">
        <f>K31</f>
        <v>700</v>
      </c>
      <c r="M31" s="1930">
        <v>550</v>
      </c>
      <c r="N31" s="1930">
        <f>M31</f>
        <v>550</v>
      </c>
      <c r="O31" s="1930">
        <v>380</v>
      </c>
      <c r="P31" s="1930">
        <f t="shared" ref="P31:P33" si="28">O31</f>
        <v>380</v>
      </c>
      <c r="Q31" s="1930">
        <v>340</v>
      </c>
      <c r="R31" s="1930">
        <f t="shared" ref="R31:R33" si="29">Q31</f>
        <v>340</v>
      </c>
      <c r="S31" s="1930">
        <v>400</v>
      </c>
      <c r="T31" s="1930">
        <f>S31</f>
        <v>400</v>
      </c>
      <c r="U31" s="1930">
        <v>280</v>
      </c>
      <c r="V31" s="1930">
        <f t="shared" ref="V31" si="30">U31</f>
        <v>280</v>
      </c>
      <c r="W31" s="1930">
        <v>0</v>
      </c>
      <c r="X31" s="1930">
        <f t="shared" ref="X31:X49" si="31">W31</f>
        <v>0</v>
      </c>
      <c r="Y31" s="1930"/>
    </row>
    <row r="32" spans="1:33" s="363" customFormat="1" ht="10.5" x14ac:dyDescent="0.15">
      <c r="A32" s="1928">
        <v>7</v>
      </c>
      <c r="B32" s="1931" t="s">
        <v>239</v>
      </c>
      <c r="C32" s="1936">
        <f t="shared" si="18"/>
        <v>78000</v>
      </c>
      <c r="D32" s="1936">
        <f>H32+J32+L32+N32+P32+R32+T32+V32+X32</f>
        <v>78000</v>
      </c>
      <c r="E32" s="1936"/>
      <c r="F32" s="1936"/>
      <c r="G32" s="1930">
        <v>52500</v>
      </c>
      <c r="H32" s="1930">
        <f>G32*0.9</f>
        <v>47250</v>
      </c>
      <c r="I32" s="1930">
        <f>2000-300</f>
        <v>1700</v>
      </c>
      <c r="J32" s="1930">
        <f>I32*0.9</f>
        <v>1530</v>
      </c>
      <c r="K32" s="1930">
        <f>2500-200</f>
        <v>2300</v>
      </c>
      <c r="L32" s="1930">
        <f>K32*0.9</f>
        <v>2070</v>
      </c>
      <c r="M32" s="1930">
        <v>5000</v>
      </c>
      <c r="N32" s="1930">
        <f>M32*0.9</f>
        <v>4500</v>
      </c>
      <c r="O32" s="1930">
        <f>3500-500</f>
        <v>3000</v>
      </c>
      <c r="P32" s="1930">
        <f>O32*0.9</f>
        <v>2700</v>
      </c>
      <c r="Q32" s="1930">
        <v>500</v>
      </c>
      <c r="R32" s="1930">
        <f>Q32*0.9</f>
        <v>450</v>
      </c>
      <c r="S32" s="1930">
        <v>10000</v>
      </c>
      <c r="T32" s="1930">
        <f>S32*0.9</f>
        <v>9000</v>
      </c>
      <c r="U32" s="1930">
        <v>3000</v>
      </c>
      <c r="V32" s="1930">
        <f>U32*0.9</f>
        <v>2700</v>
      </c>
      <c r="W32" s="1930">
        <v>0</v>
      </c>
      <c r="X32" s="1930">
        <v>7800</v>
      </c>
      <c r="Y32" s="1930"/>
      <c r="AC32" s="368">
        <f>V32+T32+R32+P32+N32+L32+J32+H32</f>
        <v>70200</v>
      </c>
      <c r="AD32" s="368">
        <f>64000-X32</f>
        <v>56200</v>
      </c>
      <c r="AG32" s="363">
        <v>78000</v>
      </c>
    </row>
    <row r="33" spans="1:33" s="363" customFormat="1" ht="12.75" customHeight="1" x14ac:dyDescent="0.15">
      <c r="A33" s="1928">
        <v>8</v>
      </c>
      <c r="B33" s="1931" t="s">
        <v>237</v>
      </c>
      <c r="C33" s="1936">
        <f t="shared" si="18"/>
        <v>600</v>
      </c>
      <c r="D33" s="1936">
        <f t="shared" si="6"/>
        <v>600</v>
      </c>
      <c r="E33" s="1936"/>
      <c r="F33" s="1936"/>
      <c r="G33" s="1930">
        <v>330</v>
      </c>
      <c r="H33" s="1930">
        <f>G33</f>
        <v>330</v>
      </c>
      <c r="I33" s="1930">
        <v>30</v>
      </c>
      <c r="J33" s="1930">
        <f>I33</f>
        <v>30</v>
      </c>
      <c r="K33" s="1930">
        <v>30</v>
      </c>
      <c r="L33" s="1930">
        <f>K33</f>
        <v>30</v>
      </c>
      <c r="M33" s="1930">
        <v>150</v>
      </c>
      <c r="N33" s="1930">
        <f>M33</f>
        <v>150</v>
      </c>
      <c r="O33" s="1930">
        <v>20</v>
      </c>
      <c r="P33" s="1930">
        <f t="shared" si="28"/>
        <v>20</v>
      </c>
      <c r="Q33" s="1930">
        <v>20</v>
      </c>
      <c r="R33" s="1930">
        <f t="shared" si="29"/>
        <v>20</v>
      </c>
      <c r="S33" s="1930">
        <v>20</v>
      </c>
      <c r="T33" s="1930">
        <f>S33</f>
        <v>20</v>
      </c>
      <c r="U33" s="1930"/>
      <c r="V33" s="1930">
        <v>0</v>
      </c>
      <c r="W33" s="1930">
        <v>0</v>
      </c>
      <c r="X33" s="1930">
        <f t="shared" si="31"/>
        <v>0</v>
      </c>
      <c r="Y33" s="1930"/>
      <c r="AC33" s="368">
        <f>64000-AC32</f>
        <v>-6200</v>
      </c>
      <c r="AG33" s="363">
        <f>AG32*10%</f>
        <v>7800</v>
      </c>
    </row>
    <row r="34" spans="1:33" s="363" customFormat="1" ht="15" customHeight="1" x14ac:dyDescent="0.15">
      <c r="A34" s="1928">
        <v>9</v>
      </c>
      <c r="B34" s="1931" t="s">
        <v>238</v>
      </c>
      <c r="C34" s="1936">
        <f t="shared" si="18"/>
        <v>12000</v>
      </c>
      <c r="D34" s="1936">
        <f t="shared" si="6"/>
        <v>12000</v>
      </c>
      <c r="E34" s="1936"/>
      <c r="F34" s="1936"/>
      <c r="G34" s="1930">
        <v>0</v>
      </c>
      <c r="H34" s="1930">
        <v>0</v>
      </c>
      <c r="I34" s="1930">
        <v>0</v>
      </c>
      <c r="J34" s="1930">
        <v>0</v>
      </c>
      <c r="K34" s="1930">
        <v>0</v>
      </c>
      <c r="L34" s="1930">
        <v>0</v>
      </c>
      <c r="M34" s="1930">
        <v>0</v>
      </c>
      <c r="N34" s="1930">
        <v>0</v>
      </c>
      <c r="O34" s="1930"/>
      <c r="P34" s="1930">
        <v>0</v>
      </c>
      <c r="Q34" s="1930"/>
      <c r="R34" s="1930">
        <v>0</v>
      </c>
      <c r="S34" s="1930"/>
      <c r="T34" s="1930">
        <v>0</v>
      </c>
      <c r="U34" s="1930"/>
      <c r="V34" s="1930">
        <v>0</v>
      </c>
      <c r="W34" s="1930">
        <v>12000</v>
      </c>
      <c r="X34" s="1930">
        <f t="shared" si="31"/>
        <v>12000</v>
      </c>
      <c r="Y34" s="1930"/>
    </row>
    <row r="35" spans="1:33" s="363" customFormat="1" ht="10.5" x14ac:dyDescent="0.15">
      <c r="A35" s="1928">
        <v>10</v>
      </c>
      <c r="B35" s="1931" t="s">
        <v>248</v>
      </c>
      <c r="C35" s="1936">
        <f t="shared" si="18"/>
        <v>110500</v>
      </c>
      <c r="D35" s="1936">
        <f>C35*37.2%</f>
        <v>41106.000000000007</v>
      </c>
      <c r="E35" s="1936"/>
      <c r="F35" s="1936"/>
      <c r="G35" s="1930">
        <v>0</v>
      </c>
      <c r="H35" s="1930">
        <v>0</v>
      </c>
      <c r="I35" s="1930">
        <v>0</v>
      </c>
      <c r="J35" s="1930">
        <v>0</v>
      </c>
      <c r="K35" s="1930">
        <v>0</v>
      </c>
      <c r="L35" s="1930">
        <v>0</v>
      </c>
      <c r="M35" s="1930">
        <v>0</v>
      </c>
      <c r="N35" s="1930">
        <v>0</v>
      </c>
      <c r="O35" s="1930">
        <v>0</v>
      </c>
      <c r="P35" s="1930">
        <v>0</v>
      </c>
      <c r="Q35" s="1930"/>
      <c r="R35" s="1930">
        <v>0</v>
      </c>
      <c r="S35" s="1930"/>
      <c r="T35" s="1930">
        <v>0</v>
      </c>
      <c r="U35" s="1930"/>
      <c r="V35" s="1930">
        <v>0</v>
      </c>
      <c r="W35" s="1930">
        <v>110500</v>
      </c>
      <c r="X35" s="1930">
        <f>D35</f>
        <v>41106.000000000007</v>
      </c>
      <c r="Y35" s="1930"/>
    </row>
    <row r="36" spans="1:33" s="359" customFormat="1" ht="22.5" hidden="1" x14ac:dyDescent="0.2">
      <c r="A36" s="1932"/>
      <c r="B36" s="1937" t="s">
        <v>569</v>
      </c>
      <c r="C36" s="1936">
        <f t="shared" si="18"/>
        <v>0</v>
      </c>
      <c r="D36" s="1936">
        <f t="shared" si="6"/>
        <v>0</v>
      </c>
      <c r="E36" s="1934"/>
      <c r="F36" s="1934"/>
      <c r="G36" s="1935"/>
      <c r="H36" s="1935"/>
      <c r="I36" s="1935"/>
      <c r="J36" s="1935"/>
      <c r="K36" s="1935"/>
      <c r="L36" s="1935"/>
      <c r="M36" s="1935"/>
      <c r="N36" s="1935"/>
      <c r="O36" s="1935"/>
      <c r="P36" s="1935"/>
      <c r="Q36" s="1935"/>
      <c r="R36" s="1935"/>
      <c r="S36" s="1935"/>
      <c r="T36" s="1935"/>
      <c r="U36" s="1935"/>
      <c r="V36" s="1935"/>
      <c r="W36" s="1935"/>
      <c r="X36" s="1930">
        <f t="shared" si="31"/>
        <v>0</v>
      </c>
      <c r="Y36" s="1935"/>
    </row>
    <row r="37" spans="1:33" s="359" customFormat="1" ht="22.5" hidden="1" x14ac:dyDescent="0.2">
      <c r="A37" s="1932"/>
      <c r="B37" s="1937" t="s">
        <v>570</v>
      </c>
      <c r="C37" s="1936">
        <f t="shared" si="18"/>
        <v>0</v>
      </c>
      <c r="D37" s="1936">
        <f t="shared" si="6"/>
        <v>0</v>
      </c>
      <c r="E37" s="1934"/>
      <c r="F37" s="1934"/>
      <c r="G37" s="1935"/>
      <c r="H37" s="1935"/>
      <c r="I37" s="1935"/>
      <c r="J37" s="1935"/>
      <c r="K37" s="1935"/>
      <c r="L37" s="1935"/>
      <c r="M37" s="1935"/>
      <c r="N37" s="1935"/>
      <c r="O37" s="1935"/>
      <c r="P37" s="1935"/>
      <c r="Q37" s="1935"/>
      <c r="R37" s="1935"/>
      <c r="S37" s="1935"/>
      <c r="T37" s="1935"/>
      <c r="U37" s="1935"/>
      <c r="V37" s="1935"/>
      <c r="W37" s="1935"/>
      <c r="X37" s="1930">
        <f t="shared" si="31"/>
        <v>0</v>
      </c>
      <c r="Y37" s="1935"/>
    </row>
    <row r="38" spans="1:33" s="363" customFormat="1" ht="10.5" x14ac:dyDescent="0.15">
      <c r="A38" s="1928">
        <v>11</v>
      </c>
      <c r="B38" s="1931" t="s">
        <v>231</v>
      </c>
      <c r="C38" s="1936">
        <f>G38+I38+K38+M38+O38+Q38+S38+U38+W38+Y38</f>
        <v>35600</v>
      </c>
      <c r="D38" s="1936">
        <f t="shared" si="6"/>
        <v>35600</v>
      </c>
      <c r="E38" s="1930">
        <f t="shared" ref="E38:F38" si="32">E39+E40</f>
        <v>0</v>
      </c>
      <c r="F38" s="1930">
        <f t="shared" si="32"/>
        <v>0</v>
      </c>
      <c r="G38" s="1930">
        <v>17200</v>
      </c>
      <c r="H38" s="1930">
        <f>G38</f>
        <v>17200</v>
      </c>
      <c r="I38" s="1930">
        <v>1600</v>
      </c>
      <c r="J38" s="1930">
        <f>I38</f>
        <v>1600</v>
      </c>
      <c r="K38" s="1930">
        <v>2600</v>
      </c>
      <c r="L38" s="1930">
        <f>K38</f>
        <v>2600</v>
      </c>
      <c r="M38" s="1930">
        <v>3200</v>
      </c>
      <c r="N38" s="1930">
        <f>M38</f>
        <v>3200</v>
      </c>
      <c r="O38" s="1930">
        <v>3600</v>
      </c>
      <c r="P38" s="1930">
        <f>O38</f>
        <v>3600</v>
      </c>
      <c r="Q38" s="1930">
        <v>2200</v>
      </c>
      <c r="R38" s="1930">
        <f>Q38</f>
        <v>2200</v>
      </c>
      <c r="S38" s="1930">
        <v>4000</v>
      </c>
      <c r="T38" s="1930">
        <f>S38</f>
        <v>4000</v>
      </c>
      <c r="U38" s="1930">
        <v>1200</v>
      </c>
      <c r="V38" s="1930">
        <f>U38</f>
        <v>1200</v>
      </c>
      <c r="W38" s="1930">
        <f t="shared" ref="W38" si="33">W39+W40</f>
        <v>0</v>
      </c>
      <c r="X38" s="1930">
        <f t="shared" si="31"/>
        <v>0</v>
      </c>
      <c r="Y38" s="1930"/>
    </row>
    <row r="39" spans="1:33" s="359" customFormat="1" ht="11.25" x14ac:dyDescent="0.2">
      <c r="A39" s="1932"/>
      <c r="B39" s="1937" t="s">
        <v>571</v>
      </c>
      <c r="C39" s="1934">
        <f>G39+I39+K39+M39+O39+Q39+S39+U39+W39+Y39</f>
        <v>2100</v>
      </c>
      <c r="D39" s="1934">
        <f t="shared" si="6"/>
        <v>2100</v>
      </c>
      <c r="E39" s="1934"/>
      <c r="F39" s="1934"/>
      <c r="G39" s="1935">
        <v>1400</v>
      </c>
      <c r="H39" s="1935">
        <f>G39</f>
        <v>1400</v>
      </c>
      <c r="I39" s="1935">
        <v>80</v>
      </c>
      <c r="J39" s="1935">
        <f>I39</f>
        <v>80</v>
      </c>
      <c r="K39" s="1935">
        <v>90</v>
      </c>
      <c r="L39" s="1935">
        <f>K39</f>
        <v>90</v>
      </c>
      <c r="M39" s="1935">
        <v>120</v>
      </c>
      <c r="N39" s="1935">
        <f>M39</f>
        <v>120</v>
      </c>
      <c r="O39" s="1935">
        <v>200</v>
      </c>
      <c r="P39" s="1935">
        <f>O39</f>
        <v>200</v>
      </c>
      <c r="Q39" s="1935">
        <v>40</v>
      </c>
      <c r="R39" s="1935">
        <f>Q39</f>
        <v>40</v>
      </c>
      <c r="S39" s="1935">
        <v>100</v>
      </c>
      <c r="T39" s="1935">
        <f>S39</f>
        <v>100</v>
      </c>
      <c r="U39" s="1935">
        <v>70</v>
      </c>
      <c r="V39" s="1935">
        <f>U39</f>
        <v>70</v>
      </c>
      <c r="W39" s="1935"/>
      <c r="X39" s="1930">
        <f t="shared" si="31"/>
        <v>0</v>
      </c>
      <c r="Y39" s="1935"/>
    </row>
    <row r="40" spans="1:33" s="363" customFormat="1" ht="11.25" x14ac:dyDescent="0.2">
      <c r="A40" s="1932"/>
      <c r="B40" s="1937" t="s">
        <v>572</v>
      </c>
      <c r="C40" s="1934">
        <f t="shared" ref="C40" si="34">G40+I40+K40+M40+O40+Q40+S40+U40+W40+Y40</f>
        <v>33500</v>
      </c>
      <c r="D40" s="1934">
        <f t="shared" si="6"/>
        <v>33500</v>
      </c>
      <c r="E40" s="1934"/>
      <c r="F40" s="1934"/>
      <c r="G40" s="1935">
        <v>15800</v>
      </c>
      <c r="H40" s="1935">
        <f>G40</f>
        <v>15800</v>
      </c>
      <c r="I40" s="1935">
        <v>1520</v>
      </c>
      <c r="J40" s="1935">
        <f>I40</f>
        <v>1520</v>
      </c>
      <c r="K40" s="1935">
        <v>2510</v>
      </c>
      <c r="L40" s="1935">
        <f>K40</f>
        <v>2510</v>
      </c>
      <c r="M40" s="1935">
        <v>3080</v>
      </c>
      <c r="N40" s="1935">
        <f>M40</f>
        <v>3080</v>
      </c>
      <c r="O40" s="1935">
        <v>3400</v>
      </c>
      <c r="P40" s="1935">
        <f>O40</f>
        <v>3400</v>
      </c>
      <c r="Q40" s="1935">
        <v>2160</v>
      </c>
      <c r="R40" s="1935">
        <f>Q40</f>
        <v>2160</v>
      </c>
      <c r="S40" s="1935">
        <v>3900</v>
      </c>
      <c r="T40" s="1935">
        <f>S40</f>
        <v>3900</v>
      </c>
      <c r="U40" s="1935">
        <v>1130</v>
      </c>
      <c r="V40" s="1935">
        <f>U40</f>
        <v>1130</v>
      </c>
      <c r="W40" s="1935"/>
      <c r="X40" s="1930">
        <f t="shared" si="31"/>
        <v>0</v>
      </c>
      <c r="Y40" s="1935"/>
    </row>
    <row r="41" spans="1:33" s="363" customFormat="1" ht="10.5" customHeight="1" x14ac:dyDescent="0.15">
      <c r="A41" s="1928">
        <v>12</v>
      </c>
      <c r="B41" s="1931" t="s">
        <v>249</v>
      </c>
      <c r="C41" s="1936">
        <f t="shared" ref="C41:C49" si="35">G41+I41+K41+M41+O41+Q41+S41+U41+W41+Y41</f>
        <v>74000</v>
      </c>
      <c r="D41" s="1936">
        <f>H41+J41+L41+N41+P41+R41+T41+V41+X41</f>
        <v>70350</v>
      </c>
      <c r="E41" s="1936"/>
      <c r="F41" s="1936"/>
      <c r="G41" s="1930">
        <v>2400</v>
      </c>
      <c r="H41" s="1930">
        <f>G41-G67</f>
        <v>2400</v>
      </c>
      <c r="I41" s="1930">
        <v>1120</v>
      </c>
      <c r="J41" s="1930">
        <f>I41-I67</f>
        <v>1020</v>
      </c>
      <c r="K41" s="1930">
        <v>1570</v>
      </c>
      <c r="L41" s="1930">
        <f>K41-K67</f>
        <v>1470</v>
      </c>
      <c r="M41" s="1930">
        <v>56500</v>
      </c>
      <c r="N41" s="1930">
        <f>M41-M67</f>
        <v>56400</v>
      </c>
      <c r="O41" s="1930">
        <v>1700</v>
      </c>
      <c r="P41" s="1930">
        <f>O41-O67</f>
        <v>1600</v>
      </c>
      <c r="Q41" s="1930">
        <v>1900</v>
      </c>
      <c r="R41" s="1930">
        <f>Q41-Q67</f>
        <v>1800</v>
      </c>
      <c r="S41" s="1930">
        <v>3800</v>
      </c>
      <c r="T41" s="1930">
        <f>S41-S67</f>
        <v>3700</v>
      </c>
      <c r="U41" s="1930">
        <v>450</v>
      </c>
      <c r="V41" s="1930">
        <f>U41-U67</f>
        <v>400</v>
      </c>
      <c r="W41" s="1930">
        <v>4560</v>
      </c>
      <c r="X41" s="1930">
        <f>W41-W67</f>
        <v>1560</v>
      </c>
      <c r="Y41" s="1930"/>
    </row>
    <row r="42" spans="1:33" s="359" customFormat="1" ht="11.25" hidden="1" x14ac:dyDescent="0.2">
      <c r="A42" s="1932" t="s">
        <v>23</v>
      </c>
      <c r="B42" s="1937" t="s">
        <v>232</v>
      </c>
      <c r="C42" s="1936">
        <f t="shared" si="35"/>
        <v>0</v>
      </c>
      <c r="D42" s="1934">
        <f t="shared" ref="D42:D51" si="36">H42+J42+L42+N42+P42+R42+T42+V42+X42</f>
        <v>0</v>
      </c>
      <c r="E42" s="1934"/>
      <c r="F42" s="1934"/>
      <c r="G42" s="1935"/>
      <c r="H42" s="1935"/>
      <c r="I42" s="1935"/>
      <c r="J42" s="1935"/>
      <c r="K42" s="1935"/>
      <c r="L42" s="1935"/>
      <c r="M42" s="1935"/>
      <c r="N42" s="1935"/>
      <c r="O42" s="1935"/>
      <c r="P42" s="1935"/>
      <c r="Q42" s="1935"/>
      <c r="R42" s="1935"/>
      <c r="S42" s="1935"/>
      <c r="T42" s="1935"/>
      <c r="U42" s="1935"/>
      <c r="V42" s="1935"/>
      <c r="W42" s="1935"/>
      <c r="X42" s="1930">
        <f t="shared" si="31"/>
        <v>0</v>
      </c>
      <c r="Y42" s="1935"/>
    </row>
    <row r="43" spans="1:33" s="359" customFormat="1" ht="11.25" hidden="1" x14ac:dyDescent="0.2">
      <c r="A43" s="1932" t="s">
        <v>23</v>
      </c>
      <c r="B43" s="1937" t="s">
        <v>233</v>
      </c>
      <c r="C43" s="1936">
        <f t="shared" si="35"/>
        <v>0</v>
      </c>
      <c r="D43" s="1934">
        <f t="shared" si="36"/>
        <v>0</v>
      </c>
      <c r="E43" s="1934"/>
      <c r="F43" s="1934"/>
      <c r="G43" s="1935"/>
      <c r="H43" s="1935"/>
      <c r="I43" s="1935"/>
      <c r="J43" s="1935"/>
      <c r="K43" s="1935"/>
      <c r="L43" s="1935"/>
      <c r="M43" s="1935"/>
      <c r="N43" s="1935"/>
      <c r="O43" s="1935"/>
      <c r="P43" s="1935"/>
      <c r="Q43" s="1935"/>
      <c r="R43" s="1935"/>
      <c r="S43" s="1935"/>
      <c r="T43" s="1935"/>
      <c r="U43" s="1935"/>
      <c r="V43" s="1935"/>
      <c r="W43" s="1935"/>
      <c r="X43" s="1930">
        <f t="shared" si="31"/>
        <v>0</v>
      </c>
      <c r="Y43" s="1935"/>
    </row>
    <row r="44" spans="1:33" s="359" customFormat="1" ht="11.25" hidden="1" x14ac:dyDescent="0.2">
      <c r="A44" s="1932" t="s">
        <v>23</v>
      </c>
      <c r="B44" s="1937" t="s">
        <v>234</v>
      </c>
      <c r="C44" s="1936">
        <f t="shared" si="35"/>
        <v>0</v>
      </c>
      <c r="D44" s="1934">
        <f t="shared" si="36"/>
        <v>0</v>
      </c>
      <c r="E44" s="1934"/>
      <c r="F44" s="1934"/>
      <c r="G44" s="1935"/>
      <c r="H44" s="1935"/>
      <c r="I44" s="1935"/>
      <c r="J44" s="1935"/>
      <c r="K44" s="1935"/>
      <c r="L44" s="1935"/>
      <c r="M44" s="1935"/>
      <c r="N44" s="1935"/>
      <c r="O44" s="1935"/>
      <c r="P44" s="1935"/>
      <c r="Q44" s="1935"/>
      <c r="R44" s="1935"/>
      <c r="S44" s="1935"/>
      <c r="T44" s="1935"/>
      <c r="U44" s="1935"/>
      <c r="V44" s="1935"/>
      <c r="W44" s="1935"/>
      <c r="X44" s="1930">
        <f t="shared" si="31"/>
        <v>0</v>
      </c>
      <c r="Y44" s="1935"/>
    </row>
    <row r="45" spans="1:33" s="359" customFormat="1" ht="11.25" hidden="1" x14ac:dyDescent="0.2">
      <c r="A45" s="1932" t="s">
        <v>23</v>
      </c>
      <c r="B45" s="1937" t="s">
        <v>235</v>
      </c>
      <c r="C45" s="1936">
        <f t="shared" si="35"/>
        <v>0</v>
      </c>
      <c r="D45" s="1934">
        <f t="shared" si="36"/>
        <v>0</v>
      </c>
      <c r="E45" s="1934"/>
      <c r="F45" s="1934"/>
      <c r="G45" s="1935"/>
      <c r="H45" s="1935"/>
      <c r="I45" s="1935"/>
      <c r="J45" s="1935"/>
      <c r="K45" s="1935"/>
      <c r="L45" s="1935"/>
      <c r="M45" s="1935"/>
      <c r="N45" s="1935"/>
      <c r="O45" s="1935"/>
      <c r="P45" s="1935"/>
      <c r="Q45" s="1935"/>
      <c r="R45" s="1935"/>
      <c r="S45" s="1935"/>
      <c r="T45" s="1935"/>
      <c r="U45" s="1935"/>
      <c r="V45" s="1935"/>
      <c r="W45" s="1935"/>
      <c r="X45" s="1930">
        <f t="shared" si="31"/>
        <v>0</v>
      </c>
      <c r="Y45" s="1935"/>
    </row>
    <row r="46" spans="1:33" s="363" customFormat="1" ht="9.75" customHeight="1" x14ac:dyDescent="0.15">
      <c r="A46" s="1928">
        <v>13</v>
      </c>
      <c r="B46" s="1931" t="s">
        <v>242</v>
      </c>
      <c r="C46" s="1936">
        <f t="shared" si="35"/>
        <v>38000</v>
      </c>
      <c r="D46" s="1936">
        <f>H46+J46+L46+N46+P46+R46+T46+V46+X46</f>
        <v>22672</v>
      </c>
      <c r="E46" s="1936"/>
      <c r="F46" s="1936"/>
      <c r="G46" s="1930">
        <v>3900</v>
      </c>
      <c r="H46" s="1930">
        <f>G46-G65-G63</f>
        <v>3900</v>
      </c>
      <c r="I46" s="1930">
        <v>1800</v>
      </c>
      <c r="J46" s="1930">
        <f>I46-I65-I63</f>
        <v>900</v>
      </c>
      <c r="K46" s="1930">
        <v>1800</v>
      </c>
      <c r="L46" s="1930">
        <f>K46-K65-K63</f>
        <v>1040</v>
      </c>
      <c r="M46" s="1930">
        <v>3000</v>
      </c>
      <c r="N46" s="1930">
        <f>M46-M65-M63</f>
        <v>2560</v>
      </c>
      <c r="O46" s="1930">
        <v>1900</v>
      </c>
      <c r="P46" s="1930">
        <f>O46-O65-O63</f>
        <v>1400</v>
      </c>
      <c r="Q46" s="1930">
        <v>1200</v>
      </c>
      <c r="R46" s="1930">
        <f>Q46-Q65-Q63</f>
        <v>480</v>
      </c>
      <c r="S46" s="1930">
        <v>1800</v>
      </c>
      <c r="T46" s="1930">
        <f>S46-S65-S63</f>
        <v>680</v>
      </c>
      <c r="U46" s="1930">
        <v>2000</v>
      </c>
      <c r="V46" s="1930">
        <f>U46-U65-U63</f>
        <v>1440</v>
      </c>
      <c r="W46" s="1930">
        <v>20600</v>
      </c>
      <c r="X46" s="1930">
        <f>W46-W65-W63</f>
        <v>10272</v>
      </c>
      <c r="Y46" s="1930"/>
      <c r="AE46" s="363">
        <v>30700</v>
      </c>
    </row>
    <row r="47" spans="1:33" s="363" customFormat="1" ht="10.5" hidden="1" x14ac:dyDescent="0.15">
      <c r="A47" s="1928">
        <v>15</v>
      </c>
      <c r="B47" s="1931" t="s">
        <v>291</v>
      </c>
      <c r="C47" s="1936">
        <f t="shared" si="35"/>
        <v>0</v>
      </c>
      <c r="D47" s="1936"/>
      <c r="E47" s="1936"/>
      <c r="F47" s="1936"/>
      <c r="G47" s="1930"/>
      <c r="H47" s="1930"/>
      <c r="I47" s="1930"/>
      <c r="J47" s="1930"/>
      <c r="K47" s="1930"/>
      <c r="L47" s="1930"/>
      <c r="M47" s="1930"/>
      <c r="N47" s="1930"/>
      <c r="O47" s="1930"/>
      <c r="P47" s="1930"/>
      <c r="Q47" s="1930"/>
      <c r="R47" s="1930"/>
      <c r="S47" s="1930"/>
      <c r="T47" s="1930"/>
      <c r="U47" s="1930"/>
      <c r="V47" s="1930"/>
      <c r="W47" s="1930">
        <v>0</v>
      </c>
      <c r="X47" s="1930">
        <f t="shared" si="31"/>
        <v>0</v>
      </c>
      <c r="Y47" s="1930"/>
      <c r="AE47" s="368">
        <f>AE46-W46</f>
        <v>10100</v>
      </c>
    </row>
    <row r="48" spans="1:33" s="363" customFormat="1" ht="21" x14ac:dyDescent="0.15">
      <c r="A48" s="1928">
        <v>14</v>
      </c>
      <c r="B48" s="1931" t="s">
        <v>241</v>
      </c>
      <c r="C48" s="1936">
        <f t="shared" si="35"/>
        <v>9500</v>
      </c>
      <c r="D48" s="1936">
        <f t="shared" si="36"/>
        <v>7400</v>
      </c>
      <c r="E48" s="1936"/>
      <c r="F48" s="1936"/>
      <c r="G48" s="1930">
        <v>0</v>
      </c>
      <c r="H48" s="1930">
        <v>0</v>
      </c>
      <c r="I48" s="1930">
        <v>0</v>
      </c>
      <c r="J48" s="1930">
        <v>0</v>
      </c>
      <c r="K48" s="1930">
        <v>0</v>
      </c>
      <c r="L48" s="1930">
        <v>0</v>
      </c>
      <c r="M48" s="1930">
        <v>0</v>
      </c>
      <c r="N48" s="1930">
        <v>0</v>
      </c>
      <c r="O48" s="1930">
        <v>0</v>
      </c>
      <c r="P48" s="1930">
        <v>0</v>
      </c>
      <c r="Q48" s="1930">
        <v>0</v>
      </c>
      <c r="R48" s="1930">
        <v>0</v>
      </c>
      <c r="S48" s="1930"/>
      <c r="T48" s="1930">
        <v>0</v>
      </c>
      <c r="U48" s="1930"/>
      <c r="V48" s="1930">
        <v>0</v>
      </c>
      <c r="W48" s="1930">
        <v>9500</v>
      </c>
      <c r="X48" s="1930">
        <f>W48-2100</f>
        <v>7400</v>
      </c>
      <c r="Y48" s="1930"/>
    </row>
    <row r="49" spans="1:25" s="363" customFormat="1" ht="14.25" customHeight="1" x14ac:dyDescent="0.15">
      <c r="A49" s="1928">
        <v>15</v>
      </c>
      <c r="B49" s="1931" t="s">
        <v>250</v>
      </c>
      <c r="C49" s="1936">
        <f t="shared" si="35"/>
        <v>15000</v>
      </c>
      <c r="D49" s="1936">
        <f t="shared" si="36"/>
        <v>15000</v>
      </c>
      <c r="E49" s="1936"/>
      <c r="F49" s="1936"/>
      <c r="G49" s="1930">
        <v>0</v>
      </c>
      <c r="H49" s="1930">
        <v>0</v>
      </c>
      <c r="I49" s="1930">
        <v>0</v>
      </c>
      <c r="J49" s="1930">
        <v>0</v>
      </c>
      <c r="K49" s="1930">
        <v>0</v>
      </c>
      <c r="L49" s="1930">
        <v>0</v>
      </c>
      <c r="M49" s="1930">
        <v>0</v>
      </c>
      <c r="N49" s="1930">
        <v>0</v>
      </c>
      <c r="O49" s="1930">
        <v>0</v>
      </c>
      <c r="P49" s="1930">
        <v>0</v>
      </c>
      <c r="Q49" s="1930">
        <v>0</v>
      </c>
      <c r="R49" s="1930">
        <v>0</v>
      </c>
      <c r="S49" s="1930">
        <v>0</v>
      </c>
      <c r="T49" s="1930">
        <v>0</v>
      </c>
      <c r="U49" s="1930">
        <v>0</v>
      </c>
      <c r="V49" s="1930">
        <v>0</v>
      </c>
      <c r="W49" s="1930">
        <v>15000</v>
      </c>
      <c r="X49" s="1930">
        <f t="shared" si="31"/>
        <v>15000</v>
      </c>
      <c r="Y49" s="1930"/>
    </row>
    <row r="50" spans="1:25" s="359" customFormat="1" ht="11.25" hidden="1" x14ac:dyDescent="0.2">
      <c r="A50" s="1928" t="s">
        <v>11</v>
      </c>
      <c r="B50" s="1931" t="s">
        <v>8</v>
      </c>
      <c r="C50" s="1934"/>
      <c r="D50" s="1934">
        <f t="shared" si="36"/>
        <v>0</v>
      </c>
      <c r="E50" s="1934"/>
      <c r="F50" s="1934"/>
      <c r="G50" s="1935"/>
      <c r="H50" s="1935"/>
      <c r="I50" s="1935"/>
      <c r="J50" s="1935"/>
      <c r="K50" s="1935"/>
      <c r="L50" s="1935"/>
      <c r="M50" s="1935"/>
      <c r="N50" s="1935"/>
      <c r="O50" s="1935"/>
      <c r="P50" s="1935"/>
      <c r="Q50" s="1935"/>
      <c r="R50" s="1935"/>
      <c r="S50" s="1935"/>
      <c r="T50" s="1935"/>
      <c r="U50" s="1935"/>
      <c r="V50" s="1935"/>
      <c r="W50" s="1935"/>
      <c r="X50" s="1935"/>
      <c r="Y50" s="1935"/>
    </row>
    <row r="51" spans="1:25" s="359" customFormat="1" ht="12" customHeight="1" x14ac:dyDescent="0.2">
      <c r="A51" s="1928" t="s">
        <v>11</v>
      </c>
      <c r="B51" s="1931" t="s">
        <v>311</v>
      </c>
      <c r="C51" s="1936">
        <f>Y51</f>
        <v>3000</v>
      </c>
      <c r="D51" s="1934">
        <f t="shared" si="36"/>
        <v>0</v>
      </c>
      <c r="E51" s="1934"/>
      <c r="F51" s="1934"/>
      <c r="G51" s="1935"/>
      <c r="H51" s="1935"/>
      <c r="I51" s="1935"/>
      <c r="J51" s="1935"/>
      <c r="K51" s="1935"/>
      <c r="L51" s="1935"/>
      <c r="M51" s="1935"/>
      <c r="N51" s="1935"/>
      <c r="O51" s="1935"/>
      <c r="P51" s="1935"/>
      <c r="Q51" s="1935"/>
      <c r="R51" s="1935"/>
      <c r="S51" s="1935"/>
      <c r="T51" s="1935"/>
      <c r="U51" s="1935"/>
      <c r="V51" s="1935"/>
      <c r="W51" s="1935"/>
      <c r="X51" s="1935"/>
      <c r="Y51" s="1930">
        <v>3000</v>
      </c>
    </row>
    <row r="52" spans="1:25" s="359" customFormat="1" ht="22.5" hidden="1" x14ac:dyDescent="0.2">
      <c r="A52" s="700"/>
      <c r="B52" s="701" t="s">
        <v>573</v>
      </c>
      <c r="C52" s="703"/>
      <c r="D52" s="703"/>
      <c r="E52" s="703"/>
      <c r="F52" s="703"/>
      <c r="G52" s="692"/>
      <c r="H52" s="692"/>
      <c r="I52" s="692"/>
      <c r="J52" s="692"/>
      <c r="K52" s="692"/>
      <c r="L52" s="692"/>
      <c r="M52" s="692"/>
      <c r="N52" s="692"/>
      <c r="O52" s="692"/>
      <c r="P52" s="692"/>
      <c r="Q52" s="692"/>
      <c r="R52" s="692"/>
      <c r="S52" s="692"/>
      <c r="T52" s="692"/>
      <c r="U52" s="692"/>
      <c r="V52" s="692"/>
      <c r="W52" s="692"/>
      <c r="X52" s="692"/>
      <c r="Y52" s="692"/>
    </row>
    <row r="53" spans="1:25" s="359" customFormat="1" ht="11.25" hidden="1" x14ac:dyDescent="0.2">
      <c r="A53" s="369"/>
      <c r="B53" s="378" t="s">
        <v>574</v>
      </c>
      <c r="C53" s="371"/>
      <c r="D53" s="371"/>
      <c r="E53" s="371"/>
      <c r="F53" s="371"/>
      <c r="G53" s="372"/>
      <c r="H53" s="372"/>
      <c r="I53" s="372"/>
      <c r="J53" s="372"/>
      <c r="K53" s="372"/>
      <c r="L53" s="372"/>
      <c r="M53" s="372"/>
      <c r="N53" s="372"/>
      <c r="O53" s="372"/>
      <c r="P53" s="372"/>
      <c r="Q53" s="372"/>
      <c r="R53" s="372"/>
      <c r="S53" s="372"/>
      <c r="T53" s="372"/>
      <c r="U53" s="372"/>
      <c r="V53" s="372"/>
      <c r="W53" s="372"/>
      <c r="X53" s="372"/>
      <c r="Y53" s="372"/>
    </row>
    <row r="54" spans="1:25" s="359" customFormat="1" ht="11.25" hidden="1" x14ac:dyDescent="0.2">
      <c r="A54" s="369"/>
      <c r="B54" s="378" t="s">
        <v>575</v>
      </c>
      <c r="C54" s="371"/>
      <c r="D54" s="371"/>
      <c r="E54" s="371"/>
      <c r="F54" s="371"/>
      <c r="G54" s="372"/>
      <c r="H54" s="372"/>
      <c r="I54" s="372"/>
      <c r="J54" s="372"/>
      <c r="K54" s="372"/>
      <c r="L54" s="372"/>
      <c r="M54" s="372"/>
      <c r="N54" s="372"/>
      <c r="O54" s="372"/>
      <c r="P54" s="372"/>
      <c r="Q54" s="372"/>
      <c r="R54" s="372"/>
      <c r="S54" s="372"/>
      <c r="T54" s="372"/>
      <c r="U54" s="372"/>
      <c r="V54" s="372"/>
      <c r="W54" s="372"/>
      <c r="X54" s="372"/>
      <c r="Y54" s="372"/>
    </row>
    <row r="55" spans="1:25" s="359" customFormat="1" ht="22.5" hidden="1" x14ac:dyDescent="0.2">
      <c r="A55" s="369"/>
      <c r="B55" s="378" t="s">
        <v>576</v>
      </c>
      <c r="C55" s="371"/>
      <c r="D55" s="371"/>
      <c r="E55" s="371"/>
      <c r="F55" s="371"/>
      <c r="G55" s="372"/>
      <c r="H55" s="372"/>
      <c r="I55" s="372"/>
      <c r="J55" s="372"/>
      <c r="K55" s="372"/>
      <c r="L55" s="372"/>
      <c r="M55" s="372"/>
      <c r="N55" s="372"/>
      <c r="O55" s="372"/>
      <c r="P55" s="372"/>
      <c r="Q55" s="372"/>
      <c r="R55" s="372"/>
      <c r="S55" s="372"/>
      <c r="T55" s="372"/>
      <c r="U55" s="372"/>
      <c r="V55" s="372"/>
      <c r="W55" s="372"/>
      <c r="X55" s="372"/>
      <c r="Y55" s="372"/>
    </row>
    <row r="56" spans="1:25" s="359" customFormat="1" ht="22.5" hidden="1" x14ac:dyDescent="0.2">
      <c r="A56" s="369"/>
      <c r="B56" s="378" t="s">
        <v>570</v>
      </c>
      <c r="C56" s="371"/>
      <c r="D56" s="371"/>
      <c r="E56" s="371"/>
      <c r="F56" s="371"/>
      <c r="G56" s="372"/>
      <c r="H56" s="372"/>
      <c r="I56" s="372"/>
      <c r="J56" s="372"/>
      <c r="K56" s="372"/>
      <c r="L56" s="372"/>
      <c r="M56" s="372"/>
      <c r="N56" s="372"/>
      <c r="O56" s="372"/>
      <c r="P56" s="372"/>
      <c r="Q56" s="372"/>
      <c r="R56" s="372"/>
      <c r="S56" s="372"/>
      <c r="T56" s="372"/>
      <c r="U56" s="372"/>
      <c r="V56" s="372"/>
      <c r="W56" s="372"/>
      <c r="X56" s="372"/>
      <c r="Y56" s="372"/>
    </row>
    <row r="57" spans="1:25" s="359" customFormat="1" ht="11.25" hidden="1" x14ac:dyDescent="0.2">
      <c r="A57" s="369"/>
      <c r="B57" s="378" t="s">
        <v>564</v>
      </c>
      <c r="C57" s="371"/>
      <c r="D57" s="371"/>
      <c r="E57" s="371"/>
      <c r="F57" s="371"/>
      <c r="G57" s="372"/>
      <c r="H57" s="372"/>
      <c r="I57" s="372"/>
      <c r="J57" s="372"/>
      <c r="K57" s="372"/>
      <c r="L57" s="372"/>
      <c r="M57" s="372"/>
      <c r="N57" s="372"/>
      <c r="O57" s="372"/>
      <c r="P57" s="372"/>
      <c r="Q57" s="372"/>
      <c r="R57" s="372"/>
      <c r="S57" s="372"/>
      <c r="T57" s="372"/>
      <c r="U57" s="372"/>
      <c r="V57" s="372"/>
      <c r="W57" s="372"/>
      <c r="X57" s="372"/>
      <c r="Y57" s="372"/>
    </row>
    <row r="58" spans="1:25" s="359" customFormat="1" ht="11.25" hidden="1" x14ac:dyDescent="0.2">
      <c r="A58" s="379" t="s">
        <v>14</v>
      </c>
      <c r="B58" s="380" t="s">
        <v>243</v>
      </c>
      <c r="C58" s="381"/>
      <c r="D58" s="381"/>
      <c r="E58" s="381"/>
      <c r="F58" s="381"/>
      <c r="G58" s="382"/>
      <c r="H58" s="382"/>
      <c r="I58" s="382"/>
      <c r="J58" s="382"/>
      <c r="K58" s="382"/>
      <c r="L58" s="382"/>
      <c r="M58" s="382"/>
      <c r="N58" s="382"/>
      <c r="O58" s="382"/>
      <c r="P58" s="382"/>
      <c r="Q58" s="382"/>
      <c r="R58" s="382"/>
      <c r="S58" s="382"/>
      <c r="T58" s="382"/>
      <c r="U58" s="382"/>
      <c r="V58" s="382"/>
      <c r="W58" s="382"/>
      <c r="X58" s="382"/>
      <c r="Y58" s="382"/>
    </row>
    <row r="59" spans="1:25" ht="13.5" x14ac:dyDescent="0.2">
      <c r="A59" s="282"/>
      <c r="C59" s="281"/>
      <c r="D59" s="281"/>
    </row>
    <row r="60" spans="1:25" x14ac:dyDescent="0.2">
      <c r="C60" s="281"/>
      <c r="D60" s="281"/>
    </row>
    <row r="61" spans="1:25" hidden="1" x14ac:dyDescent="0.2"/>
    <row r="62" spans="1:25" hidden="1" x14ac:dyDescent="0.2">
      <c r="B62" s="279" t="s">
        <v>1457</v>
      </c>
    </row>
    <row r="63" spans="1:25" hidden="1" x14ac:dyDescent="0.2">
      <c r="B63" s="279" t="s">
        <v>1153</v>
      </c>
      <c r="G63" s="376"/>
      <c r="H63" s="376"/>
      <c r="I63" s="376">
        <v>350</v>
      </c>
      <c r="J63" s="376"/>
      <c r="K63" s="376">
        <v>380</v>
      </c>
      <c r="L63" s="376"/>
      <c r="M63" s="376">
        <v>220</v>
      </c>
      <c r="N63" s="376"/>
      <c r="O63" s="376">
        <v>250</v>
      </c>
      <c r="P63" s="376"/>
      <c r="Q63" s="376">
        <v>360</v>
      </c>
      <c r="R63" s="376"/>
      <c r="S63" s="376">
        <v>560</v>
      </c>
      <c r="T63" s="376"/>
      <c r="U63" s="376">
        <v>280</v>
      </c>
      <c r="V63" s="376"/>
      <c r="W63" s="376">
        <f>3700+2328</f>
        <v>6028</v>
      </c>
      <c r="X63" s="376"/>
    </row>
    <row r="64" spans="1:25" hidden="1" x14ac:dyDescent="0.2">
      <c r="B64" s="279" t="s">
        <v>1433</v>
      </c>
    </row>
    <row r="65" spans="2:24" hidden="1" x14ac:dyDescent="0.2">
      <c r="C65" s="678"/>
      <c r="D65" s="281"/>
      <c r="G65" s="376"/>
      <c r="H65" s="376"/>
      <c r="I65" s="376">
        <v>550</v>
      </c>
      <c r="J65" s="376"/>
      <c r="K65" s="376">
        <v>380</v>
      </c>
      <c r="L65" s="376"/>
      <c r="M65" s="376">
        <v>220</v>
      </c>
      <c r="N65" s="376"/>
      <c r="O65" s="376">
        <v>250</v>
      </c>
      <c r="P65" s="376"/>
      <c r="Q65" s="376">
        <v>360</v>
      </c>
      <c r="R65" s="376"/>
      <c r="S65" s="376">
        <v>560</v>
      </c>
      <c r="T65" s="376"/>
      <c r="U65" s="376">
        <v>280</v>
      </c>
      <c r="V65" s="376"/>
      <c r="W65" s="376">
        <v>4300</v>
      </c>
      <c r="X65" s="376"/>
    </row>
    <row r="66" spans="2:24" hidden="1" x14ac:dyDescent="0.2">
      <c r="B66" s="279" t="s">
        <v>1434</v>
      </c>
      <c r="D66" s="281"/>
    </row>
    <row r="67" spans="2:24" hidden="1" x14ac:dyDescent="0.2">
      <c r="C67" s="678"/>
      <c r="D67" s="281"/>
      <c r="G67" s="376"/>
      <c r="H67" s="376"/>
      <c r="I67" s="376">
        <v>100</v>
      </c>
      <c r="J67" s="376"/>
      <c r="K67" s="376">
        <v>100</v>
      </c>
      <c r="L67" s="376"/>
      <c r="M67" s="376">
        <v>100</v>
      </c>
      <c r="N67" s="376"/>
      <c r="O67" s="376">
        <v>100</v>
      </c>
      <c r="P67" s="376"/>
      <c r="Q67" s="376">
        <v>100</v>
      </c>
      <c r="R67" s="376"/>
      <c r="S67" s="376">
        <v>100</v>
      </c>
      <c r="T67" s="376"/>
      <c r="U67" s="376">
        <v>50</v>
      </c>
      <c r="V67" s="376"/>
      <c r="W67" s="376">
        <v>3000</v>
      </c>
      <c r="X67" s="376"/>
    </row>
    <row r="71" spans="2:24" s="104" customFormat="1" hidden="1" x14ac:dyDescent="0.2">
      <c r="B71" s="104" t="s">
        <v>1437</v>
      </c>
    </row>
    <row r="72" spans="2:24" s="104" customFormat="1" hidden="1" x14ac:dyDescent="0.2">
      <c r="B72" s="104" t="s">
        <v>1438</v>
      </c>
    </row>
    <row r="73" spans="2:24" hidden="1" x14ac:dyDescent="0.2"/>
    <row r="74" spans="2:24" hidden="1" x14ac:dyDescent="0.2"/>
    <row r="75" spans="2:24" hidden="1" x14ac:dyDescent="0.2"/>
    <row r="76" spans="2:24" hidden="1" x14ac:dyDescent="0.2"/>
  </sheetData>
  <mergeCells count="17">
    <mergeCell ref="S5:T5"/>
    <mergeCell ref="U5:V5"/>
    <mergeCell ref="A2:Y2"/>
    <mergeCell ref="A3:Y3"/>
    <mergeCell ref="W5:X5"/>
    <mergeCell ref="G5:H5"/>
    <mergeCell ref="I5:J5"/>
    <mergeCell ref="K5:L5"/>
    <mergeCell ref="M5:N5"/>
    <mergeCell ref="O5:P5"/>
    <mergeCell ref="Q5:R5"/>
    <mergeCell ref="E4:F4"/>
    <mergeCell ref="A5:A6"/>
    <mergeCell ref="B5:B6"/>
    <mergeCell ref="C5:D5"/>
    <mergeCell ref="E5:F5"/>
    <mergeCell ref="V4:AB4"/>
  </mergeCells>
  <pageMargins left="0.41" right="0.24" top="0.38" bottom="0.24" header="0.2" footer="0.2"/>
  <pageSetup paperSize="9" scale="94" firstPageNumber="4" fitToHeight="0" orientation="landscape" useFirstPageNumber="1" r:id="rId1"/>
  <headerFooter>
    <oddHeader>&amp;RBiểu số 48/CK-NSNN</oddHeader>
    <oddFooter>&amp;C&amp;P</oddFooter>
  </headerFooter>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99"/>
  <sheetViews>
    <sheetView workbookViewId="0">
      <pane xSplit="2" ySplit="6" topLeftCell="C7" activePane="bottomRight" state="frozen"/>
      <selection pane="topRight" activeCell="C1" sqref="C1"/>
      <selection pane="bottomLeft" activeCell="A7" sqref="A7"/>
      <selection pane="bottomRight" activeCell="J13" sqref="J13"/>
    </sheetView>
  </sheetViews>
  <sheetFormatPr defaultRowHeight="15" x14ac:dyDescent="0.25"/>
  <cols>
    <col min="1" max="1" width="4.875" style="1250" customWidth="1"/>
    <col min="2" max="2" width="43.375" style="1250" customWidth="1"/>
    <col min="3" max="3" width="9.375" style="1250" customWidth="1"/>
    <col min="4" max="4" width="9.125" style="1250" customWidth="1"/>
    <col min="5" max="5" width="8" style="1250" customWidth="1"/>
    <col min="6" max="6" width="8.5" style="1250" customWidth="1"/>
    <col min="7" max="16384" width="9" style="1250"/>
  </cols>
  <sheetData>
    <row r="1" spans="1:8" ht="22.5" customHeight="1" x14ac:dyDescent="0.25">
      <c r="A1" s="2029" t="s">
        <v>1269</v>
      </c>
      <c r="B1" s="2029"/>
      <c r="C1" s="2029"/>
      <c r="D1" s="2029"/>
      <c r="E1" s="2029"/>
      <c r="F1" s="2029"/>
    </row>
    <row r="2" spans="1:8" ht="32.25" customHeight="1" x14ac:dyDescent="0.25">
      <c r="A2" s="2030" t="str">
        <f>'Biểu 08DT phí, LP'!A2:I2</f>
        <v>(Kèm theo Nghị quyết số 14/NQ-HĐND ngày 09 tháng 12 năm 2018 của HĐND tỉnh Bắc Kạn)</v>
      </c>
      <c r="B2" s="2031"/>
      <c r="C2" s="2031"/>
      <c r="D2" s="2031"/>
      <c r="E2" s="2031"/>
      <c r="F2" s="2031"/>
    </row>
    <row r="3" spans="1:8" ht="19.5" customHeight="1" x14ac:dyDescent="0.25">
      <c r="A3" s="397"/>
      <c r="E3" s="2032" t="s">
        <v>6</v>
      </c>
      <c r="F3" s="2032"/>
    </row>
    <row r="4" spans="1:8" x14ac:dyDescent="0.25">
      <c r="A4" s="2033" t="s">
        <v>0</v>
      </c>
      <c r="B4" s="2033" t="s">
        <v>1</v>
      </c>
      <c r="C4" s="2033" t="s">
        <v>219</v>
      </c>
      <c r="D4" s="2033" t="s">
        <v>1268</v>
      </c>
      <c r="E4" s="2033" t="s">
        <v>33</v>
      </c>
      <c r="F4" s="2033"/>
    </row>
    <row r="5" spans="1:8" ht="28.5" x14ac:dyDescent="0.25">
      <c r="A5" s="2033"/>
      <c r="B5" s="2033"/>
      <c r="C5" s="2033"/>
      <c r="D5" s="2033"/>
      <c r="E5" s="1196" t="s">
        <v>34</v>
      </c>
      <c r="F5" s="1196" t="s">
        <v>35</v>
      </c>
    </row>
    <row r="6" spans="1:8" x14ac:dyDescent="0.25">
      <c r="A6" s="1196" t="s">
        <v>2</v>
      </c>
      <c r="B6" s="1196" t="s">
        <v>3</v>
      </c>
      <c r="C6" s="1196">
        <v>1</v>
      </c>
      <c r="D6" s="1251">
        <v>2</v>
      </c>
      <c r="E6" s="1196" t="s">
        <v>36</v>
      </c>
      <c r="F6" s="1196" t="s">
        <v>37</v>
      </c>
    </row>
    <row r="7" spans="1:8" ht="21.75" customHeight="1" x14ac:dyDescent="0.25">
      <c r="A7" s="1252"/>
      <c r="B7" s="1252" t="s">
        <v>39</v>
      </c>
      <c r="C7" s="1253">
        <f>C8+C29</f>
        <v>5190937</v>
      </c>
      <c r="D7" s="1253" t="e">
        <f>D8+D29</f>
        <v>#REF!</v>
      </c>
      <c r="E7" s="1253" t="e">
        <f t="shared" ref="E7" si="0">E8+E29</f>
        <v>#REF!</v>
      </c>
      <c r="F7" s="1254" t="e">
        <f>D7/C7</f>
        <v>#REF!</v>
      </c>
      <c r="H7" s="132" t="e">
        <f>D7-5182337</f>
        <v>#REF!</v>
      </c>
    </row>
    <row r="8" spans="1:8" x14ac:dyDescent="0.25">
      <c r="A8" s="1255" t="s">
        <v>2</v>
      </c>
      <c r="B8" s="1256" t="s">
        <v>44</v>
      </c>
      <c r="C8" s="1257">
        <f>C9+C21+C26+C27+C25</f>
        <v>3478898</v>
      </c>
      <c r="D8" s="1257" t="e">
        <f>D9+D21+D26+D27+D25</f>
        <v>#REF!</v>
      </c>
      <c r="E8" s="1257" t="e">
        <f>E9+E21+E26+E27+E25</f>
        <v>#REF!</v>
      </c>
      <c r="F8" s="1259" t="e">
        <f t="shared" ref="F8:F37" si="1">D8/C8</f>
        <v>#REF!</v>
      </c>
      <c r="G8" s="132">
        <f>'Biểu 14'!C8</f>
        <v>3478898</v>
      </c>
    </row>
    <row r="9" spans="1:8" x14ac:dyDescent="0.25">
      <c r="A9" s="1255" t="s">
        <v>9</v>
      </c>
      <c r="B9" s="1256" t="s">
        <v>326</v>
      </c>
      <c r="C9" s="1257">
        <f>C10+C19</f>
        <v>493390</v>
      </c>
      <c r="D9" s="1257">
        <f t="shared" ref="D9:E9" si="2">D10+D19</f>
        <v>524660</v>
      </c>
      <c r="E9" s="1257">
        <f t="shared" si="2"/>
        <v>31270</v>
      </c>
      <c r="F9" s="1259">
        <f t="shared" si="1"/>
        <v>1.0633778552463569</v>
      </c>
      <c r="G9" s="132">
        <f>G8-C8</f>
        <v>0</v>
      </c>
    </row>
    <row r="10" spans="1:8" s="1260" customFormat="1" x14ac:dyDescent="0.2">
      <c r="A10" s="1255">
        <v>1</v>
      </c>
      <c r="B10" s="1256" t="s">
        <v>244</v>
      </c>
      <c r="C10" s="1257">
        <f>'Biểu 14'!C10</f>
        <v>485390</v>
      </c>
      <c r="D10" s="1257">
        <f>'Biểu 06 DT '!B10-8000</f>
        <v>516660</v>
      </c>
      <c r="E10" s="1258">
        <f>D10-C10</f>
        <v>31270</v>
      </c>
      <c r="F10" s="1259">
        <f t="shared" si="1"/>
        <v>1.0644224232060817</v>
      </c>
    </row>
    <row r="11" spans="1:8" s="1270" customFormat="1" ht="15.75" customHeight="1" x14ac:dyDescent="0.25">
      <c r="A11" s="1271"/>
      <c r="B11" s="1262" t="s">
        <v>45</v>
      </c>
      <c r="C11" s="1275"/>
      <c r="D11" s="1267"/>
      <c r="E11" s="1267">
        <f t="shared" ref="E11:E37" si="3">D11-C11</f>
        <v>0</v>
      </c>
      <c r="F11" s="1268"/>
    </row>
    <row r="12" spans="1:8" s="1270" customFormat="1" x14ac:dyDescent="0.25">
      <c r="A12" s="1271" t="s">
        <v>23</v>
      </c>
      <c r="B12" s="1262" t="s">
        <v>28</v>
      </c>
      <c r="C12" s="1267">
        <f>'Biểu 14'!C12</f>
        <v>31000</v>
      </c>
      <c r="D12" s="1267">
        <f>'Biểu 06 DT '!C13</f>
        <v>55000</v>
      </c>
      <c r="E12" s="1267">
        <f t="shared" si="3"/>
        <v>24000</v>
      </c>
      <c r="F12" s="1268">
        <f t="shared" si="1"/>
        <v>1.7741935483870968</v>
      </c>
    </row>
    <row r="13" spans="1:8" s="1270" customFormat="1" x14ac:dyDescent="0.25">
      <c r="A13" s="1271" t="s">
        <v>23</v>
      </c>
      <c r="B13" s="1262" t="s">
        <v>245</v>
      </c>
      <c r="C13" s="1267">
        <f>'Biểu 14'!C13</f>
        <v>7000</v>
      </c>
      <c r="D13" s="1267">
        <f>'Biểu 06 DT '!C14</f>
        <v>7000</v>
      </c>
      <c r="E13" s="1267">
        <f t="shared" si="3"/>
        <v>0</v>
      </c>
      <c r="F13" s="1268">
        <f t="shared" si="1"/>
        <v>1</v>
      </c>
    </row>
    <row r="14" spans="1:8" s="1270" customFormat="1" x14ac:dyDescent="0.25">
      <c r="A14" s="1271"/>
      <c r="B14" s="1262" t="s">
        <v>46</v>
      </c>
      <c r="C14" s="1271"/>
      <c r="D14" s="1267"/>
      <c r="E14" s="1267">
        <f t="shared" si="3"/>
        <v>0</v>
      </c>
      <c r="F14" s="1276"/>
    </row>
    <row r="15" spans="1:8" s="1270" customFormat="1" x14ac:dyDescent="0.25">
      <c r="A15" s="1271" t="s">
        <v>23</v>
      </c>
      <c r="B15" s="1262" t="s">
        <v>26</v>
      </c>
      <c r="C15" s="1267">
        <f>'Biểu 14'!C15</f>
        <v>55000</v>
      </c>
      <c r="D15" s="1267">
        <v>55000</v>
      </c>
      <c r="E15" s="1267">
        <f t="shared" si="3"/>
        <v>0</v>
      </c>
      <c r="F15" s="1268">
        <f t="shared" si="1"/>
        <v>1</v>
      </c>
    </row>
    <row r="16" spans="1:8" s="1270" customFormat="1" x14ac:dyDescent="0.25">
      <c r="A16" s="1271" t="s">
        <v>23</v>
      </c>
      <c r="B16" s="1262" t="s">
        <v>27</v>
      </c>
      <c r="C16" s="1267">
        <f>'Biểu 14'!C16</f>
        <v>15000</v>
      </c>
      <c r="D16" s="1267">
        <v>15000</v>
      </c>
      <c r="E16" s="1267">
        <f t="shared" si="3"/>
        <v>0</v>
      </c>
      <c r="F16" s="1268">
        <f t="shared" si="1"/>
        <v>1</v>
      </c>
    </row>
    <row r="17" spans="1:8" s="1270" customFormat="1" x14ac:dyDescent="0.25">
      <c r="A17" s="1271" t="s">
        <v>23</v>
      </c>
      <c r="B17" s="1262" t="s">
        <v>579</v>
      </c>
      <c r="C17" s="1267">
        <v>17100</v>
      </c>
      <c r="D17" s="1267">
        <f>'Biểu 06 DT '!C18</f>
        <v>16670</v>
      </c>
      <c r="E17" s="1267">
        <f t="shared" si="3"/>
        <v>-430</v>
      </c>
      <c r="F17" s="1268"/>
    </row>
    <row r="18" spans="1:8" s="1270" customFormat="1" x14ac:dyDescent="0.25">
      <c r="A18" s="1271"/>
      <c r="B18" s="298" t="str">
        <f>'Biểu 14'!B18</f>
        <v>Chi đầu tư từ nguồn tiết kiệm chi thường xuyên</v>
      </c>
      <c r="C18" s="1267">
        <v>6000</v>
      </c>
      <c r="D18" s="1267"/>
      <c r="E18" s="1267"/>
      <c r="F18" s="1268"/>
    </row>
    <row r="19" spans="1:8" s="1260" customFormat="1" ht="65.25" customHeight="1" x14ac:dyDescent="0.2">
      <c r="A19" s="1255">
        <v>2</v>
      </c>
      <c r="B19" s="1256" t="s">
        <v>25</v>
      </c>
      <c r="C19" s="1257">
        <v>8000</v>
      </c>
      <c r="D19" s="1257">
        <f>C19</f>
        <v>8000</v>
      </c>
      <c r="E19" s="1257">
        <f t="shared" si="3"/>
        <v>0</v>
      </c>
      <c r="F19" s="1266"/>
    </row>
    <row r="20" spans="1:8" s="1260" customFormat="1" ht="19.5" customHeight="1" x14ac:dyDescent="0.2">
      <c r="A20" s="1255">
        <v>3</v>
      </c>
      <c r="B20" s="1256" t="s">
        <v>47</v>
      </c>
      <c r="C20" s="1255"/>
      <c r="D20" s="1255"/>
      <c r="E20" s="1257">
        <f t="shared" si="3"/>
        <v>0</v>
      </c>
      <c r="F20" s="1266"/>
    </row>
    <row r="21" spans="1:8" x14ac:dyDescent="0.25">
      <c r="A21" s="1255" t="s">
        <v>11</v>
      </c>
      <c r="B21" s="1256" t="s">
        <v>19</v>
      </c>
      <c r="C21" s="1257">
        <f>'Biểu 14'!C21</f>
        <v>2906780</v>
      </c>
      <c r="D21" s="1257">
        <f>'Biểu 06 DT '!B20</f>
        <v>3066700.79</v>
      </c>
      <c r="E21" s="1258">
        <f t="shared" si="3"/>
        <v>159920.79000000004</v>
      </c>
      <c r="F21" s="1259">
        <f t="shared" si="1"/>
        <v>1.0550164752750466</v>
      </c>
    </row>
    <row r="22" spans="1:8" x14ac:dyDescent="0.25">
      <c r="A22" s="1261"/>
      <c r="B22" s="1262" t="s">
        <v>5</v>
      </c>
      <c r="C22" s="1263"/>
      <c r="D22" s="1261"/>
      <c r="E22" s="1258">
        <f t="shared" si="3"/>
        <v>0</v>
      </c>
      <c r="F22" s="1264"/>
    </row>
    <row r="23" spans="1:8" x14ac:dyDescent="0.25">
      <c r="A23" s="1261">
        <v>1</v>
      </c>
      <c r="B23" s="1262" t="s">
        <v>28</v>
      </c>
      <c r="C23" s="1267">
        <f>'Biểu 14'!C23</f>
        <v>1175538</v>
      </c>
      <c r="D23" s="1267">
        <f>'Biểu 06 DT '!B22</f>
        <v>1231293</v>
      </c>
      <c r="E23" s="1267">
        <f t="shared" si="3"/>
        <v>55755</v>
      </c>
      <c r="F23" s="1268">
        <f t="shared" si="1"/>
        <v>1.0474293472435601</v>
      </c>
    </row>
    <row r="24" spans="1:8" x14ac:dyDescent="0.25">
      <c r="A24" s="1261">
        <v>2</v>
      </c>
      <c r="B24" s="1262" t="s">
        <v>245</v>
      </c>
      <c r="C24" s="1267">
        <f>'Biểu 14'!C24</f>
        <v>11627</v>
      </c>
      <c r="D24" s="1267">
        <f>'Biểu 06 DT '!B27</f>
        <v>12066</v>
      </c>
      <c r="E24" s="1267">
        <f t="shared" si="3"/>
        <v>439</v>
      </c>
      <c r="F24" s="1268">
        <f t="shared" si="1"/>
        <v>1.0377569450417132</v>
      </c>
    </row>
    <row r="25" spans="1:8" s="1260" customFormat="1" ht="28.5" x14ac:dyDescent="0.2">
      <c r="A25" s="1255" t="s">
        <v>14</v>
      </c>
      <c r="B25" s="1256" t="s">
        <v>1230</v>
      </c>
      <c r="C25" s="1257">
        <f>'Biểu 14'!C25</f>
        <v>548</v>
      </c>
      <c r="D25" s="1258">
        <f>'Biểu 06 DT '!C38</f>
        <v>1160</v>
      </c>
      <c r="E25" s="1257">
        <f>D25-C25</f>
        <v>612</v>
      </c>
      <c r="F25" s="1266"/>
    </row>
    <row r="26" spans="1:8" x14ac:dyDescent="0.25">
      <c r="A26" s="1255" t="s">
        <v>15</v>
      </c>
      <c r="B26" s="1256" t="s">
        <v>1181</v>
      </c>
      <c r="C26" s="1257">
        <f>'Biểu 14'!C26</f>
        <v>1000</v>
      </c>
      <c r="D26" s="1257">
        <v>1000</v>
      </c>
      <c r="E26" s="1257">
        <f t="shared" si="3"/>
        <v>0</v>
      </c>
      <c r="F26" s="1259">
        <f t="shared" si="1"/>
        <v>1</v>
      </c>
    </row>
    <row r="27" spans="1:8" x14ac:dyDescent="0.25">
      <c r="A27" s="1255" t="s">
        <v>17</v>
      </c>
      <c r="B27" s="1256" t="s">
        <v>21</v>
      </c>
      <c r="C27" s="1257">
        <f>'Biểu 14'!C27</f>
        <v>77180</v>
      </c>
      <c r="D27" s="1257" t="e">
        <f>#REF!</f>
        <v>#REF!</v>
      </c>
      <c r="E27" s="1257" t="e">
        <f t="shared" si="3"/>
        <v>#REF!</v>
      </c>
      <c r="F27" s="1259" t="e">
        <f t="shared" si="1"/>
        <v>#REF!</v>
      </c>
    </row>
    <row r="28" spans="1:8" x14ac:dyDescent="0.25">
      <c r="A28" s="1255" t="s">
        <v>48</v>
      </c>
      <c r="B28" s="1256" t="s">
        <v>40</v>
      </c>
      <c r="C28" s="1261"/>
      <c r="D28" s="1261"/>
      <c r="E28" s="1258">
        <f t="shared" si="3"/>
        <v>0</v>
      </c>
      <c r="F28" s="1265"/>
    </row>
    <row r="29" spans="1:8" x14ac:dyDescent="0.25">
      <c r="A29" s="1255" t="s">
        <v>3</v>
      </c>
      <c r="B29" s="1256" t="s">
        <v>49</v>
      </c>
      <c r="C29" s="1257">
        <f>C30+C37</f>
        <v>1712039</v>
      </c>
      <c r="D29" s="1257">
        <f>D30+D37</f>
        <v>1177931</v>
      </c>
      <c r="E29" s="1257">
        <f t="shared" si="3"/>
        <v>-534108</v>
      </c>
      <c r="F29" s="1259">
        <f t="shared" si="1"/>
        <v>0.68802813487309578</v>
      </c>
    </row>
    <row r="30" spans="1:8" x14ac:dyDescent="0.25">
      <c r="A30" s="1255" t="s">
        <v>9</v>
      </c>
      <c r="B30" s="1256" t="s">
        <v>41</v>
      </c>
      <c r="C30" s="1257">
        <f>C31+C34</f>
        <v>338109</v>
      </c>
      <c r="D30" s="1257">
        <f t="shared" ref="D30" si="4">D31+D34</f>
        <v>496171</v>
      </c>
      <c r="E30" s="1257">
        <f t="shared" si="3"/>
        <v>158062</v>
      </c>
      <c r="F30" s="1259">
        <f t="shared" si="1"/>
        <v>1.467488295194745</v>
      </c>
    </row>
    <row r="31" spans="1:8" s="1260" customFormat="1" ht="28.5" x14ac:dyDescent="0.2">
      <c r="A31" s="1255">
        <v>1</v>
      </c>
      <c r="B31" s="295" t="str">
        <f>'Biểu 14'!B31</f>
        <v>Chương trình mục tiêu quốc gia giảm nghèo bền vững</v>
      </c>
      <c r="C31" s="1257">
        <f>C32+C33</f>
        <v>185409</v>
      </c>
      <c r="D31" s="1257">
        <f>D32+D33</f>
        <v>283471</v>
      </c>
      <c r="E31" s="1257">
        <f t="shared" si="3"/>
        <v>98062</v>
      </c>
      <c r="F31" s="1259">
        <f t="shared" si="1"/>
        <v>1.5288955768058725</v>
      </c>
    </row>
    <row r="32" spans="1:8" s="1270" customFormat="1" x14ac:dyDescent="0.25">
      <c r="A32" s="299" t="s">
        <v>304</v>
      </c>
      <c r="B32" s="298" t="s">
        <v>301</v>
      </c>
      <c r="C32" s="301">
        <f>'Biểu 14'!C32</f>
        <v>128173</v>
      </c>
      <c r="D32" s="1267">
        <f>'Biểu 06 DT '!B46</f>
        <v>221397</v>
      </c>
      <c r="E32" s="1267">
        <f t="shared" si="3"/>
        <v>93224</v>
      </c>
      <c r="F32" s="1268"/>
      <c r="G32" s="1269">
        <f>D32+D35</f>
        <v>379597</v>
      </c>
      <c r="H32" s="1269">
        <f>C32+C35</f>
        <v>239073</v>
      </c>
    </row>
    <row r="33" spans="1:8" s="1270" customFormat="1" x14ac:dyDescent="0.25">
      <c r="A33" s="299" t="s">
        <v>147</v>
      </c>
      <c r="B33" s="298" t="s">
        <v>303</v>
      </c>
      <c r="C33" s="301">
        <f>'Biểu 14'!C33</f>
        <v>57236</v>
      </c>
      <c r="D33" s="1267">
        <f>'Biểu 06 DT '!B47</f>
        <v>62074</v>
      </c>
      <c r="E33" s="1267">
        <f t="shared" si="3"/>
        <v>4838</v>
      </c>
      <c r="F33" s="1268"/>
      <c r="G33" s="1269">
        <f>D33+D36</f>
        <v>116574</v>
      </c>
      <c r="H33" s="1269">
        <f>C33+C36</f>
        <v>99036</v>
      </c>
    </row>
    <row r="34" spans="1:8" s="1260" customFormat="1" ht="28.5" x14ac:dyDescent="0.2">
      <c r="A34" s="1255">
        <v>2</v>
      </c>
      <c r="B34" s="295" t="str">
        <f>'Biểu 14'!B34</f>
        <v>Chương trình mục tiêu quốc gia xây dựng nông thôn mới</v>
      </c>
      <c r="C34" s="1257">
        <f>C35+C36</f>
        <v>152700</v>
      </c>
      <c r="D34" s="1257">
        <f>D35+D36</f>
        <v>212700</v>
      </c>
      <c r="E34" s="1257">
        <f t="shared" si="3"/>
        <v>60000</v>
      </c>
      <c r="F34" s="1259">
        <f t="shared" si="1"/>
        <v>1.3929273084479372</v>
      </c>
    </row>
    <row r="35" spans="1:8" s="1270" customFormat="1" x14ac:dyDescent="0.25">
      <c r="A35" s="299" t="s">
        <v>304</v>
      </c>
      <c r="B35" s="298" t="s">
        <v>301</v>
      </c>
      <c r="C35" s="301">
        <f>'Biểu 14'!C35</f>
        <v>110900</v>
      </c>
      <c r="D35" s="301">
        <f>'Biểu 06 DT '!B49</f>
        <v>158200</v>
      </c>
      <c r="E35" s="1267">
        <f t="shared" si="3"/>
        <v>47300</v>
      </c>
      <c r="F35" s="1268"/>
    </row>
    <row r="36" spans="1:8" s="1270" customFormat="1" x14ac:dyDescent="0.25">
      <c r="A36" s="299" t="s">
        <v>147</v>
      </c>
      <c r="B36" s="298" t="s">
        <v>303</v>
      </c>
      <c r="C36" s="301">
        <f>'Biểu 14'!C36</f>
        <v>41800</v>
      </c>
      <c r="D36" s="301">
        <f>'Biểu 06 DT '!B50</f>
        <v>54500</v>
      </c>
      <c r="E36" s="1267">
        <f t="shared" si="3"/>
        <v>12700</v>
      </c>
      <c r="F36" s="1268"/>
    </row>
    <row r="37" spans="1:8" ht="19.5" customHeight="1" x14ac:dyDescent="0.25">
      <c r="A37" s="1255" t="s">
        <v>11</v>
      </c>
      <c r="B37" s="1256" t="s">
        <v>246</v>
      </c>
      <c r="C37" s="1257">
        <f>C38+C52</f>
        <v>1373930</v>
      </c>
      <c r="D37" s="1257">
        <f>D38+D52</f>
        <v>681760</v>
      </c>
      <c r="E37" s="1257">
        <f t="shared" si="3"/>
        <v>-692170</v>
      </c>
      <c r="F37" s="1259">
        <f t="shared" si="1"/>
        <v>0.49621159738851323</v>
      </c>
    </row>
    <row r="38" spans="1:8" s="1260" customFormat="1" ht="19.5" customHeight="1" x14ac:dyDescent="0.2">
      <c r="A38" s="1255">
        <v>1</v>
      </c>
      <c r="B38" s="1256" t="s">
        <v>301</v>
      </c>
      <c r="C38" s="1257">
        <f>C39+C50+C51</f>
        <v>1142579</v>
      </c>
      <c r="D38" s="1257">
        <f>D39+D50+D51</f>
        <v>410729</v>
      </c>
      <c r="E38" s="1257">
        <f t="shared" ref="E38" si="5">E39+E50+E51</f>
        <v>-731850</v>
      </c>
      <c r="F38" s="1259"/>
    </row>
    <row r="39" spans="1:8" s="1270" customFormat="1" x14ac:dyDescent="0.25">
      <c r="A39" s="1271" t="s">
        <v>146</v>
      </c>
      <c r="B39" s="1262" t="s">
        <v>111</v>
      </c>
      <c r="C39" s="1267">
        <f>SUM(C40:C49)</f>
        <v>204200</v>
      </c>
      <c r="D39" s="1267">
        <f>SUM(D40:D49)</f>
        <v>270670</v>
      </c>
      <c r="E39" s="1267">
        <f t="shared" ref="E39" si="6">SUM(E40:E49)</f>
        <v>66470</v>
      </c>
      <c r="F39" s="1268"/>
      <c r="G39" s="1269">
        <f>'Biểu 06 DT '!B52</f>
        <v>270670</v>
      </c>
      <c r="H39" s="1269">
        <f>G39-D39</f>
        <v>0</v>
      </c>
    </row>
    <row r="40" spans="1:8" s="1270" customFormat="1" x14ac:dyDescent="0.25">
      <c r="A40" s="294" t="s">
        <v>288</v>
      </c>
      <c r="B40" s="98" t="s">
        <v>294</v>
      </c>
      <c r="C40" s="98">
        <v>48973</v>
      </c>
      <c r="D40" s="1258">
        <v>116603</v>
      </c>
      <c r="E40" s="1258">
        <f>D40-C40</f>
        <v>67630</v>
      </c>
      <c r="F40" s="1268"/>
    </row>
    <row r="41" spans="1:8" s="1270" customFormat="1" ht="30" x14ac:dyDescent="0.25">
      <c r="A41" s="294" t="s">
        <v>288</v>
      </c>
      <c r="B41" s="98" t="s">
        <v>295</v>
      </c>
      <c r="C41" s="98">
        <v>20650</v>
      </c>
      <c r="D41" s="1258">
        <v>42725</v>
      </c>
      <c r="E41" s="1258">
        <f t="shared" ref="E41:E51" si="7">D41-C41</f>
        <v>22075</v>
      </c>
      <c r="F41" s="1268"/>
    </row>
    <row r="42" spans="1:8" s="1270" customFormat="1" x14ac:dyDescent="0.25">
      <c r="A42" s="294" t="s">
        <v>288</v>
      </c>
      <c r="B42" s="452" t="s">
        <v>296</v>
      </c>
      <c r="C42" s="98"/>
      <c r="D42" s="1258"/>
      <c r="E42" s="1258">
        <f t="shared" si="7"/>
        <v>0</v>
      </c>
      <c r="F42" s="1268"/>
    </row>
    <row r="43" spans="1:8" s="1270" customFormat="1" x14ac:dyDescent="0.25">
      <c r="A43" s="294" t="s">
        <v>288</v>
      </c>
      <c r="B43" s="452" t="s">
        <v>297</v>
      </c>
      <c r="C43" s="98">
        <v>35777</v>
      </c>
      <c r="D43" s="1258">
        <v>23000</v>
      </c>
      <c r="E43" s="1258">
        <f t="shared" si="7"/>
        <v>-12777</v>
      </c>
      <c r="F43" s="1268"/>
    </row>
    <row r="44" spans="1:8" s="1270" customFormat="1" ht="52.5" customHeight="1" x14ac:dyDescent="0.25">
      <c r="A44" s="294" t="s">
        <v>288</v>
      </c>
      <c r="B44" s="452" t="s">
        <v>298</v>
      </c>
      <c r="C44" s="98">
        <v>5000</v>
      </c>
      <c r="D44" s="1258">
        <v>6000</v>
      </c>
      <c r="E44" s="1258">
        <f t="shared" si="7"/>
        <v>1000</v>
      </c>
      <c r="F44" s="1268"/>
    </row>
    <row r="45" spans="1:8" s="1270" customFormat="1" x14ac:dyDescent="0.25">
      <c r="A45" s="294" t="s">
        <v>288</v>
      </c>
      <c r="B45" s="452" t="s">
        <v>299</v>
      </c>
      <c r="C45" s="98">
        <v>10000</v>
      </c>
      <c r="D45" s="1258">
        <v>7000</v>
      </c>
      <c r="E45" s="1258">
        <f t="shared" si="7"/>
        <v>-3000</v>
      </c>
      <c r="F45" s="1268"/>
    </row>
    <row r="46" spans="1:8" s="1270" customFormat="1" x14ac:dyDescent="0.25">
      <c r="A46" s="294" t="s">
        <v>288</v>
      </c>
      <c r="B46" s="452" t="s">
        <v>300</v>
      </c>
      <c r="C46" s="98">
        <v>43600</v>
      </c>
      <c r="D46" s="1258">
        <v>51098</v>
      </c>
      <c r="E46" s="1258">
        <f t="shared" si="7"/>
        <v>7498</v>
      </c>
      <c r="F46" s="1268"/>
    </row>
    <row r="47" spans="1:8" s="1270" customFormat="1" ht="33.75" customHeight="1" x14ac:dyDescent="0.25">
      <c r="A47" s="294" t="s">
        <v>288</v>
      </c>
      <c r="B47" s="452" t="s">
        <v>1260</v>
      </c>
      <c r="C47" s="98">
        <v>8000</v>
      </c>
      <c r="D47" s="1258">
        <v>22606</v>
      </c>
      <c r="E47" s="1258">
        <f t="shared" si="7"/>
        <v>14606</v>
      </c>
      <c r="F47" s="1268"/>
    </row>
    <row r="48" spans="1:8" s="1270" customFormat="1" ht="24" customHeight="1" x14ac:dyDescent="0.25">
      <c r="A48" s="294" t="s">
        <v>288</v>
      </c>
      <c r="B48" s="452" t="s">
        <v>1579</v>
      </c>
      <c r="C48" s="98"/>
      <c r="D48" s="1258">
        <v>1638</v>
      </c>
      <c r="E48" s="1258">
        <f t="shared" si="7"/>
        <v>1638</v>
      </c>
      <c r="F48" s="1268"/>
    </row>
    <row r="49" spans="1:7" s="1270" customFormat="1" ht="30" x14ac:dyDescent="0.25">
      <c r="A49" s="294" t="s">
        <v>288</v>
      </c>
      <c r="B49" s="452" t="s">
        <v>1262</v>
      </c>
      <c r="C49" s="98">
        <v>32200</v>
      </c>
      <c r="D49" s="1258"/>
      <c r="E49" s="1258">
        <f t="shared" si="7"/>
        <v>-32200</v>
      </c>
      <c r="F49" s="1268"/>
    </row>
    <row r="50" spans="1:7" s="1270" customFormat="1" x14ac:dyDescent="0.25">
      <c r="A50" s="299" t="s">
        <v>147</v>
      </c>
      <c r="B50" s="454" t="s">
        <v>557</v>
      </c>
      <c r="C50" s="298">
        <v>488000</v>
      </c>
      <c r="D50" s="1258">
        <f>'Biểu 06 DT '!B54</f>
        <v>104400</v>
      </c>
      <c r="E50" s="1258">
        <f>D50-C50</f>
        <v>-383600</v>
      </c>
      <c r="F50" s="1268"/>
    </row>
    <row r="51" spans="1:7" s="1270" customFormat="1" x14ac:dyDescent="0.25">
      <c r="A51" s="299" t="s">
        <v>445</v>
      </c>
      <c r="B51" s="454" t="s">
        <v>302</v>
      </c>
      <c r="C51" s="298">
        <v>450379</v>
      </c>
      <c r="D51" s="1258">
        <f>'Biểu 06 DT '!B53</f>
        <v>35659</v>
      </c>
      <c r="E51" s="1258">
        <f t="shared" si="7"/>
        <v>-414720</v>
      </c>
      <c r="F51" s="1268"/>
    </row>
    <row r="52" spans="1:7" s="1260" customFormat="1" ht="14.25" x14ac:dyDescent="0.2">
      <c r="A52" s="1255">
        <v>2</v>
      </c>
      <c r="B52" s="1256" t="s">
        <v>303</v>
      </c>
      <c r="C52" s="295">
        <f>C53+C54</f>
        <v>231351</v>
      </c>
      <c r="D52" s="295">
        <f>D53+D54</f>
        <v>271031</v>
      </c>
      <c r="E52" s="295"/>
      <c r="F52" s="1272"/>
      <c r="G52" s="1260">
        <v>271031</v>
      </c>
    </row>
    <row r="53" spans="1:7" s="1260" customFormat="1" ht="15.75" customHeight="1" x14ac:dyDescent="0.2">
      <c r="A53" s="294" t="s">
        <v>146</v>
      </c>
      <c r="B53" s="402" t="s">
        <v>302</v>
      </c>
      <c r="C53" s="404">
        <v>23810</v>
      </c>
      <c r="D53" s="295">
        <f>'Biểu 07 DT'!C7</f>
        <v>13211</v>
      </c>
      <c r="E53" s="295"/>
      <c r="F53" s="1272"/>
      <c r="G53" s="119">
        <f>G52-D52</f>
        <v>0</v>
      </c>
    </row>
    <row r="54" spans="1:7" s="1260" customFormat="1" ht="14.25" x14ac:dyDescent="0.2">
      <c r="A54" s="294" t="s">
        <v>147</v>
      </c>
      <c r="B54" s="402" t="s">
        <v>111</v>
      </c>
      <c r="C54" s="404">
        <f>SUM(C55:C82)+SUM(C94:C95)</f>
        <v>207541</v>
      </c>
      <c r="D54" s="404">
        <f>SUM(D55:D82)+SUM(D94:D95)</f>
        <v>257820</v>
      </c>
      <c r="E54" s="295"/>
      <c r="F54" s="1272"/>
    </row>
    <row r="55" spans="1:7" s="1260" customFormat="1" ht="18" customHeight="1" x14ac:dyDescent="0.25">
      <c r="A55" s="294" t="s">
        <v>288</v>
      </c>
      <c r="B55" s="415" t="s">
        <v>1270</v>
      </c>
      <c r="C55" s="1277">
        <v>470</v>
      </c>
      <c r="D55" s="1277">
        <v>470</v>
      </c>
      <c r="E55" s="295"/>
      <c r="F55" s="1272"/>
    </row>
    <row r="56" spans="1:7" s="1260" customFormat="1" ht="16.5" customHeight="1" x14ac:dyDescent="0.25">
      <c r="A56" s="294" t="s">
        <v>288</v>
      </c>
      <c r="B56" s="415" t="s">
        <v>199</v>
      </c>
      <c r="C56" s="1277">
        <v>90</v>
      </c>
      <c r="D56" s="1277">
        <v>90</v>
      </c>
      <c r="E56" s="295"/>
      <c r="F56" s="1272"/>
    </row>
    <row r="57" spans="1:7" s="1260" customFormat="1" x14ac:dyDescent="0.25">
      <c r="A57" s="294" t="s">
        <v>288</v>
      </c>
      <c r="B57" s="415" t="s">
        <v>1263</v>
      </c>
      <c r="C57" s="1277">
        <v>600</v>
      </c>
      <c r="D57" s="1277"/>
      <c r="E57" s="295"/>
      <c r="F57" s="1272"/>
    </row>
    <row r="58" spans="1:7" s="1260" customFormat="1" ht="22.5" customHeight="1" x14ac:dyDescent="0.25">
      <c r="A58" s="294" t="s">
        <v>288</v>
      </c>
      <c r="B58" s="415" t="s">
        <v>1271</v>
      </c>
      <c r="C58" s="1277">
        <v>500</v>
      </c>
      <c r="D58" s="1277">
        <f>'Biểu 07 DT'!C10</f>
        <v>550</v>
      </c>
      <c r="E58" s="295"/>
      <c r="F58" s="1272"/>
    </row>
    <row r="59" spans="1:7" s="1260" customFormat="1" ht="18.75" customHeight="1" x14ac:dyDescent="0.25">
      <c r="A59" s="294" t="s">
        <v>288</v>
      </c>
      <c r="B59" s="415" t="s">
        <v>1272</v>
      </c>
      <c r="C59" s="1277">
        <v>431</v>
      </c>
      <c r="D59" s="1277">
        <f>'Biểu 07 DT'!C11</f>
        <v>614</v>
      </c>
      <c r="E59" s="295"/>
      <c r="F59" s="1272"/>
    </row>
    <row r="60" spans="1:7" s="1260" customFormat="1" ht="22.5" customHeight="1" x14ac:dyDescent="0.25">
      <c r="A60" s="294" t="s">
        <v>288</v>
      </c>
      <c r="B60" s="415" t="s">
        <v>1273</v>
      </c>
      <c r="C60" s="1277">
        <v>26438</v>
      </c>
      <c r="D60" s="1277">
        <f>'Biểu 07 DT'!C12</f>
        <v>23479</v>
      </c>
      <c r="E60" s="295"/>
      <c r="F60" s="1272"/>
    </row>
    <row r="61" spans="1:7" s="1260" customFormat="1" ht="30" x14ac:dyDescent="0.25">
      <c r="A61" s="294" t="s">
        <v>288</v>
      </c>
      <c r="B61" s="415" t="s">
        <v>1264</v>
      </c>
      <c r="C61" s="1277">
        <v>6965</v>
      </c>
      <c r="D61" s="1277">
        <f>'Biểu 07 DT'!C13</f>
        <v>12042</v>
      </c>
      <c r="E61" s="295"/>
      <c r="F61" s="1272"/>
    </row>
    <row r="62" spans="1:7" s="1260" customFormat="1" ht="19.5" customHeight="1" x14ac:dyDescent="0.25">
      <c r="A62" s="294" t="s">
        <v>288</v>
      </c>
      <c r="B62" s="415" t="s">
        <v>1274</v>
      </c>
      <c r="C62" s="1277">
        <v>1540</v>
      </c>
      <c r="D62" s="1277"/>
      <c r="E62" s="295"/>
      <c r="F62" s="1272"/>
    </row>
    <row r="63" spans="1:7" s="1260" customFormat="1" x14ac:dyDescent="0.25">
      <c r="A63" s="294" t="s">
        <v>288</v>
      </c>
      <c r="B63" s="415" t="s">
        <v>539</v>
      </c>
      <c r="C63" s="1277">
        <v>1988</v>
      </c>
      <c r="D63" s="1277">
        <f>'Biểu 07 DT'!C15</f>
        <v>4931</v>
      </c>
      <c r="E63" s="295"/>
      <c r="F63" s="1272"/>
    </row>
    <row r="64" spans="1:7" s="1260" customFormat="1" ht="30" x14ac:dyDescent="0.25">
      <c r="A64" s="294" t="s">
        <v>288</v>
      </c>
      <c r="B64" s="1002" t="s">
        <v>540</v>
      </c>
      <c r="C64" s="1277">
        <v>2410</v>
      </c>
      <c r="D64" s="1277">
        <f>'Biểu 07 DT'!C16</f>
        <v>2835</v>
      </c>
      <c r="E64" s="295"/>
      <c r="F64" s="1272"/>
    </row>
    <row r="65" spans="1:6" s="1260" customFormat="1" ht="30" x14ac:dyDescent="0.25">
      <c r="A65" s="294" t="s">
        <v>288</v>
      </c>
      <c r="B65" s="415" t="s">
        <v>1265</v>
      </c>
      <c r="C65" s="1277">
        <v>5116</v>
      </c>
      <c r="D65" s="1277">
        <f>'Biểu 07 DT'!C17</f>
        <v>5805</v>
      </c>
      <c r="E65" s="295"/>
      <c r="F65" s="1272"/>
    </row>
    <row r="66" spans="1:6" s="1260" customFormat="1" x14ac:dyDescent="0.25">
      <c r="A66" s="294" t="s">
        <v>288</v>
      </c>
      <c r="B66" s="415" t="s">
        <v>542</v>
      </c>
      <c r="C66" s="1277">
        <v>2990</v>
      </c>
      <c r="D66" s="1277">
        <f>'Biểu 07 DT'!C18</f>
        <v>2028</v>
      </c>
      <c r="E66" s="295"/>
      <c r="F66" s="1272"/>
    </row>
    <row r="67" spans="1:6" s="1260" customFormat="1" ht="25.5" customHeight="1" x14ac:dyDescent="0.25">
      <c r="A67" s="294" t="s">
        <v>288</v>
      </c>
      <c r="B67" s="415" t="str">
        <f>'Biểu 07 DT'!B19</f>
        <v>Kinh phí thực hiện Đề án giảm thiểu hôn nhân cận huyết</v>
      </c>
      <c r="C67" s="1277"/>
      <c r="D67" s="1277">
        <f>'Biểu 07 DT'!C19</f>
        <v>280</v>
      </c>
      <c r="E67" s="295"/>
      <c r="F67" s="1272"/>
    </row>
    <row r="68" spans="1:6" s="1260" customFormat="1" ht="45" x14ac:dyDescent="0.25">
      <c r="A68" s="294" t="s">
        <v>288</v>
      </c>
      <c r="B68" s="415" t="s">
        <v>543</v>
      </c>
      <c r="C68" s="1277">
        <v>44742</v>
      </c>
      <c r="D68" s="1277">
        <f>'Biểu 07 DT'!C20</f>
        <v>42850</v>
      </c>
      <c r="E68" s="295"/>
      <c r="F68" s="1272"/>
    </row>
    <row r="69" spans="1:6" s="1260" customFormat="1" ht="19.5" customHeight="1" x14ac:dyDescent="0.25">
      <c r="A69" s="294" t="s">
        <v>288</v>
      </c>
      <c r="B69" s="415" t="s">
        <v>544</v>
      </c>
      <c r="C69" s="1277">
        <v>4105</v>
      </c>
      <c r="D69" s="1277">
        <f>'Biểu 07 DT'!C21</f>
        <v>4766</v>
      </c>
      <c r="E69" s="295"/>
      <c r="F69" s="1272"/>
    </row>
    <row r="70" spans="1:6" s="1260" customFormat="1" ht="56.25" customHeight="1" x14ac:dyDescent="0.25">
      <c r="A70" s="294" t="s">
        <v>288</v>
      </c>
      <c r="B70" s="415" t="s">
        <v>1497</v>
      </c>
      <c r="C70" s="1277">
        <f>183+2006+108</f>
        <v>2297</v>
      </c>
      <c r="D70" s="1277">
        <f>'Biểu 07 DT'!C22</f>
        <v>1949</v>
      </c>
      <c r="E70" s="295"/>
      <c r="F70" s="1272"/>
    </row>
    <row r="71" spans="1:6" ht="20.25" customHeight="1" x14ac:dyDescent="0.25">
      <c r="A71" s="294" t="s">
        <v>288</v>
      </c>
      <c r="B71" s="1003" t="s">
        <v>1275</v>
      </c>
      <c r="C71" s="1277">
        <v>13663</v>
      </c>
      <c r="D71" s="1277">
        <f>'Biểu 07 DT'!C23</f>
        <v>14749</v>
      </c>
      <c r="E71" s="1258"/>
      <c r="F71" s="1273"/>
    </row>
    <row r="72" spans="1:6" ht="30" x14ac:dyDescent="0.25">
      <c r="A72" s="294" t="s">
        <v>288</v>
      </c>
      <c r="B72" s="98" t="s">
        <v>549</v>
      </c>
      <c r="C72" s="1277">
        <v>12796</v>
      </c>
      <c r="D72" s="1277">
        <f>'Biểu 07 DT'!C24</f>
        <v>12967</v>
      </c>
      <c r="E72" s="1258"/>
      <c r="F72" s="1273"/>
    </row>
    <row r="73" spans="1:6" ht="30" x14ac:dyDescent="0.25">
      <c r="A73" s="294" t="s">
        <v>288</v>
      </c>
      <c r="B73" s="98" t="s">
        <v>550</v>
      </c>
      <c r="C73" s="1277">
        <v>2490</v>
      </c>
      <c r="D73" s="1277">
        <f>'Biểu 07 DT'!C25</f>
        <v>2645</v>
      </c>
      <c r="E73" s="1258"/>
      <c r="F73" s="1273"/>
    </row>
    <row r="74" spans="1:6" ht="35.25" customHeight="1" x14ac:dyDescent="0.25">
      <c r="A74" s="294" t="s">
        <v>288</v>
      </c>
      <c r="B74" s="415" t="s">
        <v>551</v>
      </c>
      <c r="C74" s="1277">
        <v>1058</v>
      </c>
      <c r="D74" s="1277">
        <f>'Biểu 07 DT'!C26</f>
        <v>440</v>
      </c>
      <c r="E74" s="1258"/>
      <c r="F74" s="1273"/>
    </row>
    <row r="75" spans="1:6" ht="35.25" customHeight="1" x14ac:dyDescent="0.25">
      <c r="A75" s="294" t="s">
        <v>288</v>
      </c>
      <c r="B75" s="98" t="s">
        <v>552</v>
      </c>
      <c r="C75" s="1277">
        <v>150</v>
      </c>
      <c r="D75" s="1277"/>
      <c r="E75" s="1258"/>
      <c r="F75" s="1273"/>
    </row>
    <row r="76" spans="1:6" ht="45" x14ac:dyDescent="0.25">
      <c r="A76" s="294" t="s">
        <v>288</v>
      </c>
      <c r="B76" s="98" t="s">
        <v>553</v>
      </c>
      <c r="C76" s="1277">
        <v>1397</v>
      </c>
      <c r="D76" s="1277">
        <f>'Biểu 07 DT'!C28</f>
        <v>1310</v>
      </c>
      <c r="E76" s="1258"/>
      <c r="F76" s="1273"/>
    </row>
    <row r="77" spans="1:6" ht="21.75" customHeight="1" x14ac:dyDescent="0.25">
      <c r="A77" s="294" t="s">
        <v>288</v>
      </c>
      <c r="B77" s="98" t="s">
        <v>1462</v>
      </c>
      <c r="C77" s="1277"/>
      <c r="D77" s="1277">
        <f>'Biểu 07 DT'!C29</f>
        <v>3266</v>
      </c>
      <c r="E77" s="1258"/>
      <c r="F77" s="1273"/>
    </row>
    <row r="78" spans="1:6" ht="21" customHeight="1" x14ac:dyDescent="0.25">
      <c r="A78" s="294" t="s">
        <v>288</v>
      </c>
      <c r="B78" s="98" t="str">
        <f>'Biểu 07 DT'!B30</f>
        <v>Vốn chuẩn bị động viên</v>
      </c>
      <c r="C78" s="1277"/>
      <c r="D78" s="1277">
        <f>'Biểu 07 DT'!C30</f>
        <v>3000</v>
      </c>
      <c r="E78" s="1258"/>
      <c r="F78" s="1273"/>
    </row>
    <row r="79" spans="1:6" ht="32.25" customHeight="1" x14ac:dyDescent="0.25">
      <c r="A79" s="294" t="s">
        <v>288</v>
      </c>
      <c r="B79" s="98" t="s">
        <v>1276</v>
      </c>
      <c r="C79" s="1277">
        <v>2500</v>
      </c>
      <c r="D79" s="1277">
        <f>'Biểu 07 DT'!C31</f>
        <v>3100</v>
      </c>
      <c r="E79" s="1258"/>
      <c r="F79" s="1273"/>
    </row>
    <row r="80" spans="1:6" ht="30" x14ac:dyDescent="0.25">
      <c r="A80" s="294" t="s">
        <v>288</v>
      </c>
      <c r="B80" s="98" t="s">
        <v>554</v>
      </c>
      <c r="C80" s="1277">
        <v>4110</v>
      </c>
      <c r="D80" s="1277">
        <f>'Biểu 07 DT'!C32</f>
        <v>4836</v>
      </c>
      <c r="E80" s="1258"/>
      <c r="F80" s="1273"/>
    </row>
    <row r="81" spans="1:6" ht="33" customHeight="1" x14ac:dyDescent="0.25">
      <c r="A81" s="294"/>
      <c r="B81" s="98" t="str">
        <f>'Biểu 07 DT'!B33</f>
        <v>Kinh phí quản lý, bảo trì đường bộ cho các quỹ bảo trì đường bộ địa phương</v>
      </c>
      <c r="C81" s="1277"/>
      <c r="D81" s="1277">
        <f>'Biểu 07 DT'!C33</f>
        <v>26088</v>
      </c>
      <c r="E81" s="1258"/>
      <c r="F81" s="1273"/>
    </row>
    <row r="82" spans="1:6" x14ac:dyDescent="0.25">
      <c r="A82" s="294" t="s">
        <v>288</v>
      </c>
      <c r="B82" s="98" t="s">
        <v>555</v>
      </c>
      <c r="C82" s="1277">
        <f>SUM(C83:C91)</f>
        <v>56165</v>
      </c>
      <c r="D82" s="1277">
        <f>SUM(D83:D93)</f>
        <v>70200</v>
      </c>
      <c r="E82" s="1258"/>
      <c r="F82" s="1273"/>
    </row>
    <row r="83" spans="1:6" ht="30" x14ac:dyDescent="0.25">
      <c r="A83" s="294" t="s">
        <v>492</v>
      </c>
      <c r="B83" s="98" t="s">
        <v>625</v>
      </c>
      <c r="C83" s="1277">
        <v>2630</v>
      </c>
      <c r="D83" s="1277">
        <f>'Biểu 07 DT'!C35</f>
        <v>5940</v>
      </c>
      <c r="E83" s="1258"/>
      <c r="F83" s="1273"/>
    </row>
    <row r="84" spans="1:6" ht="35.25" customHeight="1" x14ac:dyDescent="0.25">
      <c r="A84" s="294" t="s">
        <v>492</v>
      </c>
      <c r="B84" s="98" t="str">
        <f>'Biểu 07 DT'!B36</f>
        <v>CTMT Giáo dục vùng núi, vùng dân tộc thiểu số, vùng khó khăn</v>
      </c>
      <c r="C84" s="1277"/>
      <c r="D84" s="1277">
        <f>'Biểu 07 DT'!C36</f>
        <v>18500</v>
      </c>
      <c r="E84" s="1258"/>
      <c r="F84" s="1273"/>
    </row>
    <row r="85" spans="1:6" x14ac:dyDescent="0.25">
      <c r="A85" s="294" t="s">
        <v>492</v>
      </c>
      <c r="B85" s="98" t="s">
        <v>626</v>
      </c>
      <c r="C85" s="1277">
        <v>19203</v>
      </c>
      <c r="D85" s="1277">
        <f>'Biểu 07 DT'!C37</f>
        <v>9312</v>
      </c>
      <c r="E85" s="1258"/>
      <c r="F85" s="1273"/>
    </row>
    <row r="86" spans="1:6" ht="18.75" customHeight="1" x14ac:dyDescent="0.25">
      <c r="A86" s="294" t="s">
        <v>492</v>
      </c>
      <c r="B86" s="98" t="s">
        <v>627</v>
      </c>
      <c r="C86" s="1277">
        <v>8239</v>
      </c>
      <c r="D86" s="1277">
        <f>'Biểu 07 DT'!C38</f>
        <v>6655</v>
      </c>
      <c r="E86" s="1258"/>
      <c r="F86" s="1273"/>
    </row>
    <row r="87" spans="1:6" x14ac:dyDescent="0.25">
      <c r="A87" s="294" t="s">
        <v>492</v>
      </c>
      <c r="B87" s="98" t="s">
        <v>628</v>
      </c>
      <c r="C87" s="1277">
        <v>1783</v>
      </c>
      <c r="D87" s="1277">
        <f>'Biểu 07 DT'!C39</f>
        <v>1683</v>
      </c>
      <c r="E87" s="1258"/>
      <c r="F87" s="1273"/>
    </row>
    <row r="88" spans="1:6" ht="30" hidden="1" x14ac:dyDescent="0.25">
      <c r="A88" s="294" t="s">
        <v>492</v>
      </c>
      <c r="B88" s="98" t="s">
        <v>629</v>
      </c>
      <c r="C88" s="1277">
        <v>1710</v>
      </c>
      <c r="D88" s="1277"/>
      <c r="E88" s="1258"/>
      <c r="F88" s="1273"/>
    </row>
    <row r="89" spans="1:6" ht="30" x14ac:dyDescent="0.25">
      <c r="A89" s="294"/>
      <c r="B89" s="98" t="str">
        <f>'Biểu 07 DT'!B40</f>
        <v>CTMT đảm bảo trật tự an toàn giao thông, PCCC, phòng chống tội phạm và ma túy</v>
      </c>
      <c r="C89" s="1277"/>
      <c r="D89" s="1277">
        <f>'Biểu 07 DT'!C40</f>
        <v>1810</v>
      </c>
      <c r="E89" s="1258"/>
      <c r="F89" s="1273"/>
    </row>
    <row r="90" spans="1:6" x14ac:dyDescent="0.25">
      <c r="A90" s="294" t="s">
        <v>492</v>
      </c>
      <c r="B90" s="98" t="s">
        <v>630</v>
      </c>
      <c r="C90" s="1277">
        <v>21600</v>
      </c>
      <c r="D90" s="1277">
        <f>'Biểu 07 DT'!C41</f>
        <v>24200</v>
      </c>
      <c r="E90" s="1258"/>
      <c r="F90" s="1273"/>
    </row>
    <row r="91" spans="1:6" ht="30" x14ac:dyDescent="0.25">
      <c r="A91" s="294" t="s">
        <v>492</v>
      </c>
      <c r="B91" s="98" t="s">
        <v>631</v>
      </c>
      <c r="C91" s="1277">
        <v>1000</v>
      </c>
      <c r="D91" s="1277">
        <f>'Biểu 07 DT'!C42</f>
        <v>1000</v>
      </c>
      <c r="E91" s="1258"/>
      <c r="F91" s="1273"/>
    </row>
    <row r="92" spans="1:6" x14ac:dyDescent="0.25">
      <c r="A92" s="294" t="s">
        <v>492</v>
      </c>
      <c r="B92" s="98" t="str">
        <f>'Biểu 07 DT'!B43</f>
        <v>CTMT ứng phó với biến đổi khí hậu và tăng trưởng xanh</v>
      </c>
      <c r="C92" s="1277"/>
      <c r="D92" s="1277">
        <f>'Biểu 07 DT'!C43</f>
        <v>400</v>
      </c>
      <c r="E92" s="1258"/>
      <c r="F92" s="1273"/>
    </row>
    <row r="93" spans="1:6" x14ac:dyDescent="0.25">
      <c r="A93" s="294" t="s">
        <v>492</v>
      </c>
      <c r="B93" s="98" t="str">
        <f>'Biểu 07 DT'!B44</f>
        <v>CTMT Công nghệ thông tin</v>
      </c>
      <c r="C93" s="1277"/>
      <c r="D93" s="1277">
        <f>'Biểu 07 DT'!C44</f>
        <v>700</v>
      </c>
      <c r="E93" s="1258"/>
      <c r="F93" s="1273"/>
    </row>
    <row r="94" spans="1:6" ht="36" customHeight="1" x14ac:dyDescent="0.25">
      <c r="A94" s="294" t="s">
        <v>288</v>
      </c>
      <c r="B94" s="415" t="s">
        <v>556</v>
      </c>
      <c r="C94" s="1277">
        <v>2530</v>
      </c>
      <c r="D94" s="1277">
        <f>'Biểu 07 DT'!C45</f>
        <v>2530</v>
      </c>
      <c r="E94" s="1258"/>
      <c r="F94" s="1273"/>
    </row>
    <row r="95" spans="1:6" ht="21.75" customHeight="1" x14ac:dyDescent="0.25">
      <c r="A95" s="1121" t="s">
        <v>288</v>
      </c>
      <c r="B95" s="1009" t="s">
        <v>934</v>
      </c>
      <c r="C95" s="1749">
        <v>10000</v>
      </c>
      <c r="D95" s="1749">
        <f>'Biểu 07 DT'!C46</f>
        <v>10000</v>
      </c>
      <c r="E95" s="1750"/>
      <c r="F95" s="1751"/>
    </row>
    <row r="96" spans="1:6" ht="24.75" hidden="1" customHeight="1" x14ac:dyDescent="0.25">
      <c r="A96" s="1744" t="s">
        <v>4</v>
      </c>
      <c r="B96" s="1745" t="s">
        <v>50</v>
      </c>
      <c r="C96" s="1746"/>
      <c r="D96" s="1747"/>
      <c r="E96" s="1748"/>
      <c r="F96" s="1748"/>
    </row>
    <row r="97" spans="1:6" x14ac:dyDescent="0.25">
      <c r="A97" s="2027"/>
      <c r="B97" s="2027"/>
      <c r="C97" s="2027"/>
      <c r="D97" s="2027"/>
      <c r="E97" s="2027"/>
      <c r="F97" s="2027"/>
    </row>
    <row r="98" spans="1:6" x14ac:dyDescent="0.25">
      <c r="A98" s="2028"/>
      <c r="B98" s="2028"/>
      <c r="C98" s="2028"/>
      <c r="D98" s="2028"/>
      <c r="E98" s="2028"/>
      <c r="F98" s="2028"/>
    </row>
    <row r="99" spans="1:6" x14ac:dyDescent="0.25">
      <c r="A99" s="1274"/>
    </row>
  </sheetData>
  <mergeCells count="10">
    <mergeCell ref="A97:F97"/>
    <mergeCell ref="A98:F98"/>
    <mergeCell ref="A1:F1"/>
    <mergeCell ref="A2:F2"/>
    <mergeCell ref="E3:F3"/>
    <mergeCell ref="A4:A5"/>
    <mergeCell ref="B4:B5"/>
    <mergeCell ref="C4:C5"/>
    <mergeCell ref="D4:D5"/>
    <mergeCell ref="E4:F4"/>
  </mergeCells>
  <pageMargins left="0.84" right="0.2" top="0.75" bottom="0.78" header="0.41" footer="0.38"/>
  <pageSetup paperSize="9" firstPageNumber="8" orientation="portrait" useFirstPageNumber="1" r:id="rId1"/>
  <headerFooter>
    <oddHeader>&amp;RBiểu mẫu số 17</oddHeader>
    <oddFooter>&amp;C&amp;P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I56"/>
  <sheetViews>
    <sheetView workbookViewId="0">
      <selection activeCell="G7" sqref="G7"/>
    </sheetView>
  </sheetViews>
  <sheetFormatPr defaultRowHeight="15.75" x14ac:dyDescent="0.25"/>
  <cols>
    <col min="1" max="1" width="4.75" style="963" customWidth="1"/>
    <col min="2" max="2" width="45.25" style="963" customWidth="1"/>
    <col min="3" max="3" width="9.375" style="963" hidden="1" customWidth="1"/>
    <col min="4" max="5" width="11.5" style="963" customWidth="1"/>
    <col min="6" max="6" width="8.5" style="963" customWidth="1"/>
    <col min="7" max="16384" width="9" style="963"/>
  </cols>
  <sheetData>
    <row r="1" spans="1:35" ht="27.75" customHeight="1" x14ac:dyDescent="0.25">
      <c r="A1" s="2019" t="s">
        <v>1435</v>
      </c>
      <c r="B1" s="2019"/>
      <c r="C1" s="2019"/>
      <c r="D1" s="2019"/>
      <c r="E1" s="2019"/>
      <c r="F1" s="2019"/>
    </row>
    <row r="2" spans="1:35" ht="18.75" customHeight="1" x14ac:dyDescent="0.25">
      <c r="A2" s="2034" t="s">
        <v>2428</v>
      </c>
      <c r="B2" s="2034"/>
      <c r="C2" s="2034"/>
      <c r="D2" s="2034"/>
      <c r="E2" s="2034"/>
      <c r="F2" s="2034"/>
      <c r="G2" s="1507"/>
      <c r="H2" s="1507"/>
      <c r="I2" s="1507"/>
      <c r="J2" s="1507"/>
      <c r="K2" s="1507"/>
      <c r="L2" s="1507"/>
      <c r="M2" s="1507"/>
      <c r="N2" s="1507"/>
      <c r="O2" s="1507"/>
      <c r="P2" s="1507"/>
      <c r="Q2" s="1507"/>
      <c r="R2" s="1507"/>
      <c r="S2" s="1507"/>
      <c r="T2" s="1507"/>
      <c r="U2" s="1507"/>
      <c r="V2" s="1507"/>
      <c r="W2" s="1507"/>
      <c r="X2" s="1507"/>
      <c r="Y2" s="1507"/>
      <c r="Z2" s="1507"/>
      <c r="AA2" s="1507"/>
      <c r="AB2" s="1507"/>
      <c r="AC2" s="1507"/>
      <c r="AD2" s="1507"/>
      <c r="AE2" s="1507"/>
      <c r="AF2" s="1507"/>
      <c r="AG2" s="1507"/>
      <c r="AH2" s="1507"/>
      <c r="AI2" s="1507"/>
    </row>
    <row r="3" spans="1:35" x14ac:dyDescent="0.25">
      <c r="A3" s="6"/>
      <c r="E3" s="978" t="s">
        <v>6</v>
      </c>
      <c r="F3" s="978"/>
    </row>
    <row r="4" spans="1:35" ht="65.25" customHeight="1" x14ac:dyDescent="0.25">
      <c r="A4" s="977" t="s">
        <v>0</v>
      </c>
      <c r="B4" s="977" t="s">
        <v>1</v>
      </c>
      <c r="C4" s="977" t="s">
        <v>1436</v>
      </c>
      <c r="D4" s="977" t="s">
        <v>1255</v>
      </c>
      <c r="E4" s="977" t="s">
        <v>1268</v>
      </c>
      <c r="F4" s="977" t="s">
        <v>43</v>
      </c>
    </row>
    <row r="5" spans="1:35" x14ac:dyDescent="0.25">
      <c r="A5" s="57" t="s">
        <v>2</v>
      </c>
      <c r="B5" s="57" t="s">
        <v>3</v>
      </c>
      <c r="C5" s="57">
        <v>1</v>
      </c>
      <c r="D5" s="57">
        <v>2</v>
      </c>
      <c r="E5" s="57">
        <v>3</v>
      </c>
      <c r="F5" s="57">
        <v>4</v>
      </c>
    </row>
    <row r="6" spans="1:35" x14ac:dyDescent="0.25">
      <c r="A6" s="33" t="s">
        <v>2</v>
      </c>
      <c r="B6" s="278" t="s">
        <v>252</v>
      </c>
      <c r="C6" s="278"/>
      <c r="D6" s="71">
        <v>3461103</v>
      </c>
      <c r="E6" s="71" t="e">
        <f>E7-16670</f>
        <v>#REF!</v>
      </c>
      <c r="F6" s="34"/>
      <c r="G6" s="88"/>
    </row>
    <row r="7" spans="1:35" x14ac:dyDescent="0.25">
      <c r="A7" s="33" t="s">
        <v>3</v>
      </c>
      <c r="B7" s="278" t="s">
        <v>44</v>
      </c>
      <c r="C7" s="278"/>
      <c r="D7" s="71">
        <v>3527359</v>
      </c>
      <c r="E7" s="71" t="e">
        <f>#REF!</f>
        <v>#REF!</v>
      </c>
      <c r="F7" s="34"/>
      <c r="G7" s="88"/>
    </row>
    <row r="8" spans="1:35" x14ac:dyDescent="0.25">
      <c r="A8" s="33" t="s">
        <v>4</v>
      </c>
      <c r="B8" s="278" t="s">
        <v>2426</v>
      </c>
      <c r="C8" s="278"/>
      <c r="D8" s="34">
        <v>1200</v>
      </c>
      <c r="E8" s="71" t="e">
        <f>E7-E6</f>
        <v>#REF!</v>
      </c>
      <c r="F8" s="34"/>
    </row>
    <row r="9" spans="1:35" ht="31.5" x14ac:dyDescent="0.25">
      <c r="A9" s="33" t="s">
        <v>193</v>
      </c>
      <c r="B9" s="278" t="s">
        <v>253</v>
      </c>
      <c r="C9" s="278"/>
      <c r="D9" s="71">
        <f>545010*20%</f>
        <v>109002</v>
      </c>
      <c r="E9" s="71">
        <f>605178*20%</f>
        <v>121035.6</v>
      </c>
      <c r="F9" s="71">
        <f>E9/D9*100</f>
        <v>111.03979743490946</v>
      </c>
    </row>
    <row r="10" spans="1:35" x14ac:dyDescent="0.25">
      <c r="A10" s="33" t="s">
        <v>207</v>
      </c>
      <c r="B10" s="278" t="s">
        <v>254</v>
      </c>
      <c r="C10" s="278"/>
      <c r="D10" s="34"/>
      <c r="E10" s="34"/>
      <c r="F10" s="34"/>
    </row>
    <row r="11" spans="1:35" x14ac:dyDescent="0.25">
      <c r="A11" s="33" t="s">
        <v>9</v>
      </c>
      <c r="B11" s="278" t="s">
        <v>255</v>
      </c>
      <c r="C11" s="72">
        <f>SUM(C14:C15)</f>
        <v>87109</v>
      </c>
      <c r="D11" s="72">
        <f t="shared" ref="D11:E11" si="0">SUM(D14:D15)</f>
        <v>87109</v>
      </c>
      <c r="E11" s="72">
        <f t="shared" si="0"/>
        <v>85909</v>
      </c>
      <c r="F11" s="72">
        <f>E11/D11*100</f>
        <v>98.622415594255472</v>
      </c>
    </row>
    <row r="12" spans="1:35" ht="31.5" x14ac:dyDescent="0.25">
      <c r="A12" s="277"/>
      <c r="B12" s="4" t="s">
        <v>256</v>
      </c>
      <c r="C12" s="34"/>
      <c r="D12" s="34"/>
      <c r="E12" s="34"/>
      <c r="F12" s="34"/>
    </row>
    <row r="13" spans="1:35" x14ac:dyDescent="0.25">
      <c r="A13" s="277">
        <v>1</v>
      </c>
      <c r="B13" s="34" t="s">
        <v>257</v>
      </c>
      <c r="C13" s="34"/>
      <c r="D13" s="34"/>
      <c r="E13" s="34"/>
      <c r="F13" s="34"/>
    </row>
    <row r="14" spans="1:35" x14ac:dyDescent="0.25">
      <c r="A14" s="277">
        <v>2</v>
      </c>
      <c r="B14" s="34" t="s">
        <v>258</v>
      </c>
      <c r="C14" s="71">
        <v>9209</v>
      </c>
      <c r="D14" s="71">
        <v>9209</v>
      </c>
      <c r="E14" s="71">
        <v>44709</v>
      </c>
      <c r="F14" s="34"/>
    </row>
    <row r="15" spans="1:35" x14ac:dyDescent="0.25">
      <c r="A15" s="277">
        <v>3</v>
      </c>
      <c r="B15" s="34" t="s">
        <v>259</v>
      </c>
      <c r="C15" s="71">
        <v>77900</v>
      </c>
      <c r="D15" s="71">
        <v>77900</v>
      </c>
      <c r="E15" s="71">
        <v>41200</v>
      </c>
      <c r="F15" s="34"/>
    </row>
    <row r="16" spans="1:35" x14ac:dyDescent="0.25">
      <c r="A16" s="33" t="s">
        <v>11</v>
      </c>
      <c r="B16" s="278" t="s">
        <v>260</v>
      </c>
      <c r="C16" s="34"/>
      <c r="D16" s="34"/>
      <c r="E16" s="34"/>
      <c r="F16" s="34"/>
    </row>
    <row r="17" spans="1:9" x14ac:dyDescent="0.25">
      <c r="A17" s="33">
        <v>1</v>
      </c>
      <c r="B17" s="278" t="s">
        <v>261</v>
      </c>
      <c r="C17" s="72">
        <f>SUM(C19:C20)</f>
        <v>30000</v>
      </c>
      <c r="D17" s="72">
        <f t="shared" ref="D17" si="1">SUM(D19:D20)</f>
        <v>36700</v>
      </c>
      <c r="E17" s="72">
        <f>SUM(E19:E20)</f>
        <v>33330</v>
      </c>
      <c r="F17" s="72">
        <f>E17/D17*100</f>
        <v>90.817438692098094</v>
      </c>
      <c r="I17" s="88"/>
    </row>
    <row r="18" spans="1:9" x14ac:dyDescent="0.25">
      <c r="A18" s="277" t="s">
        <v>23</v>
      </c>
      <c r="B18" s="34" t="s">
        <v>257</v>
      </c>
      <c r="C18" s="34"/>
      <c r="D18" s="34"/>
      <c r="E18" s="34"/>
      <c r="F18" s="34"/>
      <c r="I18" s="88"/>
    </row>
    <row r="19" spans="1:9" x14ac:dyDescent="0.25">
      <c r="A19" s="277" t="s">
        <v>23</v>
      </c>
      <c r="B19" s="34" t="s">
        <v>258</v>
      </c>
      <c r="C19" s="34"/>
      <c r="D19" s="34"/>
      <c r="E19" s="34">
        <v>630</v>
      </c>
      <c r="F19" s="34"/>
      <c r="I19" s="88"/>
    </row>
    <row r="20" spans="1:9" x14ac:dyDescent="0.25">
      <c r="A20" s="277" t="s">
        <v>23</v>
      </c>
      <c r="B20" s="34" t="s">
        <v>262</v>
      </c>
      <c r="C20" s="71">
        <v>30000</v>
      </c>
      <c r="D20" s="71">
        <v>36700</v>
      </c>
      <c r="E20" s="71">
        <v>32700</v>
      </c>
      <c r="F20" s="34"/>
    </row>
    <row r="21" spans="1:9" x14ac:dyDescent="0.25">
      <c r="A21" s="33">
        <v>2</v>
      </c>
      <c r="B21" s="278" t="s">
        <v>263</v>
      </c>
      <c r="C21" s="72">
        <f>C24</f>
        <v>30000</v>
      </c>
      <c r="D21" s="72">
        <f>D23</f>
        <v>36700</v>
      </c>
      <c r="E21" s="72">
        <f>E23</f>
        <v>33330</v>
      </c>
      <c r="F21" s="72">
        <f>E21/D21*100</f>
        <v>90.817438692098094</v>
      </c>
    </row>
    <row r="22" spans="1:9" x14ac:dyDescent="0.25">
      <c r="A22" s="277" t="s">
        <v>23</v>
      </c>
      <c r="B22" s="34" t="s">
        <v>224</v>
      </c>
      <c r="C22" s="34"/>
      <c r="D22" s="34"/>
      <c r="E22" s="34"/>
      <c r="F22" s="34"/>
    </row>
    <row r="23" spans="1:9" x14ac:dyDescent="0.25">
      <c r="A23" s="277" t="s">
        <v>23</v>
      </c>
      <c r="B23" s="34" t="s">
        <v>264</v>
      </c>
      <c r="C23" s="34"/>
      <c r="D23" s="34">
        <v>36700</v>
      </c>
      <c r="E23" s="34">
        <v>33330</v>
      </c>
      <c r="F23" s="34"/>
    </row>
    <row r="24" spans="1:9" x14ac:dyDescent="0.25">
      <c r="A24" s="277" t="s">
        <v>23</v>
      </c>
      <c r="B24" s="34" t="s">
        <v>265</v>
      </c>
      <c r="C24" s="71">
        <v>30000</v>
      </c>
      <c r="D24" s="71"/>
      <c r="E24" s="71"/>
      <c r="F24" s="34"/>
    </row>
    <row r="25" spans="1:9" x14ac:dyDescent="0.25">
      <c r="A25" s="277" t="s">
        <v>23</v>
      </c>
      <c r="B25" s="34" t="s">
        <v>266</v>
      </c>
      <c r="C25" s="34"/>
      <c r="D25" s="34"/>
      <c r="E25" s="34"/>
      <c r="F25" s="34"/>
    </row>
    <row r="26" spans="1:9" x14ac:dyDescent="0.25">
      <c r="A26" s="33" t="s">
        <v>14</v>
      </c>
      <c r="B26" s="278" t="s">
        <v>267</v>
      </c>
      <c r="C26" s="278"/>
      <c r="D26" s="34"/>
      <c r="E26" s="34"/>
      <c r="F26" s="34"/>
    </row>
    <row r="27" spans="1:9" x14ac:dyDescent="0.25">
      <c r="A27" s="33">
        <v>1</v>
      </c>
      <c r="B27" s="278" t="s">
        <v>268</v>
      </c>
      <c r="C27" s="980">
        <f>C28</f>
        <v>7914</v>
      </c>
      <c r="D27" s="982">
        <f>D29</f>
        <v>35500</v>
      </c>
      <c r="E27" s="982">
        <f>E28+E29</f>
        <v>50000</v>
      </c>
      <c r="F27" s="72">
        <f>E27/D27*100</f>
        <v>140.8450704225352</v>
      </c>
    </row>
    <row r="28" spans="1:9" x14ac:dyDescent="0.25">
      <c r="A28" s="277" t="s">
        <v>23</v>
      </c>
      <c r="B28" s="34" t="s">
        <v>225</v>
      </c>
      <c r="C28" s="255">
        <v>7914</v>
      </c>
      <c r="D28" s="71"/>
      <c r="E28" s="71">
        <f>'Biểu 17'!D17</f>
        <v>16670</v>
      </c>
      <c r="F28" s="34"/>
    </row>
    <row r="29" spans="1:9" x14ac:dyDescent="0.25">
      <c r="A29" s="277" t="s">
        <v>23</v>
      </c>
      <c r="B29" s="34" t="s">
        <v>226</v>
      </c>
      <c r="C29" s="255"/>
      <c r="D29" s="71">
        <v>35500</v>
      </c>
      <c r="E29" s="71">
        <v>33330</v>
      </c>
      <c r="F29" s="34"/>
    </row>
    <row r="30" spans="1:9" x14ac:dyDescent="0.25">
      <c r="A30" s="33">
        <v>2</v>
      </c>
      <c r="B30" s="278" t="s">
        <v>269</v>
      </c>
      <c r="C30" s="283">
        <f>C32</f>
        <v>7914</v>
      </c>
      <c r="D30" s="981">
        <f t="shared" ref="D30:E30" si="2">D32</f>
        <v>35500</v>
      </c>
      <c r="E30" s="981">
        <f t="shared" si="2"/>
        <v>50000</v>
      </c>
      <c r="F30" s="72">
        <f>E30/D30*100</f>
        <v>140.8450704225352</v>
      </c>
    </row>
    <row r="31" spans="1:9" x14ac:dyDescent="0.25">
      <c r="A31" s="277" t="s">
        <v>23</v>
      </c>
      <c r="B31" s="34" t="s">
        <v>257</v>
      </c>
      <c r="C31" s="255"/>
      <c r="D31" s="34"/>
      <c r="E31" s="34"/>
      <c r="F31" s="34"/>
    </row>
    <row r="32" spans="1:9" x14ac:dyDescent="0.25">
      <c r="A32" s="277" t="s">
        <v>23</v>
      </c>
      <c r="B32" s="34" t="s">
        <v>258</v>
      </c>
      <c r="C32" s="255">
        <v>7914</v>
      </c>
      <c r="D32" s="71">
        <v>35500</v>
      </c>
      <c r="E32" s="71">
        <f>SUM(E33:E41)</f>
        <v>50000</v>
      </c>
      <c r="F32" s="34"/>
    </row>
    <row r="33" spans="1:9" x14ac:dyDescent="0.25">
      <c r="A33" s="277">
        <v>1</v>
      </c>
      <c r="B33" s="34" t="s">
        <v>1580</v>
      </c>
      <c r="C33" s="255"/>
      <c r="D33" s="71"/>
      <c r="E33" s="71">
        <v>3500</v>
      </c>
      <c r="F33" s="34"/>
    </row>
    <row r="34" spans="1:9" x14ac:dyDescent="0.25">
      <c r="A34" s="277">
        <v>2</v>
      </c>
      <c r="B34" s="34" t="s">
        <v>1581</v>
      </c>
      <c r="C34" s="255"/>
      <c r="D34" s="71"/>
      <c r="E34" s="71">
        <v>8101</v>
      </c>
      <c r="F34" s="34"/>
    </row>
    <row r="35" spans="1:9" x14ac:dyDescent="0.25">
      <c r="A35" s="277">
        <v>3</v>
      </c>
      <c r="B35" s="34" t="s">
        <v>1582</v>
      </c>
      <c r="C35" s="255"/>
      <c r="D35" s="71"/>
      <c r="E35" s="71">
        <v>3500</v>
      </c>
      <c r="F35" s="34"/>
    </row>
    <row r="36" spans="1:9" x14ac:dyDescent="0.25">
      <c r="A36" s="277">
        <v>4</v>
      </c>
      <c r="B36" s="34" t="s">
        <v>1583</v>
      </c>
      <c r="C36" s="255"/>
      <c r="D36" s="71"/>
      <c r="E36" s="71">
        <v>5976</v>
      </c>
      <c r="F36" s="34"/>
    </row>
    <row r="37" spans="1:9" x14ac:dyDescent="0.25">
      <c r="A37" s="277">
        <v>5</v>
      </c>
      <c r="B37" s="34" t="s">
        <v>1584</v>
      </c>
      <c r="C37" s="255"/>
      <c r="D37" s="71"/>
      <c r="E37" s="71"/>
      <c r="F37" s="34"/>
    </row>
    <row r="38" spans="1:9" x14ac:dyDescent="0.25">
      <c r="A38" s="277"/>
      <c r="B38" s="34" t="s">
        <v>1585</v>
      </c>
      <c r="C38" s="255"/>
      <c r="D38" s="71"/>
      <c r="E38" s="71">
        <v>5000</v>
      </c>
      <c r="F38" s="34"/>
    </row>
    <row r="39" spans="1:9" x14ac:dyDescent="0.25">
      <c r="A39" s="277"/>
      <c r="B39" s="34" t="s">
        <v>1586</v>
      </c>
      <c r="C39" s="255"/>
      <c r="D39" s="71"/>
      <c r="E39" s="71">
        <v>8400</v>
      </c>
      <c r="F39" s="34"/>
    </row>
    <row r="40" spans="1:9" ht="31.5" x14ac:dyDescent="0.25">
      <c r="A40" s="277">
        <v>6</v>
      </c>
      <c r="B40" s="34" t="s">
        <v>1587</v>
      </c>
      <c r="C40" s="34"/>
      <c r="D40" s="34"/>
      <c r="E40" s="34">
        <v>3000</v>
      </c>
      <c r="F40" s="34"/>
    </row>
    <row r="41" spans="1:9" x14ac:dyDescent="0.25">
      <c r="A41" s="277">
        <v>7</v>
      </c>
      <c r="B41" s="34" t="s">
        <v>1038</v>
      </c>
      <c r="C41" s="34"/>
      <c r="D41" s="34"/>
      <c r="E41" s="71">
        <v>12523</v>
      </c>
      <c r="F41" s="34"/>
      <c r="G41" s="983">
        <f>D11-D17+D27</f>
        <v>85909</v>
      </c>
    </row>
    <row r="42" spans="1:9" x14ac:dyDescent="0.25">
      <c r="A42" s="33" t="s">
        <v>270</v>
      </c>
      <c r="B42" s="278" t="s">
        <v>271</v>
      </c>
      <c r="C42" s="980">
        <f>SUM(C45:C46)</f>
        <v>65023</v>
      </c>
      <c r="D42" s="980">
        <f t="shared" ref="D42:E42" si="3">SUM(D45:D46)</f>
        <v>85909</v>
      </c>
      <c r="E42" s="982">
        <f t="shared" si="3"/>
        <v>102579</v>
      </c>
      <c r="F42" s="72">
        <f>E42/D42*100</f>
        <v>119.40425333783422</v>
      </c>
      <c r="G42" s="983">
        <f>E11+E27-E17</f>
        <v>102579</v>
      </c>
    </row>
    <row r="43" spans="1:9" ht="31.5" x14ac:dyDescent="0.25">
      <c r="A43" s="277"/>
      <c r="B43" s="4" t="s">
        <v>272</v>
      </c>
      <c r="C43" s="4"/>
      <c r="D43" s="71">
        <f>D42/D9*100</f>
        <v>78.81415019907891</v>
      </c>
      <c r="E43" s="356">
        <f>E42/E9*100</f>
        <v>84.751098024052425</v>
      </c>
      <c r="F43" s="34"/>
    </row>
    <row r="44" spans="1:9" x14ac:dyDescent="0.25">
      <c r="A44" s="277">
        <v>1</v>
      </c>
      <c r="B44" s="34" t="s">
        <v>257</v>
      </c>
      <c r="C44" s="34"/>
      <c r="D44" s="34"/>
      <c r="E44" s="34"/>
      <c r="F44" s="34"/>
      <c r="H44" s="963" t="s">
        <v>943</v>
      </c>
      <c r="I44" s="963">
        <v>370</v>
      </c>
    </row>
    <row r="45" spans="1:9" x14ac:dyDescent="0.25">
      <c r="A45" s="277">
        <v>2</v>
      </c>
      <c r="B45" s="34" t="s">
        <v>258</v>
      </c>
      <c r="C45" s="255">
        <v>17123</v>
      </c>
      <c r="D45" s="71">
        <v>44709</v>
      </c>
      <c r="E45" s="71">
        <v>94079</v>
      </c>
      <c r="F45" s="34"/>
      <c r="H45" s="963" t="s">
        <v>1588</v>
      </c>
      <c r="I45" s="963">
        <v>170</v>
      </c>
    </row>
    <row r="46" spans="1:9" x14ac:dyDescent="0.25">
      <c r="A46" s="277">
        <v>3</v>
      </c>
      <c r="B46" s="34" t="s">
        <v>259</v>
      </c>
      <c r="C46" s="255">
        <v>47900</v>
      </c>
      <c r="D46" s="71">
        <v>41200</v>
      </c>
      <c r="E46" s="71">
        <v>8500</v>
      </c>
      <c r="F46" s="34"/>
      <c r="H46" s="963" t="s">
        <v>1589</v>
      </c>
      <c r="I46" s="963">
        <v>150</v>
      </c>
    </row>
    <row r="47" spans="1:9" x14ac:dyDescent="0.25">
      <c r="A47" s="33" t="s">
        <v>273</v>
      </c>
      <c r="B47" s="278" t="s">
        <v>274</v>
      </c>
      <c r="C47" s="278"/>
      <c r="D47" s="278">
        <f>498</f>
        <v>498</v>
      </c>
      <c r="E47" s="72">
        <f>SUM(E48:E55)</f>
        <v>1160</v>
      </c>
      <c r="F47" s="72">
        <f>E47/D47*100</f>
        <v>232.93172690763052</v>
      </c>
      <c r="H47" s="963" t="s">
        <v>1590</v>
      </c>
      <c r="I47" s="963">
        <v>300</v>
      </c>
    </row>
    <row r="48" spans="1:9" x14ac:dyDescent="0.25">
      <c r="A48" s="277">
        <v>1</v>
      </c>
      <c r="B48" s="34" t="s">
        <v>1580</v>
      </c>
      <c r="C48" s="255"/>
      <c r="D48" s="71"/>
      <c r="E48" s="71">
        <v>370</v>
      </c>
      <c r="F48" s="34"/>
      <c r="H48" s="963" t="s">
        <v>1591</v>
      </c>
      <c r="I48" s="963">
        <v>50</v>
      </c>
    </row>
    <row r="49" spans="1:9" x14ac:dyDescent="0.25">
      <c r="A49" s="277">
        <v>2</v>
      </c>
      <c r="B49" s="34" t="s">
        <v>1581</v>
      </c>
      <c r="C49" s="255"/>
      <c r="D49" s="71"/>
      <c r="E49" s="71">
        <v>170</v>
      </c>
      <c r="F49" s="34"/>
      <c r="H49" s="963" t="s">
        <v>1592</v>
      </c>
      <c r="I49" s="963">
        <v>120</v>
      </c>
    </row>
    <row r="50" spans="1:9" x14ac:dyDescent="0.25">
      <c r="A50" s="277">
        <v>3</v>
      </c>
      <c r="B50" s="34" t="s">
        <v>1582</v>
      </c>
      <c r="C50" s="255"/>
      <c r="D50" s="71"/>
      <c r="E50" s="71">
        <v>150</v>
      </c>
      <c r="F50" s="34"/>
    </row>
    <row r="51" spans="1:9" x14ac:dyDescent="0.25">
      <c r="A51" s="277">
        <v>4</v>
      </c>
      <c r="B51" s="34" t="s">
        <v>1583</v>
      </c>
      <c r="C51" s="255"/>
      <c r="D51" s="71"/>
      <c r="E51" s="71">
        <v>120</v>
      </c>
      <c r="F51" s="34"/>
    </row>
    <row r="52" spans="1:9" x14ac:dyDescent="0.25">
      <c r="A52" s="277">
        <v>5</v>
      </c>
      <c r="B52" s="34" t="s">
        <v>1584</v>
      </c>
      <c r="C52" s="255"/>
      <c r="D52" s="71"/>
      <c r="E52" s="71"/>
      <c r="F52" s="34"/>
    </row>
    <row r="53" spans="1:9" x14ac:dyDescent="0.25">
      <c r="A53" s="277"/>
      <c r="B53" s="34" t="s">
        <v>1585</v>
      </c>
      <c r="C53" s="255"/>
      <c r="D53" s="71"/>
      <c r="E53" s="71">
        <v>130</v>
      </c>
      <c r="F53" s="34"/>
    </row>
    <row r="54" spans="1:9" x14ac:dyDescent="0.25">
      <c r="A54" s="277"/>
      <c r="B54" s="34" t="s">
        <v>1586</v>
      </c>
      <c r="C54" s="255"/>
      <c r="D54" s="71"/>
      <c r="E54" s="71">
        <v>170</v>
      </c>
      <c r="F54" s="34"/>
    </row>
    <row r="55" spans="1:9" ht="31.5" x14ac:dyDescent="0.25">
      <c r="A55" s="94">
        <v>6</v>
      </c>
      <c r="B55" s="35" t="s">
        <v>1587</v>
      </c>
      <c r="C55" s="35"/>
      <c r="D55" s="35"/>
      <c r="E55" s="35">
        <v>50</v>
      </c>
      <c r="F55" s="35"/>
    </row>
    <row r="56" spans="1:9" x14ac:dyDescent="0.25">
      <c r="A56" s="1"/>
    </row>
  </sheetData>
  <mergeCells count="2">
    <mergeCell ref="A1:F1"/>
    <mergeCell ref="A2:F2"/>
  </mergeCells>
  <pageMargins left="1.23" right="0.22" top="0.75" bottom="0.77" header="0.45" footer="0.4"/>
  <pageSetup paperSize="9" firstPageNumber="11" orientation="portrait" useFirstPageNumber="1" r:id="rId1"/>
  <headerFooter>
    <oddHeader>&amp;RBiểu mẫu số 18</oddHeader>
    <oddFooter>&amp;C&amp;P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42"/>
  <sheetViews>
    <sheetView workbookViewId="0">
      <pane xSplit="2" ySplit="6" topLeftCell="C10" activePane="bottomRight" state="frozen"/>
      <selection pane="topRight" activeCell="C1" sqref="C1"/>
      <selection pane="bottomLeft" activeCell="A7" sqref="A7"/>
      <selection pane="bottomRight" activeCell="H20" sqref="H20"/>
    </sheetView>
  </sheetViews>
  <sheetFormatPr defaultRowHeight="15" x14ac:dyDescent="0.25"/>
  <cols>
    <col min="1" max="1" width="5.5" style="1065" customWidth="1"/>
    <col min="2" max="2" width="36.125" style="1065" customWidth="1"/>
    <col min="3" max="3" width="10.125" style="1065" customWidth="1"/>
    <col min="4" max="4" width="10.375" style="1065" customWidth="1"/>
    <col min="5" max="5" width="8.375" style="1065" customWidth="1"/>
    <col min="6" max="6" width="7.125" style="1065" customWidth="1"/>
    <col min="7" max="16384" width="9" style="1065"/>
  </cols>
  <sheetData>
    <row r="1" spans="1:9" ht="38.25" customHeight="1" x14ac:dyDescent="0.25">
      <c r="A1" s="1991" t="s">
        <v>1277</v>
      </c>
      <c r="B1" s="1991"/>
      <c r="C1" s="1991"/>
      <c r="D1" s="1991"/>
      <c r="E1" s="1991"/>
      <c r="F1" s="1991"/>
    </row>
    <row r="2" spans="1:9" ht="22.5" customHeight="1" x14ac:dyDescent="0.25">
      <c r="A2" s="1992" t="str">
        <f>'Biểu 14'!A2:H2</f>
        <v>(Kèm theo Báo cáo số              /BC-UBND ngày       tháng 11 năm 2018 của UBND tỉnh Bắc Kạn)</v>
      </c>
      <c r="B2" s="1993"/>
      <c r="C2" s="1993"/>
      <c r="D2" s="1993"/>
      <c r="E2" s="1993"/>
      <c r="F2" s="1993"/>
    </row>
    <row r="3" spans="1:9" x14ac:dyDescent="0.25">
      <c r="E3" s="1962" t="s">
        <v>6</v>
      </c>
      <c r="F3" s="1962"/>
    </row>
    <row r="4" spans="1:9" x14ac:dyDescent="0.25">
      <c r="A4" s="1963" t="s">
        <v>0</v>
      </c>
      <c r="B4" s="1963" t="s">
        <v>1</v>
      </c>
      <c r="C4" s="1963" t="s">
        <v>219</v>
      </c>
      <c r="D4" s="1963" t="s">
        <v>1258</v>
      </c>
      <c r="E4" s="1963" t="s">
        <v>33</v>
      </c>
      <c r="F4" s="1963"/>
    </row>
    <row r="5" spans="1:9" ht="38.25" customHeight="1" x14ac:dyDescent="0.25">
      <c r="A5" s="1963"/>
      <c r="B5" s="1963"/>
      <c r="C5" s="1963"/>
      <c r="D5" s="1963"/>
      <c r="E5" s="1024" t="s">
        <v>34</v>
      </c>
      <c r="F5" s="1024" t="s">
        <v>305</v>
      </c>
    </row>
    <row r="6" spans="1:9" x14ac:dyDescent="0.25">
      <c r="A6" s="1024" t="s">
        <v>2</v>
      </c>
      <c r="B6" s="1024" t="s">
        <v>3</v>
      </c>
      <c r="C6" s="1024">
        <v>1</v>
      </c>
      <c r="D6" s="1024">
        <v>2</v>
      </c>
      <c r="E6" s="1024" t="s">
        <v>36</v>
      </c>
      <c r="F6" s="1024" t="s">
        <v>37</v>
      </c>
    </row>
    <row r="7" spans="1:9" x14ac:dyDescent="0.25">
      <c r="A7" s="1066" t="s">
        <v>2</v>
      </c>
      <c r="B7" s="1067" t="s">
        <v>381</v>
      </c>
      <c r="C7" s="1127"/>
      <c r="D7" s="1127"/>
      <c r="E7" s="1127"/>
      <c r="F7" s="1127"/>
    </row>
    <row r="8" spans="1:9" ht="15.75" customHeight="1" x14ac:dyDescent="0.25">
      <c r="A8" s="414" t="s">
        <v>9</v>
      </c>
      <c r="B8" s="402" t="s">
        <v>306</v>
      </c>
      <c r="C8" s="1070">
        <f>C9+C10+C16</f>
        <v>4864377</v>
      </c>
      <c r="D8" s="1070">
        <f>D9+D10+D16+D15</f>
        <v>5314216</v>
      </c>
      <c r="E8" s="404">
        <f t="shared" ref="E8" si="0">E9+E10+E16</f>
        <v>385959</v>
      </c>
      <c r="F8" s="404">
        <f>D8/C8*100</f>
        <v>109.24761793750773</v>
      </c>
      <c r="H8" s="1069"/>
    </row>
    <row r="9" spans="1:9" ht="17.25" customHeight="1" x14ac:dyDescent="0.25">
      <c r="A9" s="1016">
        <v>1</v>
      </c>
      <c r="B9" s="415" t="s">
        <v>54</v>
      </c>
      <c r="C9" s="1071">
        <f>'Biểu 12'!C8-309460</f>
        <v>235550</v>
      </c>
      <c r="D9" s="1071">
        <f>'Biểu 13'!BH8</f>
        <v>242925</v>
      </c>
      <c r="E9" s="98">
        <f>D9-C9</f>
        <v>7375</v>
      </c>
      <c r="F9" s="98">
        <f t="shared" ref="F9:F34" si="1">D9/C9*100</f>
        <v>103.13097007004883</v>
      </c>
      <c r="G9" s="1069"/>
      <c r="H9" s="1069"/>
    </row>
    <row r="10" spans="1:9" ht="15.75" customHeight="1" x14ac:dyDescent="0.25">
      <c r="A10" s="1016">
        <v>2</v>
      </c>
      <c r="B10" s="415" t="s">
        <v>55</v>
      </c>
      <c r="C10" s="1071">
        <f>C11+C13+C12</f>
        <v>4628827</v>
      </c>
      <c r="D10" s="1071">
        <f>D11+D13+D12</f>
        <v>4507091</v>
      </c>
      <c r="E10" s="98">
        <f t="shared" ref="E10" si="2">E11+E13</f>
        <v>-121736</v>
      </c>
      <c r="F10" s="98">
        <f t="shared" si="1"/>
        <v>97.370046450212982</v>
      </c>
    </row>
    <row r="11" spans="1:9" x14ac:dyDescent="0.25">
      <c r="A11" s="1016" t="s">
        <v>23</v>
      </c>
      <c r="B11" s="415" t="s">
        <v>12</v>
      </c>
      <c r="C11" s="1071">
        <f>'Biểu 12'!C12</f>
        <v>2802252</v>
      </c>
      <c r="D11" s="1071">
        <f>C11</f>
        <v>2802252</v>
      </c>
      <c r="E11" s="98">
        <f>D11-C11</f>
        <v>0</v>
      </c>
      <c r="F11" s="98">
        <f t="shared" si="1"/>
        <v>100</v>
      </c>
    </row>
    <row r="12" spans="1:9" ht="30.75" customHeight="1" x14ac:dyDescent="0.25">
      <c r="A12" s="1016" t="s">
        <v>23</v>
      </c>
      <c r="B12" s="415" t="s">
        <v>1279</v>
      </c>
      <c r="C12" s="1071">
        <f>'Biểu 12'!C13</f>
        <v>114536</v>
      </c>
      <c r="D12" s="1071">
        <f>C12</f>
        <v>114536</v>
      </c>
      <c r="E12" s="98"/>
      <c r="F12" s="98"/>
    </row>
    <row r="13" spans="1:9" x14ac:dyDescent="0.25">
      <c r="A13" s="1016" t="s">
        <v>23</v>
      </c>
      <c r="B13" s="415" t="s">
        <v>13</v>
      </c>
      <c r="C13" s="1071">
        <f>'Biểu 12'!C14</f>
        <v>1712039</v>
      </c>
      <c r="D13" s="1071">
        <f>C13+154043-450379+174600</f>
        <v>1590303</v>
      </c>
      <c r="E13" s="98">
        <f>D13-C13</f>
        <v>-121736</v>
      </c>
      <c r="F13" s="98">
        <f t="shared" si="1"/>
        <v>92.889414318248583</v>
      </c>
    </row>
    <row r="14" spans="1:9" hidden="1" x14ac:dyDescent="0.25">
      <c r="A14" s="1016">
        <v>3</v>
      </c>
      <c r="B14" s="415" t="s">
        <v>1232</v>
      </c>
      <c r="C14" s="1016"/>
      <c r="D14" s="1071"/>
      <c r="E14" s="415"/>
      <c r="F14" s="415"/>
    </row>
    <row r="15" spans="1:9" x14ac:dyDescent="0.25">
      <c r="A15" s="1016">
        <v>3</v>
      </c>
      <c r="B15" s="415" t="s">
        <v>307</v>
      </c>
      <c r="C15" s="1016"/>
      <c r="D15" s="1071">
        <v>63880</v>
      </c>
      <c r="E15" s="98">
        <f>D15-C15</f>
        <v>63880</v>
      </c>
      <c r="F15" s="415"/>
      <c r="I15" s="1069"/>
    </row>
    <row r="16" spans="1:9" ht="17.25" customHeight="1" x14ac:dyDescent="0.25">
      <c r="A16" s="1016">
        <v>4</v>
      </c>
      <c r="B16" s="415" t="s">
        <v>18</v>
      </c>
      <c r="C16" s="1071">
        <f>'Biểu 12'!C17</f>
        <v>0</v>
      </c>
      <c r="D16" s="1071">
        <v>500320</v>
      </c>
      <c r="E16" s="98">
        <f>D16-C16</f>
        <v>500320</v>
      </c>
      <c r="F16" s="98"/>
    </row>
    <row r="17" spans="1:8" ht="18" customHeight="1" x14ac:dyDescent="0.25">
      <c r="A17" s="414" t="s">
        <v>11</v>
      </c>
      <c r="B17" s="402" t="s">
        <v>308</v>
      </c>
      <c r="C17" s="1070">
        <f>C18+C19+C23</f>
        <v>4881477</v>
      </c>
      <c r="D17" s="1070">
        <f>D18+D19+D23</f>
        <v>5254099</v>
      </c>
      <c r="E17" s="404"/>
      <c r="F17" s="404">
        <f t="shared" si="1"/>
        <v>107.63338637055956</v>
      </c>
      <c r="G17" s="1069">
        <f>D17-D23</f>
        <v>4603419</v>
      </c>
    </row>
    <row r="18" spans="1:8" ht="15.75" customHeight="1" x14ac:dyDescent="0.25">
      <c r="A18" s="1016">
        <v>1</v>
      </c>
      <c r="B18" s="415" t="s">
        <v>383</v>
      </c>
      <c r="C18" s="1071">
        <f>'Biểu 22'!D7</f>
        <v>2733985</v>
      </c>
      <c r="D18" s="1071">
        <f>'Biểu 22'!G7-460680-190000</f>
        <v>2359702</v>
      </c>
      <c r="E18" s="98"/>
      <c r="F18" s="98">
        <f t="shared" si="1"/>
        <v>86.309983412491292</v>
      </c>
      <c r="G18" s="1069">
        <f>D8-D17</f>
        <v>60117</v>
      </c>
      <c r="H18" s="1069"/>
    </row>
    <row r="19" spans="1:8" x14ac:dyDescent="0.25">
      <c r="A19" s="1016">
        <v>2</v>
      </c>
      <c r="B19" s="415" t="s">
        <v>57</v>
      </c>
      <c r="C19" s="1071">
        <f>C20+C22+C21</f>
        <v>2147492</v>
      </c>
      <c r="D19" s="1071">
        <f>D20+D22+D21</f>
        <v>2243717</v>
      </c>
      <c r="E19" s="98">
        <f>E20+E22</f>
        <v>96225</v>
      </c>
      <c r="F19" s="98">
        <f t="shared" si="1"/>
        <v>104.48080831034528</v>
      </c>
      <c r="G19" s="1069"/>
    </row>
    <row r="20" spans="1:8" x14ac:dyDescent="0.25">
      <c r="A20" s="1016" t="s">
        <v>23</v>
      </c>
      <c r="B20" s="415" t="s">
        <v>58</v>
      </c>
      <c r="C20" s="1071">
        <v>1608890</v>
      </c>
      <c r="D20" s="1071">
        <f>C20</f>
        <v>1608890</v>
      </c>
      <c r="E20" s="98">
        <f>D20-C20</f>
        <v>0</v>
      </c>
      <c r="F20" s="98">
        <f t="shared" si="1"/>
        <v>100</v>
      </c>
    </row>
    <row r="21" spans="1:8" ht="33" customHeight="1" x14ac:dyDescent="0.25">
      <c r="A21" s="1016" t="s">
        <v>23</v>
      </c>
      <c r="B21" s="415" t="str">
        <f>'Biểu 12'!B13</f>
        <v>Bổ sung thực hiện cải cách tiền lương 1300.000 đồng/tháng, 1390000 đồng/tháng</v>
      </c>
      <c r="C21" s="1071">
        <v>84822</v>
      </c>
      <c r="D21" s="1071">
        <f>C21</f>
        <v>84822</v>
      </c>
      <c r="E21" s="98"/>
      <c r="F21" s="98"/>
      <c r="H21" s="1069">
        <v>488000</v>
      </c>
    </row>
    <row r="22" spans="1:8" x14ac:dyDescent="0.25">
      <c r="A22" s="1016" t="s">
        <v>23</v>
      </c>
      <c r="B22" s="415" t="s">
        <v>59</v>
      </c>
      <c r="C22" s="1071">
        <f>'Biểu 22'!E29+21373</f>
        <v>453780</v>
      </c>
      <c r="D22" s="1071">
        <f>'Biểu 23'!D8-D20-D21</f>
        <v>550005</v>
      </c>
      <c r="E22" s="98">
        <f>D22-C22</f>
        <v>96225</v>
      </c>
      <c r="F22" s="98">
        <f t="shared" si="1"/>
        <v>121.20520957292081</v>
      </c>
    </row>
    <row r="23" spans="1:8" x14ac:dyDescent="0.25">
      <c r="A23" s="1016">
        <v>3</v>
      </c>
      <c r="B23" s="415" t="s">
        <v>22</v>
      </c>
      <c r="C23" s="1071"/>
      <c r="D23" s="1071">
        <f>497380-36700+100000+90000</f>
        <v>650680</v>
      </c>
      <c r="E23" s="415"/>
      <c r="F23" s="98"/>
      <c r="G23" s="1069">
        <f>D8-D17</f>
        <v>60117</v>
      </c>
    </row>
    <row r="24" spans="1:8" ht="18" customHeight="1" x14ac:dyDescent="0.25">
      <c r="A24" s="414" t="s">
        <v>14</v>
      </c>
      <c r="B24" s="402" t="s">
        <v>1278</v>
      </c>
      <c r="C24" s="1070">
        <v>17100</v>
      </c>
      <c r="D24" s="1070">
        <v>1200</v>
      </c>
      <c r="E24" s="404"/>
      <c r="F24" s="404"/>
      <c r="G24" s="1069">
        <f>D18+D34+D23</f>
        <v>5762995</v>
      </c>
      <c r="H24" s="1069"/>
    </row>
    <row r="25" spans="1:8" ht="18.75" customHeight="1" x14ac:dyDescent="0.25">
      <c r="A25" s="414" t="s">
        <v>3</v>
      </c>
      <c r="B25" s="402" t="s">
        <v>382</v>
      </c>
      <c r="C25" s="1016"/>
      <c r="D25" s="1016"/>
      <c r="E25" s="415"/>
      <c r="F25" s="415"/>
      <c r="G25" s="1069">
        <f>G24-'Biểu 22'!F7</f>
        <v>0</v>
      </c>
    </row>
    <row r="26" spans="1:8" ht="18.75" customHeight="1" x14ac:dyDescent="0.25">
      <c r="A26" s="414" t="s">
        <v>9</v>
      </c>
      <c r="B26" s="402" t="s">
        <v>306</v>
      </c>
      <c r="C26" s="1070">
        <f>C27+C28</f>
        <v>2456952</v>
      </c>
      <c r="D26" s="1070">
        <f>D27+D28+D32+D33</f>
        <v>2873544</v>
      </c>
      <c r="E26" s="404">
        <f t="shared" ref="E26" si="3">E27+E28</f>
        <v>91205</v>
      </c>
      <c r="F26" s="404">
        <f t="shared" si="1"/>
        <v>116.95564260107645</v>
      </c>
    </row>
    <row r="27" spans="1:8" ht="17.25" customHeight="1" x14ac:dyDescent="0.25">
      <c r="A27" s="1016">
        <v>1</v>
      </c>
      <c r="B27" s="415" t="s">
        <v>54</v>
      </c>
      <c r="C27" s="1071">
        <v>309460</v>
      </c>
      <c r="D27" s="1071">
        <f>'Biểu 13'!F8-'Biểu 13'!BH8</f>
        <v>304440</v>
      </c>
      <c r="E27" s="98">
        <f>D27-C27</f>
        <v>-5020</v>
      </c>
      <c r="F27" s="98">
        <f t="shared" si="1"/>
        <v>98.377819427389639</v>
      </c>
    </row>
    <row r="28" spans="1:8" ht="16.5" customHeight="1" x14ac:dyDescent="0.25">
      <c r="A28" s="1016">
        <v>2</v>
      </c>
      <c r="B28" s="415" t="s">
        <v>55</v>
      </c>
      <c r="C28" s="1071">
        <f>C29+C31+C30</f>
        <v>2147492</v>
      </c>
      <c r="D28" s="1071">
        <f>D29+D31+D30</f>
        <v>2243717</v>
      </c>
      <c r="E28" s="98">
        <f>E29+E31</f>
        <v>96225</v>
      </c>
      <c r="F28" s="98">
        <f t="shared" si="1"/>
        <v>104.48080831034528</v>
      </c>
    </row>
    <row r="29" spans="1:8" ht="19.5" customHeight="1" x14ac:dyDescent="0.25">
      <c r="A29" s="1016" t="s">
        <v>23</v>
      </c>
      <c r="B29" s="415" t="s">
        <v>12</v>
      </c>
      <c r="C29" s="1071">
        <f>C20</f>
        <v>1608890</v>
      </c>
      <c r="D29" s="1071">
        <f>C29</f>
        <v>1608890</v>
      </c>
      <c r="E29" s="98">
        <f t="shared" ref="E29:E34" si="4">D29-C29</f>
        <v>0</v>
      </c>
      <c r="F29" s="98">
        <f t="shared" si="1"/>
        <v>100</v>
      </c>
    </row>
    <row r="30" spans="1:8" ht="34.5" customHeight="1" x14ac:dyDescent="0.25">
      <c r="A30" s="1016" t="s">
        <v>23</v>
      </c>
      <c r="B30" s="415" t="str">
        <f>B12</f>
        <v>Bổ sung thực hiện cải cách tiền lương 1300.000 đồng/tháng</v>
      </c>
      <c r="C30" s="1071">
        <f>C21</f>
        <v>84822</v>
      </c>
      <c r="D30" s="1071">
        <f>C30</f>
        <v>84822</v>
      </c>
      <c r="E30" s="98">
        <f t="shared" si="4"/>
        <v>0</v>
      </c>
      <c r="F30" s="98"/>
    </row>
    <row r="31" spans="1:8" ht="18" customHeight="1" x14ac:dyDescent="0.25">
      <c r="A31" s="1016" t="s">
        <v>23</v>
      </c>
      <c r="B31" s="415" t="s">
        <v>13</v>
      </c>
      <c r="C31" s="1071">
        <f>C22</f>
        <v>453780</v>
      </c>
      <c r="D31" s="1071">
        <f>D22</f>
        <v>550005</v>
      </c>
      <c r="E31" s="98">
        <f t="shared" si="4"/>
        <v>96225</v>
      </c>
      <c r="F31" s="98">
        <f t="shared" si="1"/>
        <v>121.20520957292081</v>
      </c>
    </row>
    <row r="32" spans="1:8" ht="16.5" customHeight="1" x14ac:dyDescent="0.25">
      <c r="A32" s="1016">
        <v>3</v>
      </c>
      <c r="B32" s="415" t="s">
        <v>16</v>
      </c>
      <c r="C32" s="1016"/>
      <c r="D32" s="1071">
        <f>109811+45142</f>
        <v>154953</v>
      </c>
      <c r="E32" s="98">
        <f t="shared" si="4"/>
        <v>154953</v>
      </c>
      <c r="F32" s="415"/>
    </row>
    <row r="33" spans="1:6" ht="17.25" customHeight="1" x14ac:dyDescent="0.25">
      <c r="A33" s="1016">
        <v>4</v>
      </c>
      <c r="B33" s="415" t="s">
        <v>18</v>
      </c>
      <c r="C33" s="1016"/>
      <c r="D33" s="1071">
        <f>136410+34024</f>
        <v>170434</v>
      </c>
      <c r="E33" s="98">
        <f t="shared" si="4"/>
        <v>170434</v>
      </c>
      <c r="F33" s="415"/>
    </row>
    <row r="34" spans="1:6" ht="17.25" customHeight="1" x14ac:dyDescent="0.25">
      <c r="A34" s="1017" t="s">
        <v>11</v>
      </c>
      <c r="B34" s="1018" t="s">
        <v>308</v>
      </c>
      <c r="C34" s="1075">
        <f>C26</f>
        <v>2456952</v>
      </c>
      <c r="D34" s="1075">
        <f>'Biểu 22'!H7</f>
        <v>2752613</v>
      </c>
      <c r="E34" s="1019">
        <f t="shared" si="4"/>
        <v>295661</v>
      </c>
      <c r="F34" s="1019">
        <f t="shared" si="1"/>
        <v>112.03364982303276</v>
      </c>
    </row>
    <row r="35" spans="1:6" hidden="1" x14ac:dyDescent="0.25">
      <c r="A35" s="1020">
        <v>1</v>
      </c>
      <c r="B35" s="1021" t="s">
        <v>384</v>
      </c>
      <c r="C35" s="1020"/>
      <c r="D35" s="1020"/>
      <c r="E35" s="1020"/>
      <c r="F35" s="1020"/>
    </row>
    <row r="36" spans="1:6" hidden="1" x14ac:dyDescent="0.25">
      <c r="A36" s="1016">
        <v>2</v>
      </c>
      <c r="B36" s="415" t="s">
        <v>309</v>
      </c>
      <c r="C36" s="1016"/>
      <c r="D36" s="1016"/>
      <c r="E36" s="1016"/>
      <c r="F36" s="1016"/>
    </row>
    <row r="37" spans="1:6" hidden="1" x14ac:dyDescent="0.25">
      <c r="A37" s="1016" t="s">
        <v>23</v>
      </c>
      <c r="B37" s="415" t="s">
        <v>58</v>
      </c>
      <c r="C37" s="1016"/>
      <c r="D37" s="1016"/>
      <c r="E37" s="1016"/>
      <c r="F37" s="1016"/>
    </row>
    <row r="38" spans="1:6" hidden="1" x14ac:dyDescent="0.25">
      <c r="A38" s="1016" t="s">
        <v>23</v>
      </c>
      <c r="B38" s="415" t="s">
        <v>59</v>
      </c>
      <c r="C38" s="1016"/>
      <c r="D38" s="1016"/>
      <c r="E38" s="1016"/>
      <c r="F38" s="1016"/>
    </row>
    <row r="39" spans="1:6" ht="21" hidden="1" customHeight="1" x14ac:dyDescent="0.25">
      <c r="A39" s="1022">
        <v>3</v>
      </c>
      <c r="B39" s="1009" t="s">
        <v>22</v>
      </c>
      <c r="C39" s="1022"/>
      <c r="D39" s="1022"/>
      <c r="E39" s="1022"/>
      <c r="F39" s="1022"/>
    </row>
    <row r="40" spans="1:6" ht="24.75" hidden="1" customHeight="1" x14ac:dyDescent="0.25">
      <c r="A40" s="1128"/>
      <c r="D40" s="1069">
        <f>D26-D34</f>
        <v>120931</v>
      </c>
    </row>
    <row r="41" spans="1:6" ht="27.75" hidden="1" customHeight="1" x14ac:dyDescent="0.25">
      <c r="A41" s="1129"/>
      <c r="B41" s="1129"/>
      <c r="C41" s="1129"/>
      <c r="D41" s="1129">
        <v>120500</v>
      </c>
      <c r="E41" s="1129"/>
      <c r="F41" s="1129"/>
    </row>
    <row r="42" spans="1:6" x14ac:dyDescent="0.25">
      <c r="A42" s="1988"/>
      <c r="B42" s="1988"/>
      <c r="C42" s="1988"/>
      <c r="D42" s="1988"/>
      <c r="E42" s="1988"/>
      <c r="F42" s="1988"/>
    </row>
  </sheetData>
  <mergeCells count="9">
    <mergeCell ref="A42:F42"/>
    <mergeCell ref="A1:F1"/>
    <mergeCell ref="A2:F2"/>
    <mergeCell ref="E3:F3"/>
    <mergeCell ref="A4:A5"/>
    <mergeCell ref="B4:B5"/>
    <mergeCell ref="C4:C5"/>
    <mergeCell ref="D4:D5"/>
    <mergeCell ref="E4:F4"/>
  </mergeCells>
  <pageMargins left="1.08" right="0.33" top="0.86" bottom="0.91" header="0.56000000000000005" footer="0.51"/>
  <pageSetup paperSize="9" firstPageNumber="87" orientation="portrait" useFirstPageNumber="1" r:id="rId1"/>
  <headerFooter>
    <oddHeader>&amp;RBiểu mẫu số 19</oddHeader>
    <oddFooter>&amp;C&amp;P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Q22"/>
  <sheetViews>
    <sheetView workbookViewId="0">
      <selection activeCell="E3" sqref="E1:E1048576"/>
    </sheetView>
  </sheetViews>
  <sheetFormatPr defaultColWidth="5.25" defaultRowHeight="15" x14ac:dyDescent="0.25"/>
  <cols>
    <col min="1" max="1" width="5.25" style="36"/>
    <col min="2" max="2" width="16.5" style="36" customWidth="1"/>
    <col min="3" max="4" width="8.625" style="36" customWidth="1"/>
    <col min="5" max="5" width="6.375" style="36" customWidth="1"/>
    <col min="6" max="8" width="8.625" style="36" customWidth="1"/>
    <col min="9" max="9" width="6.75" style="36" customWidth="1"/>
    <col min="10" max="10" width="7.125" style="36" customWidth="1"/>
    <col min="11" max="12" width="8.625" style="36" customWidth="1"/>
    <col min="13" max="13" width="7.125" style="36" customWidth="1"/>
    <col min="14" max="14" width="7.75" style="36" customWidth="1"/>
    <col min="15" max="15" width="7.875" style="36" customWidth="1"/>
    <col min="16" max="16" width="5.25" style="36"/>
    <col min="17" max="17" width="9.625" style="36" customWidth="1"/>
    <col min="18" max="16384" width="5.25" style="36"/>
  </cols>
  <sheetData>
    <row r="1" spans="1:17" ht="25.5" customHeight="1" x14ac:dyDescent="0.25">
      <c r="A1" s="2036" t="s">
        <v>1444</v>
      </c>
      <c r="B1" s="2036"/>
      <c r="C1" s="2036"/>
      <c r="D1" s="2036"/>
      <c r="E1" s="2036"/>
      <c r="F1" s="2036"/>
      <c r="G1" s="2036"/>
      <c r="H1" s="2036"/>
      <c r="I1" s="2036"/>
      <c r="J1" s="2036"/>
      <c r="K1" s="2036"/>
      <c r="L1" s="2036"/>
      <c r="M1" s="2036"/>
      <c r="N1" s="2036"/>
    </row>
    <row r="2" spans="1:17" x14ac:dyDescent="0.25">
      <c r="A2" s="1956" t="str">
        <f>'Biểu 19'!A2:F2</f>
        <v>(Kèm theo Báo cáo số              /BC-UBND ngày       tháng 11 năm 2018 của UBND tỉnh Bắc Kạn)</v>
      </c>
      <c r="B2" s="2037"/>
      <c r="C2" s="2037"/>
      <c r="D2" s="2037"/>
      <c r="E2" s="2037"/>
      <c r="F2" s="2037"/>
      <c r="G2" s="2037"/>
      <c r="H2" s="2037"/>
      <c r="I2" s="2037"/>
      <c r="J2" s="2037"/>
      <c r="K2" s="2037"/>
      <c r="L2" s="2037"/>
      <c r="M2" s="2037"/>
      <c r="N2" s="2037"/>
    </row>
    <row r="3" spans="1:17" x14ac:dyDescent="0.25">
      <c r="L3" s="2038" t="s">
        <v>6</v>
      </c>
      <c r="M3" s="2038"/>
      <c r="N3" s="2038"/>
    </row>
    <row r="4" spans="1:17" ht="19.5" customHeight="1" x14ac:dyDescent="0.25">
      <c r="A4" s="2035" t="s">
        <v>0</v>
      </c>
      <c r="B4" s="2035" t="s">
        <v>60</v>
      </c>
      <c r="C4" s="2035" t="s">
        <v>1445</v>
      </c>
      <c r="D4" s="2035"/>
      <c r="E4" s="2035"/>
      <c r="F4" s="2035"/>
      <c r="G4" s="2035" t="s">
        <v>1258</v>
      </c>
      <c r="H4" s="2035"/>
      <c r="I4" s="2035"/>
      <c r="J4" s="2035"/>
      <c r="K4" s="2035" t="s">
        <v>43</v>
      </c>
      <c r="L4" s="2035"/>
      <c r="M4" s="2035"/>
      <c r="N4" s="2035"/>
    </row>
    <row r="5" spans="1:17" x14ac:dyDescent="0.25">
      <c r="A5" s="2035"/>
      <c r="B5" s="2035"/>
      <c r="C5" s="2035" t="s">
        <v>61</v>
      </c>
      <c r="D5" s="2035" t="s">
        <v>62</v>
      </c>
      <c r="E5" s="2035"/>
      <c r="F5" s="2035"/>
      <c r="G5" s="2035" t="s">
        <v>310</v>
      </c>
      <c r="H5" s="2035" t="s">
        <v>62</v>
      </c>
      <c r="I5" s="2035"/>
      <c r="J5" s="2035"/>
      <c r="K5" s="2035" t="s">
        <v>61</v>
      </c>
      <c r="L5" s="2035" t="s">
        <v>62</v>
      </c>
      <c r="M5" s="2035"/>
      <c r="N5" s="2035"/>
    </row>
    <row r="6" spans="1:17" ht="79.5" customHeight="1" x14ac:dyDescent="0.25">
      <c r="A6" s="2035"/>
      <c r="B6" s="2035"/>
      <c r="C6" s="2035"/>
      <c r="D6" s="58" t="s">
        <v>7</v>
      </c>
      <c r="E6" s="58" t="s">
        <v>8</v>
      </c>
      <c r="F6" s="58" t="s">
        <v>311</v>
      </c>
      <c r="G6" s="2035"/>
      <c r="H6" s="58" t="s">
        <v>7</v>
      </c>
      <c r="I6" s="58" t="s">
        <v>8</v>
      </c>
      <c r="J6" s="58" t="s">
        <v>311</v>
      </c>
      <c r="K6" s="2035"/>
      <c r="L6" s="58" t="s">
        <v>7</v>
      </c>
      <c r="M6" s="1023" t="s">
        <v>312</v>
      </c>
      <c r="N6" s="58" t="s">
        <v>311</v>
      </c>
    </row>
    <row r="7" spans="1:17" x14ac:dyDescent="0.25">
      <c r="A7" s="37" t="s">
        <v>2</v>
      </c>
      <c r="B7" s="37" t="s">
        <v>3</v>
      </c>
      <c r="C7" s="37">
        <v>1</v>
      </c>
      <c r="D7" s="37">
        <v>2</v>
      </c>
      <c r="E7" s="37">
        <v>3</v>
      </c>
      <c r="F7" s="37">
        <v>4</v>
      </c>
      <c r="G7" s="37">
        <v>5</v>
      </c>
      <c r="H7" s="37">
        <v>6</v>
      </c>
      <c r="I7" s="37">
        <v>7</v>
      </c>
      <c r="J7" s="37">
        <v>8</v>
      </c>
      <c r="K7" s="37" t="s">
        <v>313</v>
      </c>
      <c r="L7" s="37" t="s">
        <v>314</v>
      </c>
      <c r="M7" s="37" t="s">
        <v>315</v>
      </c>
      <c r="N7" s="37" t="s">
        <v>316</v>
      </c>
    </row>
    <row r="8" spans="1:17" s="50" customFormat="1" ht="18.75" customHeight="1" x14ac:dyDescent="0.25">
      <c r="A8" s="39"/>
      <c r="B8" s="40" t="s">
        <v>1233</v>
      </c>
      <c r="C8" s="51">
        <f>D8+F8</f>
        <v>610000</v>
      </c>
      <c r="D8" s="51">
        <f>SUM(D9:D17)</f>
        <v>605000</v>
      </c>
      <c r="E8" s="51"/>
      <c r="F8" s="51">
        <f>F18</f>
        <v>5000</v>
      </c>
      <c r="G8" s="51">
        <f>SUM(G9:G18)</f>
        <v>611466</v>
      </c>
      <c r="H8" s="51">
        <f>SUM(H9:H17)</f>
        <v>609666</v>
      </c>
      <c r="I8" s="51">
        <f t="shared" ref="I8" si="0">SUM(I9:I17)</f>
        <v>0</v>
      </c>
      <c r="J8" s="51">
        <f>SUM(J9:J18)</f>
        <v>1800</v>
      </c>
      <c r="K8" s="105">
        <f>G8/C8</f>
        <v>1.0024032786885246</v>
      </c>
      <c r="L8" s="105">
        <f>H8/D8</f>
        <v>1.007712396694215</v>
      </c>
      <c r="M8" s="51"/>
      <c r="N8" s="51"/>
      <c r="Q8" s="54"/>
    </row>
    <row r="9" spans="1:17" ht="18.75" customHeight="1" x14ac:dyDescent="0.25">
      <c r="A9" s="60">
        <v>1</v>
      </c>
      <c r="B9" s="45" t="s">
        <v>148</v>
      </c>
      <c r="C9" s="59">
        <f t="shared" ref="C9:C18" si="1">D9+F9</f>
        <v>106350</v>
      </c>
      <c r="D9" s="59">
        <f>'Biểu 13'!I8</f>
        <v>106350</v>
      </c>
      <c r="E9" s="59"/>
      <c r="F9" s="59"/>
      <c r="G9" s="59">
        <f>SUM(H9:J9)</f>
        <v>103205</v>
      </c>
      <c r="H9" s="59">
        <f>'Biểu 13'!K8</f>
        <v>103205</v>
      </c>
      <c r="I9" s="59"/>
      <c r="J9" s="59"/>
      <c r="K9" s="106">
        <f t="shared" ref="K9:K17" si="2">G9/C9</f>
        <v>0.97042783262811472</v>
      </c>
      <c r="L9" s="106">
        <f t="shared" ref="L9:L17" si="3">H9/D9</f>
        <v>0.97042783262811472</v>
      </c>
      <c r="M9" s="59"/>
      <c r="N9" s="59"/>
    </row>
    <row r="10" spans="1:17" ht="18.75" customHeight="1" x14ac:dyDescent="0.25">
      <c r="A10" s="60">
        <v>2</v>
      </c>
      <c r="B10" s="45" t="s">
        <v>149</v>
      </c>
      <c r="C10" s="59">
        <f t="shared" si="1"/>
        <v>14230</v>
      </c>
      <c r="D10" s="59">
        <f>'Biểu 13'!O8</f>
        <v>14230</v>
      </c>
      <c r="E10" s="59"/>
      <c r="F10" s="59"/>
      <c r="G10" s="90">
        <f t="shared" ref="G10:G17" si="4">SUM(H10:J10)</f>
        <v>13516</v>
      </c>
      <c r="H10" s="59">
        <f>'Biểu 13'!Q8</f>
        <v>13516</v>
      </c>
      <c r="I10" s="59"/>
      <c r="J10" s="59"/>
      <c r="K10" s="106">
        <f t="shared" si="2"/>
        <v>0.94982431482782859</v>
      </c>
      <c r="L10" s="106">
        <f t="shared" si="3"/>
        <v>0.94982431482782859</v>
      </c>
      <c r="M10" s="59"/>
      <c r="N10" s="59"/>
    </row>
    <row r="11" spans="1:17" ht="18.75" customHeight="1" x14ac:dyDescent="0.25">
      <c r="A11" s="60">
        <v>3</v>
      </c>
      <c r="B11" s="45" t="s">
        <v>385</v>
      </c>
      <c r="C11" s="59">
        <f t="shared" si="1"/>
        <v>16120</v>
      </c>
      <c r="D11" s="59">
        <f>'Biểu 13'!U8</f>
        <v>16120</v>
      </c>
      <c r="E11" s="59"/>
      <c r="F11" s="59"/>
      <c r="G11" s="90">
        <f t="shared" si="4"/>
        <v>15615</v>
      </c>
      <c r="H11" s="59">
        <f>'Biểu 13'!W8</f>
        <v>15615</v>
      </c>
      <c r="I11" s="59"/>
      <c r="J11" s="59"/>
      <c r="K11" s="106">
        <f t="shared" si="2"/>
        <v>0.96867245657568235</v>
      </c>
      <c r="L11" s="106">
        <f t="shared" si="3"/>
        <v>0.96867245657568235</v>
      </c>
      <c r="M11" s="59"/>
      <c r="N11" s="59"/>
    </row>
    <row r="12" spans="1:17" ht="18.75" customHeight="1" x14ac:dyDescent="0.25">
      <c r="A12" s="60">
        <v>4</v>
      </c>
      <c r="B12" s="45" t="s">
        <v>151</v>
      </c>
      <c r="C12" s="59">
        <f t="shared" si="1"/>
        <v>111890</v>
      </c>
      <c r="D12" s="59">
        <f>'Biểu 13'!AA8</f>
        <v>111890</v>
      </c>
      <c r="E12" s="59"/>
      <c r="F12" s="59"/>
      <c r="G12" s="90">
        <f t="shared" si="4"/>
        <v>112800</v>
      </c>
      <c r="H12" s="59">
        <f>'Biểu 13'!AC8</f>
        <v>112800</v>
      </c>
      <c r="I12" s="59"/>
      <c r="J12" s="59"/>
      <c r="K12" s="106">
        <f t="shared" si="2"/>
        <v>1.0081329877558316</v>
      </c>
      <c r="L12" s="106">
        <f t="shared" si="3"/>
        <v>1.0081329877558316</v>
      </c>
      <c r="M12" s="59"/>
      <c r="N12" s="59"/>
    </row>
    <row r="13" spans="1:17" ht="18.75" customHeight="1" x14ac:dyDescent="0.25">
      <c r="A13" s="60">
        <v>5</v>
      </c>
      <c r="B13" s="45" t="s">
        <v>152</v>
      </c>
      <c r="C13" s="59">
        <f t="shared" si="1"/>
        <v>20170</v>
      </c>
      <c r="D13" s="59">
        <f>'Biểu 13'!AG8</f>
        <v>20170</v>
      </c>
      <c r="E13" s="59"/>
      <c r="F13" s="59"/>
      <c r="G13" s="90">
        <f t="shared" si="4"/>
        <v>19852</v>
      </c>
      <c r="H13" s="59">
        <f>'Biểu 13'!AI8</f>
        <v>19852</v>
      </c>
      <c r="I13" s="59"/>
      <c r="J13" s="59"/>
      <c r="K13" s="106">
        <f t="shared" si="2"/>
        <v>0.98423401090728801</v>
      </c>
      <c r="L13" s="106">
        <f t="shared" si="3"/>
        <v>0.98423401090728801</v>
      </c>
      <c r="M13" s="59"/>
      <c r="N13" s="59"/>
    </row>
    <row r="14" spans="1:17" ht="18.75" customHeight="1" x14ac:dyDescent="0.25">
      <c r="A14" s="60">
        <v>6</v>
      </c>
      <c r="B14" s="45" t="s">
        <v>153</v>
      </c>
      <c r="C14" s="59">
        <f t="shared" si="1"/>
        <v>13080</v>
      </c>
      <c r="D14" s="59">
        <f>'Biểu 13'!AM8</f>
        <v>13080</v>
      </c>
      <c r="E14" s="59"/>
      <c r="F14" s="59"/>
      <c r="G14" s="90">
        <f t="shared" si="4"/>
        <v>14085</v>
      </c>
      <c r="H14" s="59">
        <f>'Biểu 13'!AO8</f>
        <v>14085</v>
      </c>
      <c r="I14" s="59"/>
      <c r="J14" s="59"/>
      <c r="K14" s="106">
        <f t="shared" si="2"/>
        <v>1.076834862385321</v>
      </c>
      <c r="L14" s="106">
        <f t="shared" si="3"/>
        <v>1.076834862385321</v>
      </c>
      <c r="M14" s="59"/>
      <c r="N14" s="59"/>
    </row>
    <row r="15" spans="1:17" ht="18.75" customHeight="1" x14ac:dyDescent="0.25">
      <c r="A15" s="60">
        <v>7</v>
      </c>
      <c r="B15" s="45" t="s">
        <v>154</v>
      </c>
      <c r="C15" s="59">
        <f t="shared" si="1"/>
        <v>29880</v>
      </c>
      <c r="D15" s="59">
        <f>'Biểu 13'!AS8</f>
        <v>29880</v>
      </c>
      <c r="E15" s="59"/>
      <c r="F15" s="59"/>
      <c r="G15" s="90">
        <f t="shared" si="4"/>
        <v>30150</v>
      </c>
      <c r="H15" s="59">
        <f>'Biểu 13'!AU8</f>
        <v>30150</v>
      </c>
      <c r="I15" s="59"/>
      <c r="J15" s="59"/>
      <c r="K15" s="106">
        <f t="shared" si="2"/>
        <v>1.0090361445783131</v>
      </c>
      <c r="L15" s="106">
        <f t="shared" si="3"/>
        <v>1.0090361445783131</v>
      </c>
      <c r="M15" s="59"/>
      <c r="N15" s="59"/>
    </row>
    <row r="16" spans="1:17" ht="18.75" customHeight="1" x14ac:dyDescent="0.25">
      <c r="A16" s="60">
        <v>8</v>
      </c>
      <c r="B16" s="45" t="s">
        <v>155</v>
      </c>
      <c r="C16" s="59">
        <f t="shared" si="1"/>
        <v>9730</v>
      </c>
      <c r="D16" s="59">
        <f>'Biểu 13'!AY8</f>
        <v>9730</v>
      </c>
      <c r="E16" s="59"/>
      <c r="F16" s="59"/>
      <c r="G16" s="90">
        <f t="shared" si="4"/>
        <v>12028</v>
      </c>
      <c r="H16" s="59">
        <f>'Biểu 13'!BA8</f>
        <v>12028</v>
      </c>
      <c r="I16" s="59"/>
      <c r="J16" s="59"/>
      <c r="K16" s="106">
        <f t="shared" si="2"/>
        <v>1.2361767728674204</v>
      </c>
      <c r="L16" s="106">
        <f t="shared" si="3"/>
        <v>1.2361767728674204</v>
      </c>
      <c r="M16" s="59"/>
      <c r="N16" s="59"/>
    </row>
    <row r="17" spans="1:14" ht="18.75" customHeight="1" x14ac:dyDescent="0.25">
      <c r="A17" s="60">
        <v>9</v>
      </c>
      <c r="B17" s="45" t="s">
        <v>386</v>
      </c>
      <c r="C17" s="59">
        <f t="shared" si="1"/>
        <v>283550</v>
      </c>
      <c r="D17" s="59">
        <f>'Biểu 13'!BE8</f>
        <v>283550</v>
      </c>
      <c r="E17" s="59"/>
      <c r="F17" s="59"/>
      <c r="G17" s="90">
        <f t="shared" si="4"/>
        <v>288415</v>
      </c>
      <c r="H17" s="59">
        <f>'Biểu 13'!BG8</f>
        <v>288415</v>
      </c>
      <c r="I17" s="59"/>
      <c r="J17" s="59"/>
      <c r="K17" s="106">
        <f t="shared" si="2"/>
        <v>1.017157467818727</v>
      </c>
      <c r="L17" s="106">
        <f t="shared" si="3"/>
        <v>1.017157467818727</v>
      </c>
      <c r="M17" s="59"/>
      <c r="N17" s="59"/>
    </row>
    <row r="18" spans="1:14" ht="18.75" customHeight="1" x14ac:dyDescent="0.25">
      <c r="A18" s="49">
        <v>10</v>
      </c>
      <c r="B18" s="75" t="s">
        <v>387</v>
      </c>
      <c r="C18" s="52">
        <f t="shared" si="1"/>
        <v>5000</v>
      </c>
      <c r="D18" s="52"/>
      <c r="E18" s="52"/>
      <c r="F18" s="52">
        <v>5000</v>
      </c>
      <c r="G18" s="52">
        <f>SUM(H18:J18)</f>
        <v>1800</v>
      </c>
      <c r="H18" s="52"/>
      <c r="I18" s="52"/>
      <c r="J18" s="52">
        <v>1800</v>
      </c>
      <c r="K18" s="107">
        <f>G18/C18</f>
        <v>0.36</v>
      </c>
      <c r="L18" s="107"/>
      <c r="M18" s="52"/>
      <c r="N18" s="358">
        <f>J18/F18</f>
        <v>0.36</v>
      </c>
    </row>
    <row r="19" spans="1:14" x14ac:dyDescent="0.25">
      <c r="A19" s="61"/>
    </row>
    <row r="20" spans="1:14" s="38" customFormat="1" x14ac:dyDescent="0.25">
      <c r="A20" s="1943"/>
      <c r="B20" s="1943"/>
      <c r="C20" s="1943"/>
      <c r="D20" s="1943"/>
      <c r="E20" s="1943"/>
      <c r="F20" s="1943"/>
      <c r="G20" s="1943"/>
      <c r="H20" s="1943"/>
      <c r="I20" s="1943"/>
      <c r="J20" s="1943"/>
      <c r="K20" s="1943"/>
      <c r="L20" s="1943"/>
      <c r="M20" s="1943"/>
      <c r="N20" s="1943"/>
    </row>
    <row r="21" spans="1:14" s="38" customFormat="1" x14ac:dyDescent="0.25">
      <c r="A21" s="1943"/>
      <c r="B21" s="1943"/>
      <c r="C21" s="1943"/>
      <c r="D21" s="1943"/>
      <c r="E21" s="1943"/>
      <c r="F21" s="1943"/>
      <c r="G21" s="1943"/>
      <c r="H21" s="1943"/>
      <c r="I21" s="1943"/>
      <c r="J21" s="1943"/>
      <c r="K21" s="1943"/>
      <c r="L21" s="1943"/>
      <c r="M21" s="1943"/>
      <c r="N21" s="1943"/>
    </row>
    <row r="22" spans="1:14" x14ac:dyDescent="0.25">
      <c r="G22" s="53"/>
    </row>
  </sheetData>
  <mergeCells count="16">
    <mergeCell ref="A1:N1"/>
    <mergeCell ref="A2:N2"/>
    <mergeCell ref="L3:N3"/>
    <mergeCell ref="A4:A6"/>
    <mergeCell ref="B4:B6"/>
    <mergeCell ref="C4:F4"/>
    <mergeCell ref="G4:J4"/>
    <mergeCell ref="K4:N4"/>
    <mergeCell ref="C5:C6"/>
    <mergeCell ref="A21:N21"/>
    <mergeCell ref="D5:F5"/>
    <mergeCell ref="G5:G6"/>
    <mergeCell ref="H5:J5"/>
    <mergeCell ref="K5:K6"/>
    <mergeCell ref="L5:N5"/>
    <mergeCell ref="A20:N20"/>
  </mergeCells>
  <pageMargins left="1.19" right="0.24" top="0.95" bottom="1.03" header="0.61" footer="0.63"/>
  <pageSetup paperSize="9" firstPageNumber="88" orientation="landscape" useFirstPageNumber="1" r:id="rId1"/>
  <headerFooter>
    <oddHeader>&amp;RBiểu mẫu số 20</oddHeader>
    <oddFooter>&amp;C&amp;P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Z21"/>
  <sheetViews>
    <sheetView workbookViewId="0">
      <selection activeCell="Y14" sqref="Y14"/>
    </sheetView>
  </sheetViews>
  <sheetFormatPr defaultRowHeight="12.75" x14ac:dyDescent="0.25"/>
  <cols>
    <col min="1" max="1" width="3.625" style="76" customWidth="1"/>
    <col min="2" max="2" width="13.375" style="76" customWidth="1"/>
    <col min="3" max="3" width="6.625" style="76" customWidth="1"/>
    <col min="4" max="4" width="6.5" style="76" customWidth="1"/>
    <col min="5" max="5" width="5.125" style="76" customWidth="1"/>
    <col min="6" max="6" width="5" style="76" customWidth="1"/>
    <col min="7" max="7" width="4.5" style="76" customWidth="1"/>
    <col min="8" max="8" width="6.25" style="76" customWidth="1"/>
    <col min="9" max="9" width="5.25" style="76" customWidth="1"/>
    <col min="10" max="11" width="5" style="76" customWidth="1"/>
    <col min="12" max="12" width="5.625" style="76" customWidth="1"/>
    <col min="13" max="13" width="5.25" style="76" customWidth="1"/>
    <col min="14" max="15" width="5.5" style="76" customWidth="1"/>
    <col min="16" max="16" width="5.125" style="76" customWidth="1"/>
    <col min="17" max="17" width="5.625" style="76" customWidth="1"/>
    <col min="18" max="18" width="4.625" style="76" customWidth="1"/>
    <col min="19" max="19" width="4.75" style="76" customWidth="1"/>
    <col min="20" max="20" width="5" style="76" customWidth="1"/>
    <col min="21" max="21" width="5.125" style="76" customWidth="1"/>
    <col min="22" max="22" width="5" style="76" customWidth="1"/>
    <col min="23" max="23" width="4.5" style="76" customWidth="1"/>
    <col min="24" max="25" width="9" style="76"/>
    <col min="26" max="26" width="15.5" style="76" customWidth="1"/>
    <col min="27" max="16384" width="9" style="76"/>
  </cols>
  <sheetData>
    <row r="1" spans="1:26" x14ac:dyDescent="0.25">
      <c r="A1" s="2040"/>
      <c r="B1" s="2040"/>
      <c r="C1" s="2040"/>
      <c r="D1" s="2040"/>
      <c r="E1" s="2040"/>
      <c r="F1" s="2040"/>
      <c r="G1" s="2040"/>
      <c r="H1" s="2040"/>
      <c r="I1" s="2040"/>
      <c r="J1" s="2040"/>
      <c r="K1" s="2040"/>
      <c r="L1" s="2040"/>
      <c r="M1" s="2040"/>
      <c r="N1" s="2040"/>
      <c r="O1" s="2040"/>
      <c r="P1" s="2040"/>
      <c r="Q1" s="2040"/>
      <c r="R1" s="2040"/>
      <c r="S1" s="2040"/>
      <c r="T1" s="2040"/>
      <c r="U1" s="2040"/>
      <c r="V1" s="2040"/>
      <c r="W1" s="2040"/>
    </row>
    <row r="2" spans="1:26" ht="16.5" x14ac:dyDescent="0.25">
      <c r="A2" s="1950" t="s">
        <v>1446</v>
      </c>
      <c r="B2" s="1950"/>
      <c r="C2" s="1950"/>
      <c r="D2" s="1950"/>
      <c r="E2" s="1950"/>
      <c r="F2" s="1950"/>
      <c r="G2" s="1950"/>
      <c r="H2" s="1950"/>
      <c r="I2" s="1950"/>
      <c r="J2" s="1950"/>
      <c r="K2" s="1950"/>
      <c r="L2" s="1950"/>
      <c r="M2" s="1950"/>
      <c r="N2" s="1950"/>
      <c r="O2" s="1950"/>
      <c r="P2" s="1950"/>
      <c r="Q2" s="1950"/>
      <c r="R2" s="1950"/>
      <c r="S2" s="1950"/>
      <c r="T2" s="1950"/>
      <c r="U2" s="1950"/>
      <c r="V2" s="1950"/>
      <c r="W2" s="1950"/>
    </row>
    <row r="3" spans="1:26" ht="15.75" x14ac:dyDescent="0.25">
      <c r="A3" s="2041" t="str">
        <f>'Biểu 20'!A2:N2</f>
        <v>(Kèm theo Báo cáo số              /BC-UBND ngày       tháng 11 năm 2018 của UBND tỉnh Bắc Kạn)</v>
      </c>
      <c r="B3" s="2042"/>
      <c r="C3" s="2042"/>
      <c r="D3" s="2042"/>
      <c r="E3" s="2042"/>
      <c r="F3" s="2042"/>
      <c r="G3" s="2042"/>
      <c r="H3" s="2042"/>
      <c r="I3" s="2042"/>
      <c r="J3" s="2042"/>
      <c r="K3" s="2042"/>
      <c r="L3" s="2042"/>
      <c r="M3" s="2042"/>
      <c r="N3" s="2042"/>
      <c r="O3" s="2042"/>
      <c r="P3" s="2042"/>
      <c r="Q3" s="2042"/>
      <c r="R3" s="2042"/>
      <c r="S3" s="2042"/>
      <c r="T3" s="2042"/>
      <c r="U3" s="2042"/>
      <c r="V3" s="2042"/>
      <c r="W3" s="2042"/>
    </row>
    <row r="4" spans="1:26" ht="12.75" customHeight="1" x14ac:dyDescent="0.25">
      <c r="U4" s="2043" t="s">
        <v>6</v>
      </c>
      <c r="V4" s="2043"/>
      <c r="W4" s="2043"/>
    </row>
    <row r="5" spans="1:26" s="306" customFormat="1" ht="12.75" customHeight="1" x14ac:dyDescent="0.25">
      <c r="A5" s="2039" t="s">
        <v>0</v>
      </c>
      <c r="B5" s="2039" t="s">
        <v>1222</v>
      </c>
      <c r="C5" s="2039" t="s">
        <v>64</v>
      </c>
      <c r="D5" s="2039" t="s">
        <v>1234</v>
      </c>
      <c r="E5" s="2039" t="s">
        <v>62</v>
      </c>
      <c r="F5" s="2039"/>
      <c r="G5" s="2039"/>
      <c r="H5" s="2039"/>
      <c r="I5" s="2039"/>
      <c r="J5" s="2039"/>
      <c r="K5" s="2039"/>
      <c r="L5" s="2039"/>
      <c r="M5" s="2039"/>
      <c r="N5" s="2039"/>
      <c r="O5" s="2039"/>
      <c r="P5" s="2039"/>
      <c r="Q5" s="2039"/>
      <c r="R5" s="2039"/>
      <c r="S5" s="2039"/>
      <c r="T5" s="2039"/>
      <c r="U5" s="2039" t="s">
        <v>157</v>
      </c>
      <c r="V5" s="2039" t="s">
        <v>62</v>
      </c>
      <c r="W5" s="2039"/>
    </row>
    <row r="6" spans="1:26" s="319" customFormat="1" ht="126" x14ac:dyDescent="0.25">
      <c r="A6" s="2039"/>
      <c r="B6" s="2039"/>
      <c r="C6" s="2039"/>
      <c r="D6" s="2039"/>
      <c r="E6" s="320" t="s">
        <v>65</v>
      </c>
      <c r="F6" s="320" t="s">
        <v>66</v>
      </c>
      <c r="G6" s="320" t="s">
        <v>388</v>
      </c>
      <c r="H6" s="320" t="s">
        <v>389</v>
      </c>
      <c r="I6" s="320" t="s">
        <v>390</v>
      </c>
      <c r="J6" s="320" t="s">
        <v>391</v>
      </c>
      <c r="K6" s="320" t="s">
        <v>392</v>
      </c>
      <c r="L6" s="320" t="s">
        <v>393</v>
      </c>
      <c r="M6" s="320" t="s">
        <v>395</v>
      </c>
      <c r="N6" s="320" t="s">
        <v>396</v>
      </c>
      <c r="O6" s="320" t="s">
        <v>397</v>
      </c>
      <c r="P6" s="320" t="s">
        <v>398</v>
      </c>
      <c r="Q6" s="320" t="s">
        <v>399</v>
      </c>
      <c r="R6" s="320" t="s">
        <v>580</v>
      </c>
      <c r="S6" s="320" t="s">
        <v>581</v>
      </c>
      <c r="T6" s="320" t="s">
        <v>582</v>
      </c>
      <c r="U6" s="2039">
        <v>-3</v>
      </c>
      <c r="V6" s="320" t="s">
        <v>67</v>
      </c>
      <c r="W6" s="320" t="s">
        <v>403</v>
      </c>
      <c r="Z6" s="319">
        <f>563584+1895043</f>
        <v>2458627</v>
      </c>
    </row>
    <row r="7" spans="1:26" s="306" customFormat="1" ht="12" x14ac:dyDescent="0.25">
      <c r="A7" s="307" t="s">
        <v>2</v>
      </c>
      <c r="B7" s="307" t="s">
        <v>3</v>
      </c>
      <c r="C7" s="307">
        <v>1</v>
      </c>
      <c r="D7" s="307">
        <v>2</v>
      </c>
      <c r="E7" s="307">
        <v>3</v>
      </c>
      <c r="F7" s="307">
        <v>4</v>
      </c>
      <c r="G7" s="307">
        <v>5</v>
      </c>
      <c r="H7" s="307">
        <v>6</v>
      </c>
      <c r="I7" s="307">
        <v>7</v>
      </c>
      <c r="J7" s="307">
        <v>8</v>
      </c>
      <c r="K7" s="307">
        <v>9</v>
      </c>
      <c r="L7" s="307">
        <v>10</v>
      </c>
      <c r="M7" s="307">
        <v>11</v>
      </c>
      <c r="N7" s="307">
        <v>12</v>
      </c>
      <c r="O7" s="307">
        <v>13</v>
      </c>
      <c r="P7" s="307">
        <v>14</v>
      </c>
      <c r="Q7" s="307">
        <v>15</v>
      </c>
      <c r="R7" s="307">
        <v>16</v>
      </c>
      <c r="S7" s="307">
        <v>17</v>
      </c>
      <c r="T7" s="307">
        <v>18</v>
      </c>
      <c r="U7" s="307">
        <v>20</v>
      </c>
      <c r="V7" s="307">
        <v>21</v>
      </c>
      <c r="W7" s="307">
        <v>22</v>
      </c>
    </row>
    <row r="8" spans="1:26" s="311" customFormat="1" ht="19.5" customHeight="1" x14ac:dyDescent="0.25">
      <c r="A8" s="308"/>
      <c r="B8" s="309" t="s">
        <v>1233</v>
      </c>
      <c r="C8" s="310">
        <f>SUM(C9:C18)</f>
        <v>611466</v>
      </c>
      <c r="D8" s="310">
        <f t="shared" ref="D8:W8" si="0">SUM(D9:D18)</f>
        <v>609666</v>
      </c>
      <c r="E8" s="310">
        <f t="shared" si="0"/>
        <v>88165</v>
      </c>
      <c r="F8" s="310">
        <f t="shared" si="0"/>
        <v>6817</v>
      </c>
      <c r="G8" s="310">
        <f t="shared" ref="G8" si="1">SUM(G9:G18)</f>
        <v>5150</v>
      </c>
      <c r="H8" s="310">
        <f t="shared" ref="H8" si="2">SUM(H9:H18)</f>
        <v>153389</v>
      </c>
      <c r="I8" s="310">
        <f t="shared" ref="I8" si="3">SUM(I9:I18)</f>
        <v>33540</v>
      </c>
      <c r="J8" s="310">
        <f t="shared" ref="J8" si="4">SUM(J9:J18)</f>
        <v>3350</v>
      </c>
      <c r="K8" s="310">
        <f t="shared" ref="K8" si="5">SUM(K9:K18)</f>
        <v>9000</v>
      </c>
      <c r="L8" s="310">
        <f t="shared" ref="L8" si="6">SUM(L9:L18)</f>
        <v>82990</v>
      </c>
      <c r="M8" s="310">
        <f t="shared" ref="M8" si="7">SUM(M9:M18)</f>
        <v>15000</v>
      </c>
      <c r="N8" s="310">
        <f t="shared" ref="N8" si="8">SUM(N9:N18)</f>
        <v>12000</v>
      </c>
      <c r="O8" s="310">
        <f>SUM(O9:O18)</f>
        <v>68457</v>
      </c>
      <c r="P8" s="310">
        <f t="shared" ref="P8:Q8" si="9">SUM(P9:P18)</f>
        <v>75000</v>
      </c>
      <c r="Q8" s="310">
        <f t="shared" si="9"/>
        <v>23490</v>
      </c>
      <c r="R8" s="310">
        <f>SUM(R9:R18)</f>
        <v>600</v>
      </c>
      <c r="S8" s="310">
        <f t="shared" ref="S8:T8" si="10">SUM(S9:S18)</f>
        <v>0</v>
      </c>
      <c r="T8" s="310">
        <f t="shared" si="10"/>
        <v>32718</v>
      </c>
      <c r="U8" s="310">
        <f t="shared" si="0"/>
        <v>1800</v>
      </c>
      <c r="V8" s="310">
        <f t="shared" si="0"/>
        <v>1792</v>
      </c>
      <c r="W8" s="310">
        <f t="shared" si="0"/>
        <v>8</v>
      </c>
    </row>
    <row r="9" spans="1:26" s="306" customFormat="1" ht="15.75" customHeight="1" x14ac:dyDescent="0.25">
      <c r="A9" s="312">
        <v>1</v>
      </c>
      <c r="B9" s="313" t="s">
        <v>148</v>
      </c>
      <c r="C9" s="314">
        <f t="shared" ref="C9:C18" si="11">D9+U9</f>
        <v>103205</v>
      </c>
      <c r="D9" s="314">
        <f>SUM(E9:T9)</f>
        <v>103205</v>
      </c>
      <c r="E9" s="314">
        <f>'Biểu 13'!K10</f>
        <v>760</v>
      </c>
      <c r="F9" s="314">
        <f>'Biểu 13'!K15</f>
        <v>400</v>
      </c>
      <c r="G9" s="314"/>
      <c r="H9" s="314">
        <f>'Biểu 13'!K25</f>
        <v>21407</v>
      </c>
      <c r="I9" s="314">
        <f>'Biểu 13'!K40</f>
        <v>15500</v>
      </c>
      <c r="J9" s="314">
        <f>'Biểu 13'!K32</f>
        <v>250</v>
      </c>
      <c r="K9" s="314"/>
      <c r="L9" s="314">
        <f>'Biểu 13'!K33</f>
        <v>50000</v>
      </c>
      <c r="M9" s="314"/>
      <c r="N9" s="314"/>
      <c r="O9" s="314">
        <f>'Biểu 13'!K43</f>
        <v>2400</v>
      </c>
      <c r="P9" s="314"/>
      <c r="Q9" s="314">
        <f>'Biểu 13'!K31</f>
        <v>9400</v>
      </c>
      <c r="R9" s="314">
        <f>'Biểu 13'!K34</f>
        <v>320</v>
      </c>
      <c r="S9" s="314">
        <f>'Biểu 13'!K37</f>
        <v>0</v>
      </c>
      <c r="T9" s="314">
        <f>'Biểu 13'!K48</f>
        <v>2768</v>
      </c>
      <c r="U9" s="314"/>
      <c r="V9" s="314"/>
      <c r="W9" s="314"/>
    </row>
    <row r="10" spans="1:26" s="315" customFormat="1" ht="15.75" customHeight="1" x14ac:dyDescent="0.25">
      <c r="A10" s="23">
        <v>2</v>
      </c>
      <c r="B10" s="24" t="s">
        <v>149</v>
      </c>
      <c r="C10" s="205">
        <f t="shared" si="11"/>
        <v>13516</v>
      </c>
      <c r="D10" s="314">
        <f t="shared" ref="D10:D17" si="12">SUM(E10:T10)</f>
        <v>13516</v>
      </c>
      <c r="E10" s="205">
        <f>'Biểu 13'!Q10</f>
        <v>66</v>
      </c>
      <c r="F10" s="205">
        <f>'Biểu 13'!Q15</f>
        <v>15</v>
      </c>
      <c r="G10" s="205"/>
      <c r="H10" s="205">
        <f>'Biểu 13'!Q25</f>
        <v>5060</v>
      </c>
      <c r="I10" s="205">
        <f>'Biểu 13'!Q40</f>
        <v>1590</v>
      </c>
      <c r="J10" s="205">
        <f>'Biểu 13'!Q32</f>
        <v>400</v>
      </c>
      <c r="K10" s="205"/>
      <c r="L10" s="205">
        <f>'Biểu 13'!Q33</f>
        <v>3000</v>
      </c>
      <c r="M10" s="205"/>
      <c r="N10" s="205"/>
      <c r="O10" s="205">
        <f>'Biểu 13'!Q43</f>
        <v>1000</v>
      </c>
      <c r="P10" s="205"/>
      <c r="Q10" s="205">
        <f>'Biểu 13'!Q31</f>
        <v>750</v>
      </c>
      <c r="R10" s="205">
        <f>'Biểu 13'!Q34</f>
        <v>35</v>
      </c>
      <c r="S10" s="205"/>
      <c r="T10" s="205">
        <f>'Biểu 13'!Q48</f>
        <v>1600</v>
      </c>
      <c r="U10" s="205"/>
      <c r="V10" s="205"/>
      <c r="W10" s="205"/>
    </row>
    <row r="11" spans="1:26" s="315" customFormat="1" ht="15.75" customHeight="1" x14ac:dyDescent="0.25">
      <c r="A11" s="23">
        <v>3</v>
      </c>
      <c r="B11" s="24" t="s">
        <v>385</v>
      </c>
      <c r="C11" s="205">
        <f t="shared" si="11"/>
        <v>15615</v>
      </c>
      <c r="D11" s="314">
        <f t="shared" si="12"/>
        <v>15615</v>
      </c>
      <c r="E11" s="205">
        <f>'Biểu 13'!W10</f>
        <v>100</v>
      </c>
      <c r="F11" s="205">
        <f>'Biểu 13'!W15</f>
        <v>15</v>
      </c>
      <c r="G11" s="205"/>
      <c r="H11" s="205">
        <f>'Biểu 13'!W25</f>
        <v>5070</v>
      </c>
      <c r="I11" s="205">
        <f>'Biểu 13'!W40</f>
        <v>2500</v>
      </c>
      <c r="J11" s="205">
        <f>'Biểu 13'!W32</f>
        <v>700</v>
      </c>
      <c r="K11" s="205"/>
      <c r="L11" s="205">
        <f>'Biểu 13'!W33</f>
        <v>3600</v>
      </c>
      <c r="M11" s="205"/>
      <c r="N11" s="205"/>
      <c r="O11" s="205">
        <f>'Biểu 13'!W43</f>
        <v>1200</v>
      </c>
      <c r="P11" s="205"/>
      <c r="Q11" s="205">
        <f>'Biểu 13'!W31</f>
        <v>900</v>
      </c>
      <c r="R11" s="205">
        <f>'Biểu 13'!W34</f>
        <v>30</v>
      </c>
      <c r="S11" s="205"/>
      <c r="T11" s="205">
        <f>'Biểu 13'!W48</f>
        <v>1500</v>
      </c>
      <c r="U11" s="205"/>
      <c r="V11" s="205"/>
      <c r="W11" s="205"/>
    </row>
    <row r="12" spans="1:26" s="315" customFormat="1" ht="15.75" customHeight="1" x14ac:dyDescent="0.25">
      <c r="A12" s="23">
        <v>4</v>
      </c>
      <c r="B12" s="24" t="s">
        <v>151</v>
      </c>
      <c r="C12" s="205">
        <f t="shared" si="11"/>
        <v>112800</v>
      </c>
      <c r="D12" s="314">
        <f t="shared" si="12"/>
        <v>112800</v>
      </c>
      <c r="E12" s="205">
        <f>'Biểu 13'!AC10</f>
        <v>20340</v>
      </c>
      <c r="F12" s="205">
        <f>'Biểu 13'!AC15</f>
        <v>100</v>
      </c>
      <c r="G12" s="205"/>
      <c r="H12" s="205">
        <f>'Biểu 13'!AC25</f>
        <v>28010</v>
      </c>
      <c r="I12" s="205">
        <f>'Biểu 13'!AC40</f>
        <v>3200</v>
      </c>
      <c r="J12" s="205">
        <f>'Biểu 13'!AC32</f>
        <v>600</v>
      </c>
      <c r="K12" s="205"/>
      <c r="L12" s="205">
        <f>'Biểu 13'!AC33</f>
        <v>3000</v>
      </c>
      <c r="M12" s="205"/>
      <c r="N12" s="205"/>
      <c r="O12" s="205">
        <f>'Biểu 13'!AC43</f>
        <v>54000</v>
      </c>
      <c r="P12" s="205"/>
      <c r="Q12" s="205">
        <f>'Biểu 13'!AC31</f>
        <v>1400</v>
      </c>
      <c r="R12" s="205">
        <f>'Biểu 13'!AC34</f>
        <v>150</v>
      </c>
      <c r="S12" s="205"/>
      <c r="T12" s="205">
        <f>'Biểu 13'!AC48</f>
        <v>2000</v>
      </c>
      <c r="U12" s="205"/>
      <c r="V12" s="205"/>
      <c r="W12" s="205"/>
    </row>
    <row r="13" spans="1:26" s="315" customFormat="1" ht="15.75" customHeight="1" x14ac:dyDescent="0.25">
      <c r="A13" s="23">
        <v>5</v>
      </c>
      <c r="B13" s="24" t="s">
        <v>152</v>
      </c>
      <c r="C13" s="205">
        <f t="shared" si="11"/>
        <v>19852</v>
      </c>
      <c r="D13" s="314">
        <f t="shared" si="12"/>
        <v>19852</v>
      </c>
      <c r="E13" s="205">
        <f>'Biểu 13'!AI10</f>
        <v>110</v>
      </c>
      <c r="F13" s="205">
        <f>'Biểu 13'!AI15</f>
        <v>230</v>
      </c>
      <c r="G13" s="205"/>
      <c r="H13" s="205">
        <f>'Biểu 13'!AI25</f>
        <v>4845</v>
      </c>
      <c r="I13" s="205">
        <f>'Biểu 13'!AI40</f>
        <v>3400</v>
      </c>
      <c r="J13" s="205">
        <f>'Biểu 13'!AI32</f>
        <v>400</v>
      </c>
      <c r="K13" s="205"/>
      <c r="L13" s="205">
        <f>'Biểu 13'!AI33</f>
        <v>6000</v>
      </c>
      <c r="M13" s="205"/>
      <c r="N13" s="205">
        <f>'Biểu 13'!AI36</f>
        <v>0</v>
      </c>
      <c r="O13" s="205">
        <f>'Biểu 13'!AI43</f>
        <v>1487</v>
      </c>
      <c r="P13" s="205"/>
      <c r="Q13" s="205">
        <f>'Biểu 13'!AI31</f>
        <v>1760</v>
      </c>
      <c r="R13" s="205">
        <f>'Biểu 13'!AI34</f>
        <v>20</v>
      </c>
      <c r="S13" s="205"/>
      <c r="T13" s="205">
        <f>'Biểu 13'!AI48</f>
        <v>1600</v>
      </c>
      <c r="U13" s="205"/>
      <c r="V13" s="205"/>
      <c r="W13" s="205"/>
    </row>
    <row r="14" spans="1:26" s="315" customFormat="1" ht="15.75" customHeight="1" x14ac:dyDescent="0.25">
      <c r="A14" s="23">
        <v>6</v>
      </c>
      <c r="B14" s="24" t="s">
        <v>153</v>
      </c>
      <c r="C14" s="205">
        <f t="shared" si="11"/>
        <v>14085</v>
      </c>
      <c r="D14" s="314">
        <f t="shared" si="12"/>
        <v>14085</v>
      </c>
      <c r="E14" s="205">
        <f>'Biểu 13'!AO10</f>
        <v>1419</v>
      </c>
      <c r="F14" s="205">
        <f>'Biểu 13'!AO15</f>
        <v>32</v>
      </c>
      <c r="G14" s="205"/>
      <c r="H14" s="205">
        <f>'Biểu 13'!AO25</f>
        <v>6687</v>
      </c>
      <c r="I14" s="205">
        <f>'Biểu 13'!AO40</f>
        <v>2200</v>
      </c>
      <c r="J14" s="205">
        <f>'Biểu 13'!AO32</f>
        <v>350</v>
      </c>
      <c r="K14" s="205"/>
      <c r="L14" s="205">
        <f>'Biểu 13'!AO33</f>
        <v>1450</v>
      </c>
      <c r="M14" s="205"/>
      <c r="N14" s="205"/>
      <c r="O14" s="205">
        <f>'Biểu 13'!AO43</f>
        <v>400</v>
      </c>
      <c r="P14" s="205"/>
      <c r="Q14" s="205">
        <f>'Biểu 13'!AO31</f>
        <v>630</v>
      </c>
      <c r="R14" s="205">
        <f>'Biểu 13'!AO34</f>
        <v>17</v>
      </c>
      <c r="S14" s="205"/>
      <c r="T14" s="205">
        <f>'Biểu 13'!AO48</f>
        <v>900</v>
      </c>
      <c r="U14" s="205"/>
      <c r="V14" s="205"/>
      <c r="W14" s="205"/>
    </row>
    <row r="15" spans="1:26" s="315" customFormat="1" ht="15.75" customHeight="1" x14ac:dyDescent="0.25">
      <c r="A15" s="23">
        <v>7</v>
      </c>
      <c r="B15" s="24" t="s">
        <v>154</v>
      </c>
      <c r="C15" s="205">
        <f t="shared" si="11"/>
        <v>30150</v>
      </c>
      <c r="D15" s="314">
        <f t="shared" si="12"/>
        <v>30150</v>
      </c>
      <c r="E15" s="205">
        <f>'Biểu 13'!AU10</f>
        <v>1300</v>
      </c>
      <c r="F15" s="205">
        <f>'Biểu 13'!AU15</f>
        <v>160</v>
      </c>
      <c r="G15" s="205"/>
      <c r="H15" s="205">
        <f>'Biểu 13'!AU25</f>
        <v>8220</v>
      </c>
      <c r="I15" s="205">
        <f>'Biểu 13'!AU40</f>
        <v>4000</v>
      </c>
      <c r="J15" s="205">
        <f>'Biểu 13'!AU32</f>
        <v>400</v>
      </c>
      <c r="K15" s="205"/>
      <c r="L15" s="205">
        <f>'Biểu 13'!AU33</f>
        <v>10000</v>
      </c>
      <c r="M15" s="205"/>
      <c r="N15" s="205"/>
      <c r="O15" s="205">
        <f>'Biểu 13'!AU43</f>
        <v>3200</v>
      </c>
      <c r="P15" s="205"/>
      <c r="Q15" s="205">
        <f>'Biểu 13'!AU31</f>
        <v>1300</v>
      </c>
      <c r="R15" s="205">
        <f>'Biểu 13'!AU34</f>
        <v>20</v>
      </c>
      <c r="S15" s="205"/>
      <c r="T15" s="205">
        <f>'Biểu 13'!AU48</f>
        <v>1550</v>
      </c>
      <c r="U15" s="205"/>
      <c r="V15" s="205"/>
      <c r="W15" s="205"/>
    </row>
    <row r="16" spans="1:26" s="315" customFormat="1" ht="15.75" customHeight="1" x14ac:dyDescent="0.25">
      <c r="A16" s="23">
        <v>8</v>
      </c>
      <c r="B16" s="24" t="s">
        <v>155</v>
      </c>
      <c r="C16" s="205">
        <f t="shared" si="11"/>
        <v>12028</v>
      </c>
      <c r="D16" s="314">
        <f t="shared" si="12"/>
        <v>12028</v>
      </c>
      <c r="E16" s="205">
        <f>'Biểu 13'!BA10</f>
        <v>70</v>
      </c>
      <c r="F16" s="205">
        <f>'Biểu 13'!BA15</f>
        <v>0</v>
      </c>
      <c r="G16" s="205"/>
      <c r="H16" s="205">
        <f>'Biểu 13'!BA25</f>
        <v>1890</v>
      </c>
      <c r="I16" s="205">
        <f>'Biểu 13'!BA40</f>
        <v>1150</v>
      </c>
      <c r="J16" s="205">
        <f>'Biểu 13'!BA32</f>
        <v>250</v>
      </c>
      <c r="K16" s="205"/>
      <c r="L16" s="205">
        <f>'Biểu 13'!BA33</f>
        <v>5940</v>
      </c>
      <c r="M16" s="205"/>
      <c r="N16" s="205"/>
      <c r="O16" s="205">
        <f>'Biểu 13'!BA43</f>
        <v>270</v>
      </c>
      <c r="P16" s="205"/>
      <c r="Q16" s="205">
        <f>'Biểu 13'!BA31</f>
        <v>550</v>
      </c>
      <c r="R16" s="205">
        <f>'Biểu 13'!BA34</f>
        <v>8</v>
      </c>
      <c r="S16" s="205"/>
      <c r="T16" s="205">
        <f>'Biểu 13'!BA48</f>
        <v>1900</v>
      </c>
      <c r="U16" s="205"/>
      <c r="V16" s="205"/>
      <c r="W16" s="205"/>
    </row>
    <row r="17" spans="1:23" s="315" customFormat="1" ht="15.75" customHeight="1" x14ac:dyDescent="0.25">
      <c r="A17" s="23">
        <v>9</v>
      </c>
      <c r="B17" s="24" t="s">
        <v>386</v>
      </c>
      <c r="C17" s="205">
        <f t="shared" si="11"/>
        <v>288415</v>
      </c>
      <c r="D17" s="314">
        <f t="shared" si="12"/>
        <v>288415</v>
      </c>
      <c r="E17" s="205">
        <f>'Biểu 13'!BG10</f>
        <v>64000</v>
      </c>
      <c r="F17" s="205">
        <f>'Biểu 13'!BG15</f>
        <v>5865</v>
      </c>
      <c r="G17" s="205">
        <f>'Biểu 13'!BG21</f>
        <v>5150</v>
      </c>
      <c r="H17" s="205">
        <f>'Biểu 13'!BG25</f>
        <v>72200</v>
      </c>
      <c r="I17" s="205"/>
      <c r="J17" s="205">
        <f>'Biểu 13'!BG32</f>
        <v>0</v>
      </c>
      <c r="K17" s="205">
        <f>'Biểu 13'!BG50</f>
        <v>9000</v>
      </c>
      <c r="L17" s="205"/>
      <c r="M17" s="205">
        <f>'Biểu 13'!BG51</f>
        <v>15000</v>
      </c>
      <c r="N17" s="205">
        <f>'Biểu 13'!BG35</f>
        <v>12000</v>
      </c>
      <c r="O17" s="205">
        <f>'Biểu 13'!BG43</f>
        <v>4500</v>
      </c>
      <c r="P17" s="205">
        <f>'Biểu 13'!BG37</f>
        <v>75000</v>
      </c>
      <c r="Q17" s="205">
        <f>'Biểu 13'!BG31</f>
        <v>6800</v>
      </c>
      <c r="R17" s="205"/>
      <c r="S17" s="205"/>
      <c r="T17" s="205">
        <f>'Biểu 13'!BG48</f>
        <v>18900</v>
      </c>
      <c r="U17" s="205"/>
      <c r="V17" s="205"/>
      <c r="W17" s="205"/>
    </row>
    <row r="18" spans="1:23" s="306" customFormat="1" ht="15.75" customHeight="1" x14ac:dyDescent="0.25">
      <c r="A18" s="316">
        <v>10</v>
      </c>
      <c r="B18" s="317" t="s">
        <v>387</v>
      </c>
      <c r="C18" s="318">
        <f t="shared" si="11"/>
        <v>1800</v>
      </c>
      <c r="D18" s="318"/>
      <c r="E18" s="318"/>
      <c r="F18" s="318"/>
      <c r="G18" s="318"/>
      <c r="H18" s="318"/>
      <c r="I18" s="318"/>
      <c r="J18" s="318"/>
      <c r="K18" s="318"/>
      <c r="L18" s="318"/>
      <c r="M18" s="318"/>
      <c r="N18" s="318"/>
      <c r="O18" s="318"/>
      <c r="P18" s="318"/>
      <c r="Q18" s="318"/>
      <c r="R18" s="318"/>
      <c r="S18" s="318"/>
      <c r="T18" s="318"/>
      <c r="U18" s="318">
        <f>V18+W18</f>
        <v>1800</v>
      </c>
      <c r="V18" s="318">
        <f>1800-8</f>
        <v>1792</v>
      </c>
      <c r="W18" s="318">
        <v>8</v>
      </c>
    </row>
    <row r="19" spans="1:23" ht="13.5" x14ac:dyDescent="0.25">
      <c r="A19" s="84"/>
    </row>
    <row r="20" spans="1:23" x14ac:dyDescent="0.25">
      <c r="A20" s="85"/>
      <c r="C20" s="710"/>
    </row>
    <row r="21" spans="1:23" x14ac:dyDescent="0.25">
      <c r="A21" s="85"/>
    </row>
  </sheetData>
  <mergeCells count="11">
    <mergeCell ref="U5:U6"/>
    <mergeCell ref="V5:W5"/>
    <mergeCell ref="A1:W1"/>
    <mergeCell ref="A2:W2"/>
    <mergeCell ref="A3:W3"/>
    <mergeCell ref="A5:A6"/>
    <mergeCell ref="B5:B6"/>
    <mergeCell ref="C5:C6"/>
    <mergeCell ref="D5:D6"/>
    <mergeCell ref="E5:T5"/>
    <mergeCell ref="U4:W4"/>
  </mergeCells>
  <pageMargins left="0.7" right="0.2" top="0.83" bottom="0.92" header="0.52" footer="0.61"/>
  <pageSetup paperSize="9" firstPageNumber="89" orientation="landscape" useFirstPageNumber="1" r:id="rId1"/>
  <headerFooter>
    <oddHeader>&amp;RBiểu mẫu số 21</oddHeader>
    <oddFooter>&amp;C&amp;P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104"/>
  <sheetViews>
    <sheetView workbookViewId="0">
      <pane xSplit="2" ySplit="6" topLeftCell="C7" activePane="bottomRight" state="frozen"/>
      <selection pane="topRight" activeCell="C1" sqref="C1"/>
      <selection pane="bottomLeft" activeCell="A8" sqref="A8"/>
      <selection pane="bottomRight" activeCell="O19" sqref="O19"/>
    </sheetView>
  </sheetViews>
  <sheetFormatPr defaultRowHeight="12" x14ac:dyDescent="0.2"/>
  <cols>
    <col min="1" max="1" width="3.25" style="681" customWidth="1"/>
    <col min="2" max="2" width="28.75" style="681" customWidth="1"/>
    <col min="3" max="3" width="7.25" style="681" customWidth="1"/>
    <col min="4" max="4" width="7.125" style="681" customWidth="1"/>
    <col min="5" max="5" width="6.75" style="681" customWidth="1"/>
    <col min="6" max="7" width="7.25" style="681" customWidth="1"/>
    <col min="8" max="8" width="6.875" style="681" customWidth="1"/>
    <col min="9" max="9" width="5.75" style="681" customWidth="1"/>
    <col min="10" max="10" width="5.5" style="681" customWidth="1"/>
    <col min="11" max="11" width="5" style="681" customWidth="1"/>
    <col min="12" max="16384" width="9" style="681"/>
  </cols>
  <sheetData>
    <row r="1" spans="1:14" ht="38.25" customHeight="1" x14ac:dyDescent="0.2">
      <c r="A1" s="1946" t="s">
        <v>1280</v>
      </c>
      <c r="B1" s="1946"/>
      <c r="C1" s="1946"/>
      <c r="D1" s="1946"/>
      <c r="E1" s="1946"/>
      <c r="F1" s="1946"/>
      <c r="G1" s="1946"/>
      <c r="H1" s="1946"/>
      <c r="I1" s="1946"/>
      <c r="J1" s="1946"/>
      <c r="K1" s="1946"/>
    </row>
    <row r="2" spans="1:14" ht="15.75" x14ac:dyDescent="0.2">
      <c r="A2" s="2044" t="str">
        <f>'Biểu 21'!A3:W3</f>
        <v>(Kèm theo Báo cáo số              /BC-UBND ngày       tháng 11 năm 2018 của UBND tỉnh Bắc Kạn)</v>
      </c>
      <c r="B2" s="2045"/>
      <c r="C2" s="2045"/>
      <c r="D2" s="2045"/>
      <c r="E2" s="2045"/>
      <c r="F2" s="2045"/>
      <c r="G2" s="2045"/>
      <c r="H2" s="2045"/>
      <c r="I2" s="2045"/>
      <c r="J2" s="2045"/>
      <c r="K2" s="2045"/>
    </row>
    <row r="3" spans="1:14" ht="22.5" customHeight="1" x14ac:dyDescent="0.2">
      <c r="K3" s="1130" t="s">
        <v>6</v>
      </c>
    </row>
    <row r="4" spans="1:14" s="1131" customFormat="1" ht="16.5" customHeight="1" x14ac:dyDescent="0.2">
      <c r="A4" s="2046" t="s">
        <v>0</v>
      </c>
      <c r="B4" s="2046" t="s">
        <v>1231</v>
      </c>
      <c r="C4" s="2046" t="s">
        <v>219</v>
      </c>
      <c r="D4" s="2046" t="s">
        <v>62</v>
      </c>
      <c r="E4" s="2046"/>
      <c r="F4" s="2046" t="s">
        <v>1255</v>
      </c>
      <c r="G4" s="2046" t="s">
        <v>62</v>
      </c>
      <c r="H4" s="2046"/>
      <c r="I4" s="2046" t="s">
        <v>43</v>
      </c>
      <c r="J4" s="2046"/>
      <c r="K4" s="2046"/>
    </row>
    <row r="5" spans="1:14" s="1131" customFormat="1" ht="60" customHeight="1" x14ac:dyDescent="0.2">
      <c r="A5" s="2046"/>
      <c r="B5" s="2046"/>
      <c r="C5" s="2046"/>
      <c r="D5" s="1132" t="s">
        <v>404</v>
      </c>
      <c r="E5" s="1132" t="s">
        <v>405</v>
      </c>
      <c r="F5" s="2046"/>
      <c r="G5" s="1132" t="s">
        <v>404</v>
      </c>
      <c r="H5" s="1132" t="s">
        <v>405</v>
      </c>
      <c r="I5" s="1132" t="s">
        <v>71</v>
      </c>
      <c r="J5" s="1132" t="s">
        <v>404</v>
      </c>
      <c r="K5" s="1132" t="s">
        <v>405</v>
      </c>
      <c r="L5" s="200"/>
    </row>
    <row r="6" spans="1:14" s="1131" customFormat="1" ht="15.75" customHeight="1" x14ac:dyDescent="0.2">
      <c r="A6" s="1132" t="s">
        <v>2</v>
      </c>
      <c r="B6" s="1132" t="s">
        <v>3</v>
      </c>
      <c r="C6" s="1132" t="s">
        <v>72</v>
      </c>
      <c r="D6" s="1132">
        <v>2</v>
      </c>
      <c r="E6" s="1132">
        <v>3</v>
      </c>
      <c r="F6" s="1132" t="s">
        <v>73</v>
      </c>
      <c r="G6" s="1132">
        <v>5</v>
      </c>
      <c r="H6" s="1132">
        <v>6</v>
      </c>
      <c r="I6" s="1133" t="s">
        <v>323</v>
      </c>
      <c r="J6" s="1133" t="s">
        <v>324</v>
      </c>
      <c r="K6" s="1133" t="s">
        <v>325</v>
      </c>
      <c r="L6" s="200"/>
    </row>
    <row r="7" spans="1:14" ht="23.25" customHeight="1" x14ac:dyDescent="0.2">
      <c r="A7" s="1134"/>
      <c r="B7" s="1135" t="s">
        <v>39</v>
      </c>
      <c r="C7" s="1136">
        <f>C8+C29</f>
        <v>5190937</v>
      </c>
      <c r="D7" s="1136">
        <f t="shared" ref="D7:E7" si="0">D8+D29</f>
        <v>2733985</v>
      </c>
      <c r="E7" s="1136">
        <f t="shared" si="0"/>
        <v>2456952</v>
      </c>
      <c r="F7" s="1136">
        <f>F8+F29+F104</f>
        <v>5762995</v>
      </c>
      <c r="G7" s="1136">
        <f>G8+G29+G104</f>
        <v>3010382</v>
      </c>
      <c r="H7" s="1136">
        <f>H8+H29+H104</f>
        <v>2752613</v>
      </c>
      <c r="I7" s="1137">
        <f>F7/C7*100</f>
        <v>111.02032253521858</v>
      </c>
      <c r="J7" s="1137">
        <f>G7/D7*100</f>
        <v>110.10967507137018</v>
      </c>
      <c r="K7" s="1137">
        <f>H7/E7*100</f>
        <v>112.03364982303276</v>
      </c>
      <c r="L7" s="201">
        <f>F7-F104</f>
        <v>4991815</v>
      </c>
      <c r="M7" s="201"/>
      <c r="N7" s="201"/>
    </row>
    <row r="8" spans="1:14" ht="16.5" customHeight="1" x14ac:dyDescent="0.2">
      <c r="A8" s="679" t="s">
        <v>2</v>
      </c>
      <c r="B8" s="26" t="s">
        <v>44</v>
      </c>
      <c r="C8" s="1138">
        <f>C9+C21+C26+C27+C25</f>
        <v>3478898</v>
      </c>
      <c r="D8" s="1138">
        <f t="shared" ref="D8:E8" si="1">D9+D21+D26+D27+D25</f>
        <v>1454353</v>
      </c>
      <c r="E8" s="1138">
        <f t="shared" si="1"/>
        <v>2024545</v>
      </c>
      <c r="F8" s="1138">
        <f>F9+F21+F26+F27+F25</f>
        <v>3527359</v>
      </c>
      <c r="G8" s="1138">
        <f t="shared" ref="G8:H8" si="2">G9+G21+G26+G27+G25</f>
        <v>1392904</v>
      </c>
      <c r="H8" s="1138">
        <f t="shared" si="2"/>
        <v>2134455</v>
      </c>
      <c r="I8" s="680">
        <f t="shared" ref="I8:I67" si="3">F8/C8*100</f>
        <v>101.39299858748375</v>
      </c>
      <c r="J8" s="680">
        <f t="shared" ref="J8:J67" si="4">G8/D8*100</f>
        <v>95.774822206163151</v>
      </c>
      <c r="K8" s="680">
        <f t="shared" ref="K8:K66" si="5">H8/E8*100</f>
        <v>105.42887414209119</v>
      </c>
      <c r="L8" s="201">
        <f>G7-G104</f>
        <v>2359702</v>
      </c>
    </row>
    <row r="9" spans="1:14" ht="18" customHeight="1" x14ac:dyDescent="0.2">
      <c r="A9" s="679" t="s">
        <v>9</v>
      </c>
      <c r="B9" s="26" t="s">
        <v>24</v>
      </c>
      <c r="C9" s="1138">
        <f>C10+C19</f>
        <v>493390</v>
      </c>
      <c r="D9" s="1138">
        <f>D10+D19</f>
        <v>360746</v>
      </c>
      <c r="E9" s="1138">
        <f>E10+E19+E20</f>
        <v>132644</v>
      </c>
      <c r="F9" s="1138">
        <f>G9+H9</f>
        <v>558773</v>
      </c>
      <c r="G9" s="1138">
        <f>G10+G19</f>
        <v>380684</v>
      </c>
      <c r="H9" s="1138">
        <f>'Biểu 03'!K10</f>
        <v>178089</v>
      </c>
      <c r="I9" s="680">
        <f t="shared" si="3"/>
        <v>113.25178864589877</v>
      </c>
      <c r="J9" s="680">
        <f t="shared" si="4"/>
        <v>105.5268804089304</v>
      </c>
      <c r="K9" s="680">
        <f t="shared" si="5"/>
        <v>134.26087874310184</v>
      </c>
      <c r="L9" s="201">
        <f>'Biểu 19'!D18</f>
        <v>2359702</v>
      </c>
    </row>
    <row r="10" spans="1:14" ht="17.25" customHeight="1" x14ac:dyDescent="0.2">
      <c r="A10" s="23">
        <v>1</v>
      </c>
      <c r="B10" s="24" t="s">
        <v>74</v>
      </c>
      <c r="C10" s="680">
        <f>'Biểu 17'!C10</f>
        <v>485390</v>
      </c>
      <c r="D10" s="680">
        <f>328946+31800-8000</f>
        <v>352746</v>
      </c>
      <c r="E10" s="680">
        <v>132644</v>
      </c>
      <c r="F10" s="680">
        <f t="shared" ref="F10:F19" si="6">G10+H10</f>
        <v>551773</v>
      </c>
      <c r="G10" s="680">
        <f>341965+5500+10083+100+1218+1+29897-14330-750</f>
        <v>373684</v>
      </c>
      <c r="H10" s="680">
        <f>'Biểu 03'!K10</f>
        <v>178089</v>
      </c>
      <c r="I10" s="680">
        <f t="shared" si="3"/>
        <v>113.67621912276726</v>
      </c>
      <c r="J10" s="680">
        <f t="shared" si="4"/>
        <v>105.93571578416197</v>
      </c>
      <c r="K10" s="680">
        <f t="shared" si="5"/>
        <v>134.26087874310184</v>
      </c>
      <c r="L10" s="201">
        <f>G7-L9</f>
        <v>650680</v>
      </c>
    </row>
    <row r="11" spans="1:14" s="1142" customFormat="1" ht="15.75" customHeight="1" x14ac:dyDescent="0.2">
      <c r="A11" s="1140"/>
      <c r="B11" s="1139" t="s">
        <v>45</v>
      </c>
      <c r="C11" s="1141"/>
      <c r="D11" s="1141"/>
      <c r="E11" s="1141"/>
      <c r="F11" s="1145"/>
      <c r="G11" s="1141"/>
      <c r="H11" s="1141"/>
      <c r="I11" s="1141"/>
      <c r="J11" s="1141"/>
      <c r="K11" s="1141"/>
      <c r="L11" s="1143"/>
    </row>
    <row r="12" spans="1:14" s="1142" customFormat="1" ht="15.75" customHeight="1" x14ac:dyDescent="0.2">
      <c r="A12" s="1140" t="s">
        <v>23</v>
      </c>
      <c r="B12" s="1139" t="s">
        <v>28</v>
      </c>
      <c r="C12" s="1141">
        <v>31000</v>
      </c>
      <c r="D12" s="1141">
        <v>31000</v>
      </c>
      <c r="E12" s="1141">
        <f>'Biểu 03'!J24</f>
        <v>28397</v>
      </c>
      <c r="F12" s="1141">
        <f>G12+H12</f>
        <v>98199</v>
      </c>
      <c r="G12" s="1141">
        <f>34358+163+10183+19327-14330</f>
        <v>49701</v>
      </c>
      <c r="H12" s="1141">
        <f>2499+8098+7747+5443+400+9070+2337+12904</f>
        <v>48498</v>
      </c>
      <c r="I12" s="1141">
        <f t="shared" si="3"/>
        <v>316.77096774193546</v>
      </c>
      <c r="J12" s="1141">
        <f t="shared" si="4"/>
        <v>160.32580645161289</v>
      </c>
      <c r="K12" s="1141">
        <f t="shared" si="5"/>
        <v>170.78564637109554</v>
      </c>
    </row>
    <row r="13" spans="1:14" s="1142" customFormat="1" ht="15.75" customHeight="1" x14ac:dyDescent="0.2">
      <c r="A13" s="1140" t="s">
        <v>23</v>
      </c>
      <c r="B13" s="1139" t="s">
        <v>29</v>
      </c>
      <c r="C13" s="1141">
        <v>7000</v>
      </c>
      <c r="D13" s="1141">
        <v>7000</v>
      </c>
      <c r="E13" s="1141"/>
      <c r="F13" s="1141">
        <f>G13+H13</f>
        <v>8133</v>
      </c>
      <c r="G13" s="1141">
        <f>7000+100+1783-750</f>
        <v>8133</v>
      </c>
      <c r="H13" s="1141"/>
      <c r="I13" s="1141">
        <f t="shared" si="3"/>
        <v>116.1857142857143</v>
      </c>
      <c r="J13" s="1141">
        <f t="shared" si="4"/>
        <v>116.1857142857143</v>
      </c>
      <c r="K13" s="1141"/>
      <c r="L13" s="1143"/>
    </row>
    <row r="14" spans="1:14" s="1142" customFormat="1" ht="15.75" customHeight="1" x14ac:dyDescent="0.2">
      <c r="A14" s="1140"/>
      <c r="B14" s="1139" t="s">
        <v>46</v>
      </c>
      <c r="C14" s="1141">
        <f t="shared" ref="C14:C15" si="7">SUM(D14:E14)</f>
        <v>0</v>
      </c>
      <c r="D14" s="1141"/>
      <c r="E14" s="1141"/>
      <c r="F14" s="1141">
        <f t="shared" si="6"/>
        <v>0</v>
      </c>
      <c r="G14" s="1141"/>
      <c r="H14" s="1141"/>
      <c r="I14" s="1141"/>
      <c r="J14" s="1141"/>
      <c r="K14" s="1141"/>
      <c r="L14" s="1143"/>
    </row>
    <row r="15" spans="1:14" s="1142" customFormat="1" ht="15.75" customHeight="1" x14ac:dyDescent="0.2">
      <c r="A15" s="1140" t="s">
        <v>23</v>
      </c>
      <c r="B15" s="1139" t="s">
        <v>26</v>
      </c>
      <c r="C15" s="1141">
        <f t="shared" si="7"/>
        <v>55000</v>
      </c>
      <c r="D15" s="1141">
        <v>5500</v>
      </c>
      <c r="E15" s="1141">
        <v>49500</v>
      </c>
      <c r="F15" s="1141">
        <f>G15+H15</f>
        <v>52874</v>
      </c>
      <c r="G15" s="1141">
        <v>5500</v>
      </c>
      <c r="H15" s="1141">
        <f>'Biểu 03'!K18</f>
        <v>47374</v>
      </c>
      <c r="I15" s="1141">
        <f t="shared" si="3"/>
        <v>96.134545454545446</v>
      </c>
      <c r="J15" s="1141">
        <f t="shared" si="4"/>
        <v>100</v>
      </c>
      <c r="K15" s="1141">
        <f t="shared" si="5"/>
        <v>95.705050505050508</v>
      </c>
      <c r="L15" s="1143"/>
    </row>
    <row r="16" spans="1:14" s="1142" customFormat="1" ht="15.75" customHeight="1" x14ac:dyDescent="0.2">
      <c r="A16" s="1140" t="s">
        <v>23</v>
      </c>
      <c r="B16" s="1139" t="s">
        <v>27</v>
      </c>
      <c r="C16" s="1141">
        <v>15000</v>
      </c>
      <c r="D16" s="1141">
        <v>15000</v>
      </c>
      <c r="E16" s="1141"/>
      <c r="F16" s="1141">
        <f t="shared" si="6"/>
        <v>15000</v>
      </c>
      <c r="G16" s="1141">
        <v>15000</v>
      </c>
      <c r="H16" s="1141"/>
      <c r="I16" s="1141">
        <f t="shared" si="3"/>
        <v>100</v>
      </c>
      <c r="J16" s="1141">
        <f t="shared" si="4"/>
        <v>100</v>
      </c>
      <c r="K16" s="1141"/>
      <c r="L16" s="1143"/>
    </row>
    <row r="17" spans="1:12" s="1142" customFormat="1" ht="15.75" customHeight="1" x14ac:dyDescent="0.2">
      <c r="A17" s="1140" t="s">
        <v>23</v>
      </c>
      <c r="B17" s="1139" t="str">
        <f>'Biểu 17'!B17</f>
        <v>Chi đầu tư từ nguồn bội chi NSĐP</v>
      </c>
      <c r="C17" s="1141">
        <v>17100</v>
      </c>
      <c r="D17" s="1141">
        <v>17100</v>
      </c>
      <c r="E17" s="1141"/>
      <c r="F17" s="1141">
        <f t="shared" si="6"/>
        <v>0</v>
      </c>
      <c r="G17" s="1141"/>
      <c r="H17" s="1141"/>
      <c r="I17" s="1141">
        <f t="shared" si="3"/>
        <v>0</v>
      </c>
      <c r="J17" s="1141">
        <f t="shared" si="4"/>
        <v>0</v>
      </c>
      <c r="K17" s="1141"/>
    </row>
    <row r="18" spans="1:12" s="1142" customFormat="1" ht="27.75" customHeight="1" x14ac:dyDescent="0.2">
      <c r="A18" s="1140" t="s">
        <v>23</v>
      </c>
      <c r="B18" s="1139" t="str">
        <f>'Biểu 17'!B18</f>
        <v>Chi đầu tư từ nguồn tiết kiệm chi thường xuyên</v>
      </c>
      <c r="C18" s="1141">
        <v>6000</v>
      </c>
      <c r="D18" s="1141"/>
      <c r="E18" s="1141"/>
      <c r="F18" s="1141">
        <f t="shared" si="6"/>
        <v>6000</v>
      </c>
      <c r="G18" s="1141">
        <v>6000</v>
      </c>
      <c r="H18" s="1141"/>
      <c r="I18" s="1141">
        <f t="shared" si="3"/>
        <v>100</v>
      </c>
      <c r="J18" s="1141"/>
      <c r="K18" s="1141"/>
      <c r="L18" s="1143"/>
    </row>
    <row r="19" spans="1:12" ht="63" customHeight="1" x14ac:dyDescent="0.2">
      <c r="A19" s="23">
        <v>2</v>
      </c>
      <c r="B19" s="24" t="s">
        <v>25</v>
      </c>
      <c r="C19" s="680">
        <f>'Biểu 17'!C19</f>
        <v>8000</v>
      </c>
      <c r="D19" s="680">
        <f>8000</f>
        <v>8000</v>
      </c>
      <c r="E19" s="680"/>
      <c r="F19" s="680">
        <f t="shared" si="6"/>
        <v>7000</v>
      </c>
      <c r="G19" s="680">
        <f>8000-1000</f>
        <v>7000</v>
      </c>
      <c r="H19" s="680"/>
      <c r="I19" s="680">
        <f t="shared" si="3"/>
        <v>87.5</v>
      </c>
      <c r="J19" s="680">
        <f t="shared" si="4"/>
        <v>87.5</v>
      </c>
      <c r="K19" s="680"/>
      <c r="L19" s="201"/>
    </row>
    <row r="20" spans="1:12" ht="14.25" customHeight="1" x14ac:dyDescent="0.2">
      <c r="A20" s="23">
        <v>3</v>
      </c>
      <c r="B20" s="24" t="s">
        <v>47</v>
      </c>
      <c r="C20" s="680"/>
      <c r="D20" s="680"/>
      <c r="E20" s="680"/>
      <c r="F20" s="680"/>
      <c r="G20" s="680"/>
      <c r="H20" s="680"/>
      <c r="I20" s="680"/>
      <c r="J20" s="680"/>
      <c r="K20" s="680"/>
    </row>
    <row r="21" spans="1:12" ht="18" customHeight="1" x14ac:dyDescent="0.2">
      <c r="A21" s="679" t="s">
        <v>11</v>
      </c>
      <c r="B21" s="26" t="s">
        <v>19</v>
      </c>
      <c r="C21" s="1138">
        <f>D21+E21</f>
        <v>2906780</v>
      </c>
      <c r="D21" s="1138">
        <f>994238+62619</f>
        <v>1056857</v>
      </c>
      <c r="E21" s="1138">
        <v>1849923</v>
      </c>
      <c r="F21" s="1138">
        <f>G21+H21</f>
        <v>2967088</v>
      </c>
      <c r="G21" s="1138">
        <f>'Biểu 03'!I37</f>
        <v>1010722</v>
      </c>
      <c r="H21" s="1138">
        <f>'Biểu 03'!K37</f>
        <v>1956366</v>
      </c>
      <c r="I21" s="680">
        <f t="shared" si="3"/>
        <v>102.07473561810663</v>
      </c>
      <c r="J21" s="680">
        <f t="shared" si="4"/>
        <v>95.634697977115167</v>
      </c>
      <c r="K21" s="680">
        <f t="shared" si="5"/>
        <v>105.75391516295542</v>
      </c>
    </row>
    <row r="22" spans="1:12" x14ac:dyDescent="0.2">
      <c r="A22" s="23"/>
      <c r="B22" s="1139" t="s">
        <v>5</v>
      </c>
      <c r="C22" s="680"/>
      <c r="D22" s="680"/>
      <c r="E22" s="680"/>
      <c r="F22" s="680"/>
      <c r="G22" s="680"/>
      <c r="H22" s="680"/>
      <c r="I22" s="680"/>
      <c r="J22" s="680"/>
      <c r="K22" s="680"/>
      <c r="L22" s="201"/>
    </row>
    <row r="23" spans="1:12" ht="15.75" customHeight="1" x14ac:dyDescent="0.2">
      <c r="A23" s="23">
        <v>1</v>
      </c>
      <c r="B23" s="24" t="s">
        <v>28</v>
      </c>
      <c r="C23" s="680">
        <f>D23+E23</f>
        <v>1175538</v>
      </c>
      <c r="D23" s="680">
        <f>214957+7088</f>
        <v>222045</v>
      </c>
      <c r="E23" s="680">
        <v>953493</v>
      </c>
      <c r="F23" s="680">
        <f t="shared" ref="F23:F24" si="8">G23+H23</f>
        <v>1195432</v>
      </c>
      <c r="G23" s="680">
        <f>'Biểu 03'!I38</f>
        <v>211830</v>
      </c>
      <c r="H23" s="680">
        <f>'Biểu 03'!K38</f>
        <v>983602</v>
      </c>
      <c r="I23" s="680">
        <f t="shared" si="3"/>
        <v>101.69233151118893</v>
      </c>
      <c r="J23" s="680">
        <f t="shared" si="4"/>
        <v>95.399581165979868</v>
      </c>
      <c r="K23" s="680">
        <f t="shared" si="5"/>
        <v>103.15775784405339</v>
      </c>
    </row>
    <row r="24" spans="1:12" ht="16.5" customHeight="1" x14ac:dyDescent="0.2">
      <c r="A24" s="23">
        <v>2</v>
      </c>
      <c r="B24" s="24" t="s">
        <v>29</v>
      </c>
      <c r="C24" s="680">
        <f>D24+E24</f>
        <v>11627</v>
      </c>
      <c r="D24" s="680">
        <v>11627</v>
      </c>
      <c r="E24" s="680"/>
      <c r="F24" s="680">
        <f t="shared" si="8"/>
        <v>11407</v>
      </c>
      <c r="G24" s="680">
        <f>'Biểu 03'!I39</f>
        <v>11407</v>
      </c>
      <c r="H24" s="680"/>
      <c r="I24" s="680">
        <f t="shared" si="3"/>
        <v>98.107852412488171</v>
      </c>
      <c r="J24" s="680">
        <f t="shared" si="4"/>
        <v>98.107852412488171</v>
      </c>
      <c r="K24" s="680"/>
    </row>
    <row r="25" spans="1:12" ht="27" customHeight="1" x14ac:dyDescent="0.2">
      <c r="A25" s="679" t="s">
        <v>14</v>
      </c>
      <c r="B25" s="26" t="s">
        <v>278</v>
      </c>
      <c r="C25" s="1138">
        <f>D25</f>
        <v>548</v>
      </c>
      <c r="D25" s="1138">
        <v>548</v>
      </c>
      <c r="E25" s="680"/>
      <c r="F25" s="1138">
        <f>G25</f>
        <v>498</v>
      </c>
      <c r="G25" s="1138">
        <f>548-50</f>
        <v>498</v>
      </c>
      <c r="H25" s="680"/>
      <c r="I25" s="680">
        <f t="shared" si="3"/>
        <v>90.87591240875912</v>
      </c>
      <c r="J25" s="680">
        <f t="shared" si="4"/>
        <v>90.87591240875912</v>
      </c>
      <c r="K25" s="680"/>
    </row>
    <row r="26" spans="1:12" s="1131" customFormat="1" ht="17.25" customHeight="1" x14ac:dyDescent="0.2">
      <c r="A26" s="679" t="s">
        <v>15</v>
      </c>
      <c r="B26" s="26" t="s">
        <v>20</v>
      </c>
      <c r="C26" s="1138">
        <f>D26+E26</f>
        <v>1000</v>
      </c>
      <c r="D26" s="1138">
        <v>1000</v>
      </c>
      <c r="E26" s="1138"/>
      <c r="F26" s="1138">
        <f>D26</f>
        <v>1000</v>
      </c>
      <c r="G26" s="1138">
        <f>F26</f>
        <v>1000</v>
      </c>
      <c r="H26" s="1138"/>
      <c r="I26" s="680">
        <f t="shared" si="3"/>
        <v>100</v>
      </c>
      <c r="J26" s="680">
        <f t="shared" si="4"/>
        <v>100</v>
      </c>
      <c r="K26" s="680"/>
    </row>
    <row r="27" spans="1:12" s="1131" customFormat="1" ht="17.25" customHeight="1" x14ac:dyDescent="0.2">
      <c r="A27" s="679" t="s">
        <v>17</v>
      </c>
      <c r="B27" s="26" t="s">
        <v>21</v>
      </c>
      <c r="C27" s="1138">
        <f>'Biểu 17'!C27</f>
        <v>77180</v>
      </c>
      <c r="D27" s="1138">
        <v>35202</v>
      </c>
      <c r="E27" s="1138">
        <v>41978</v>
      </c>
      <c r="F27" s="1138"/>
      <c r="G27" s="1138"/>
      <c r="H27" s="1138"/>
      <c r="I27" s="680">
        <f t="shared" si="3"/>
        <v>0</v>
      </c>
      <c r="J27" s="680">
        <f t="shared" si="4"/>
        <v>0</v>
      </c>
      <c r="K27" s="680">
        <f t="shared" si="5"/>
        <v>0</v>
      </c>
    </row>
    <row r="28" spans="1:12" ht="17.25" customHeight="1" x14ac:dyDescent="0.2">
      <c r="A28" s="679" t="s">
        <v>48</v>
      </c>
      <c r="B28" s="26" t="s">
        <v>40</v>
      </c>
      <c r="C28" s="680"/>
      <c r="D28" s="680"/>
      <c r="E28" s="680"/>
      <c r="F28" s="680"/>
      <c r="G28" s="680"/>
      <c r="H28" s="680"/>
      <c r="I28" s="680"/>
      <c r="J28" s="680"/>
      <c r="K28" s="680"/>
    </row>
    <row r="29" spans="1:12" ht="17.25" customHeight="1" x14ac:dyDescent="0.2">
      <c r="A29" s="679" t="s">
        <v>3</v>
      </c>
      <c r="B29" s="26" t="s">
        <v>49</v>
      </c>
      <c r="C29" s="1138">
        <f t="shared" ref="C29:H29" si="9">C30+C39</f>
        <v>1712039</v>
      </c>
      <c r="D29" s="1138">
        <f t="shared" si="9"/>
        <v>1279632</v>
      </c>
      <c r="E29" s="1138">
        <f t="shared" si="9"/>
        <v>432407</v>
      </c>
      <c r="F29" s="1138">
        <f t="shared" si="9"/>
        <v>1464456</v>
      </c>
      <c r="G29" s="1138">
        <f t="shared" si="9"/>
        <v>966798</v>
      </c>
      <c r="H29" s="1138">
        <f t="shared" si="9"/>
        <v>497658</v>
      </c>
      <c r="I29" s="680">
        <f t="shared" si="3"/>
        <v>85.538705601916774</v>
      </c>
      <c r="J29" s="680">
        <f t="shared" si="4"/>
        <v>75.552815184365514</v>
      </c>
      <c r="K29" s="680">
        <f t="shared" si="5"/>
        <v>115.09018124128426</v>
      </c>
    </row>
    <row r="30" spans="1:12" ht="20.25" customHeight="1" x14ac:dyDescent="0.2">
      <c r="A30" s="679" t="s">
        <v>9</v>
      </c>
      <c r="B30" s="26" t="s">
        <v>41</v>
      </c>
      <c r="C30" s="1138">
        <f>C31+C34</f>
        <v>338109</v>
      </c>
      <c r="D30" s="1138">
        <f>D31+D34</f>
        <v>21461</v>
      </c>
      <c r="E30" s="1138">
        <f>E31+E34</f>
        <v>316648</v>
      </c>
      <c r="F30" s="1138">
        <f>F31+F34+F37</f>
        <v>382225</v>
      </c>
      <c r="G30" s="1138">
        <f>G31+G34+G37</f>
        <v>19374</v>
      </c>
      <c r="H30" s="1138">
        <f>H31+H34+H37</f>
        <v>362851</v>
      </c>
      <c r="I30" s="680">
        <f t="shared" si="3"/>
        <v>113.04786326303056</v>
      </c>
      <c r="J30" s="680">
        <f t="shared" si="4"/>
        <v>90.275383253343279</v>
      </c>
      <c r="K30" s="680">
        <f t="shared" si="5"/>
        <v>114.59128117025845</v>
      </c>
    </row>
    <row r="31" spans="1:12" ht="27" customHeight="1" x14ac:dyDescent="0.2">
      <c r="A31" s="23">
        <v>1</v>
      </c>
      <c r="B31" s="205" t="str">
        <f>'Biểu 17'!B31</f>
        <v>Chương trình mục tiêu quốc gia giảm nghèo bền vững</v>
      </c>
      <c r="C31" s="680">
        <f>'Biểu 17'!C31</f>
        <v>185409</v>
      </c>
      <c r="D31" s="680">
        <f>D32+D33</f>
        <v>6142</v>
      </c>
      <c r="E31" s="680">
        <f>E32+E33</f>
        <v>179267</v>
      </c>
      <c r="F31" s="680">
        <f>G31+H31</f>
        <v>217673</v>
      </c>
      <c r="G31" s="680">
        <f>'Biểu 14'!E31</f>
        <v>6122</v>
      </c>
      <c r="H31" s="680">
        <f>'Biểu 14'!F31</f>
        <v>211551</v>
      </c>
      <c r="I31" s="680">
        <f t="shared" si="3"/>
        <v>117.40152851263963</v>
      </c>
      <c r="J31" s="680">
        <f t="shared" si="4"/>
        <v>99.674373168349078</v>
      </c>
      <c r="K31" s="680">
        <f t="shared" si="5"/>
        <v>118.00889176479777</v>
      </c>
      <c r="L31" s="201"/>
    </row>
    <row r="32" spans="1:12" s="1142" customFormat="1" ht="24.75" customHeight="1" x14ac:dyDescent="0.2">
      <c r="A32" s="1144" t="s">
        <v>288</v>
      </c>
      <c r="B32" s="211" t="str">
        <f>'Biểu 17'!B32</f>
        <v>Vốn đầu tư</v>
      </c>
      <c r="C32" s="1141">
        <f>'Biểu 17'!C32</f>
        <v>128173</v>
      </c>
      <c r="D32" s="1141"/>
      <c r="E32" s="1141">
        <f>C32</f>
        <v>128173</v>
      </c>
      <c r="F32" s="1141">
        <f t="shared" ref="F32:F33" si="10">G32+H32</f>
        <v>166724</v>
      </c>
      <c r="G32" s="1141">
        <f>'Biểu 03'!I124</f>
        <v>0</v>
      </c>
      <c r="H32" s="1141">
        <f>'Biểu 03'!K124</f>
        <v>166724</v>
      </c>
      <c r="I32" s="1141">
        <f t="shared" si="3"/>
        <v>130.07731737573437</v>
      </c>
      <c r="J32" s="1141"/>
      <c r="K32" s="1141">
        <f t="shared" si="5"/>
        <v>130.07731737573437</v>
      </c>
      <c r="L32" s="1143"/>
    </row>
    <row r="33" spans="1:13" s="1142" customFormat="1" ht="21.75" customHeight="1" x14ac:dyDescent="0.2">
      <c r="A33" s="1144" t="s">
        <v>288</v>
      </c>
      <c r="B33" s="211" t="str">
        <f>'Biểu 17'!B33</f>
        <v>Vốn sự nghiệp</v>
      </c>
      <c r="C33" s="1141">
        <f>'Biểu 17'!C33</f>
        <v>57236</v>
      </c>
      <c r="D33" s="1141">
        <v>6142</v>
      </c>
      <c r="E33" s="1141">
        <v>51094</v>
      </c>
      <c r="F33" s="1141">
        <f t="shared" si="10"/>
        <v>50949</v>
      </c>
      <c r="G33" s="1141">
        <f>'Biểu 03'!I126</f>
        <v>6122</v>
      </c>
      <c r="H33" s="1141">
        <f>'Biểu 03'!K126</f>
        <v>44827</v>
      </c>
      <c r="I33" s="1141">
        <f t="shared" si="3"/>
        <v>89.015654483192392</v>
      </c>
      <c r="J33" s="1141">
        <f t="shared" si="4"/>
        <v>99.674373168349078</v>
      </c>
      <c r="K33" s="1141">
        <f t="shared" si="5"/>
        <v>87.734371941910979</v>
      </c>
      <c r="L33" s="1143"/>
    </row>
    <row r="34" spans="1:13" ht="30.75" customHeight="1" x14ac:dyDescent="0.2">
      <c r="A34" s="23">
        <v>2</v>
      </c>
      <c r="B34" s="205" t="str">
        <f>'Biểu 17'!B34</f>
        <v>Chương trình mục tiêu quốc gia xây dựng nông thôn mới</v>
      </c>
      <c r="C34" s="680">
        <f>'Biểu 17'!C34</f>
        <v>152700</v>
      </c>
      <c r="D34" s="680">
        <f>D35+D36</f>
        <v>15319</v>
      </c>
      <c r="E34" s="680">
        <f>E35+E36</f>
        <v>137381</v>
      </c>
      <c r="F34" s="680">
        <f>G34+H34</f>
        <v>161847</v>
      </c>
      <c r="G34" s="680">
        <f>'Biểu 14'!E34</f>
        <v>13252</v>
      </c>
      <c r="H34" s="680">
        <f>'Biểu 14'!F34</f>
        <v>148595</v>
      </c>
      <c r="I34" s="680">
        <f t="shared" si="3"/>
        <v>105.9901768172888</v>
      </c>
      <c r="J34" s="680">
        <f t="shared" si="4"/>
        <v>86.506952150923695</v>
      </c>
      <c r="K34" s="680">
        <f t="shared" si="5"/>
        <v>108.16270081015568</v>
      </c>
      <c r="L34" s="201"/>
    </row>
    <row r="35" spans="1:13" s="1142" customFormat="1" ht="24.75" customHeight="1" x14ac:dyDescent="0.2">
      <c r="A35" s="1144" t="s">
        <v>288</v>
      </c>
      <c r="B35" s="211" t="str">
        <f>B32</f>
        <v>Vốn đầu tư</v>
      </c>
      <c r="C35" s="1141">
        <f>'Biểu 17'!C35</f>
        <v>110900</v>
      </c>
      <c r="D35" s="1141"/>
      <c r="E35" s="1141">
        <f>C35</f>
        <v>110900</v>
      </c>
      <c r="F35" s="1141">
        <f t="shared" ref="F35" si="11">G35+H35</f>
        <v>122442</v>
      </c>
      <c r="G35" s="1141"/>
      <c r="H35" s="1141">
        <f>'Biểu 03'!K129</f>
        <v>122442</v>
      </c>
      <c r="I35" s="1141">
        <f t="shared" si="3"/>
        <v>110.40757439134354</v>
      </c>
      <c r="J35" s="1141"/>
      <c r="K35" s="1141">
        <f t="shared" si="5"/>
        <v>110.40757439134354</v>
      </c>
    </row>
    <row r="36" spans="1:13" s="1142" customFormat="1" ht="20.25" customHeight="1" x14ac:dyDescent="0.2">
      <c r="A36" s="1144" t="s">
        <v>288</v>
      </c>
      <c r="B36" s="211" t="str">
        <f>B33</f>
        <v>Vốn sự nghiệp</v>
      </c>
      <c r="C36" s="1141">
        <f>'Biểu 17'!C36</f>
        <v>41800</v>
      </c>
      <c r="D36" s="1141">
        <f>13365+2000-46</f>
        <v>15319</v>
      </c>
      <c r="E36" s="1141">
        <f>26435+46</f>
        <v>26481</v>
      </c>
      <c r="F36" s="1141">
        <f>G36+H36</f>
        <v>39405</v>
      </c>
      <c r="G36" s="1141">
        <f>'Biểu 03'!I131</f>
        <v>13252</v>
      </c>
      <c r="H36" s="1141">
        <f>'Biểu 03'!K131</f>
        <v>26153</v>
      </c>
      <c r="I36" s="1141">
        <f t="shared" si="3"/>
        <v>94.270334928229659</v>
      </c>
      <c r="J36" s="1141">
        <f t="shared" si="4"/>
        <v>86.506952150923695</v>
      </c>
      <c r="K36" s="1141">
        <f t="shared" si="5"/>
        <v>98.761376080963714</v>
      </c>
    </row>
    <row r="37" spans="1:13" ht="21.75" customHeight="1" x14ac:dyDescent="0.2">
      <c r="A37" s="23">
        <v>3</v>
      </c>
      <c r="B37" s="323" t="s">
        <v>488</v>
      </c>
      <c r="C37" s="680"/>
      <c r="D37" s="680"/>
      <c r="E37" s="680"/>
      <c r="F37" s="680">
        <f t="shared" ref="F37" si="12">G37+H37</f>
        <v>2705</v>
      </c>
      <c r="G37" s="680"/>
      <c r="H37" s="680">
        <f>'Biểu 03'!K143</f>
        <v>2705</v>
      </c>
      <c r="I37" s="680"/>
      <c r="J37" s="680"/>
      <c r="K37" s="680"/>
    </row>
    <row r="38" spans="1:13" hidden="1" x14ac:dyDescent="0.2">
      <c r="A38" s="679"/>
      <c r="B38" s="205"/>
      <c r="C38" s="680"/>
      <c r="D38" s="680"/>
      <c r="E38" s="680"/>
      <c r="F38" s="680"/>
      <c r="G38" s="680"/>
      <c r="H38" s="680"/>
      <c r="I38" s="680" t="e">
        <f t="shared" si="3"/>
        <v>#DIV/0!</v>
      </c>
      <c r="J38" s="680" t="e">
        <f t="shared" si="4"/>
        <v>#DIV/0!</v>
      </c>
      <c r="K38" s="680" t="e">
        <f t="shared" si="5"/>
        <v>#DIV/0!</v>
      </c>
    </row>
    <row r="39" spans="1:13" ht="29.25" customHeight="1" x14ac:dyDescent="0.2">
      <c r="A39" s="679" t="s">
        <v>11</v>
      </c>
      <c r="B39" s="26" t="s">
        <v>42</v>
      </c>
      <c r="C39" s="1138">
        <f t="shared" ref="C39:H39" si="13">C40+C56</f>
        <v>1373930</v>
      </c>
      <c r="D39" s="1138">
        <f t="shared" si="13"/>
        <v>1258171</v>
      </c>
      <c r="E39" s="1138">
        <f t="shared" si="13"/>
        <v>115759</v>
      </c>
      <c r="F39" s="1138">
        <f t="shared" si="13"/>
        <v>1082231</v>
      </c>
      <c r="G39" s="1138">
        <f t="shared" si="13"/>
        <v>947424</v>
      </c>
      <c r="H39" s="1138">
        <f t="shared" si="13"/>
        <v>134807</v>
      </c>
      <c r="I39" s="680">
        <f t="shared" si="3"/>
        <v>78.769005698980294</v>
      </c>
      <c r="J39" s="680">
        <f t="shared" si="4"/>
        <v>75.301687926362945</v>
      </c>
      <c r="K39" s="680">
        <f t="shared" si="5"/>
        <v>116.45487607874982</v>
      </c>
    </row>
    <row r="40" spans="1:13" ht="18.75" customHeight="1" x14ac:dyDescent="0.2">
      <c r="A40" s="679">
        <v>1</v>
      </c>
      <c r="B40" s="26" t="s">
        <v>301</v>
      </c>
      <c r="C40" s="1138">
        <f>C41+C54+C55</f>
        <v>1142579</v>
      </c>
      <c r="D40" s="1138">
        <f t="shared" ref="D40:E40" si="14">D41+D54+D55</f>
        <v>1110379</v>
      </c>
      <c r="E40" s="1138">
        <f t="shared" si="14"/>
        <v>32200</v>
      </c>
      <c r="F40" s="680">
        <f>G40+H40</f>
        <v>719329</v>
      </c>
      <c r="G40" s="1138">
        <f>G41+G54+G55</f>
        <v>692904</v>
      </c>
      <c r="H40" s="1138">
        <f>H41+H54+H55</f>
        <v>26425</v>
      </c>
      <c r="I40" s="680">
        <f t="shared" si="3"/>
        <v>62.956609564852847</v>
      </c>
      <c r="J40" s="680">
        <f t="shared" si="4"/>
        <v>62.402476992090087</v>
      </c>
      <c r="K40" s="680">
        <f t="shared" si="5"/>
        <v>82.065217391304344</v>
      </c>
      <c r="M40" s="201"/>
    </row>
    <row r="41" spans="1:13" s="1142" customFormat="1" ht="18.75" customHeight="1" x14ac:dyDescent="0.2">
      <c r="A41" s="1140" t="s">
        <v>146</v>
      </c>
      <c r="B41" s="1139" t="s">
        <v>111</v>
      </c>
      <c r="C41" s="1141">
        <f>SUM(C42:C53)</f>
        <v>204200</v>
      </c>
      <c r="D41" s="1141">
        <f>SUM(D42:D53)</f>
        <v>172000</v>
      </c>
      <c r="E41" s="1141">
        <f>SUM(E42:E53)</f>
        <v>32200</v>
      </c>
      <c r="F41" s="1141">
        <f t="shared" ref="F41:F55" si="15">G41</f>
        <v>217087</v>
      </c>
      <c r="G41" s="1141">
        <f>SUM(G42:G53)</f>
        <v>217087</v>
      </c>
      <c r="H41" s="1141">
        <f>SUM(H42:H53)</f>
        <v>26425</v>
      </c>
      <c r="I41" s="1141">
        <f t="shared" si="3"/>
        <v>106.31096963761017</v>
      </c>
      <c r="J41" s="1141">
        <f t="shared" si="4"/>
        <v>126.21337209302325</v>
      </c>
      <c r="K41" s="1141">
        <f t="shared" si="5"/>
        <v>82.065217391304344</v>
      </c>
      <c r="M41" s="1143"/>
    </row>
    <row r="42" spans="1:13" ht="30.75" customHeight="1" x14ac:dyDescent="0.2">
      <c r="A42" s="682" t="s">
        <v>288</v>
      </c>
      <c r="B42" s="205" t="s">
        <v>294</v>
      </c>
      <c r="C42" s="205">
        <f>D42</f>
        <v>48973</v>
      </c>
      <c r="D42" s="205">
        <v>48973</v>
      </c>
      <c r="E42" s="1138"/>
      <c r="F42" s="680">
        <f t="shared" si="15"/>
        <v>50568</v>
      </c>
      <c r="G42" s="680">
        <f>48973+14513-12918</f>
        <v>50568</v>
      </c>
      <c r="H42" s="1138"/>
      <c r="I42" s="680">
        <f t="shared" si="3"/>
        <v>103.25689665734178</v>
      </c>
      <c r="J42" s="680">
        <f t="shared" si="4"/>
        <v>103.25689665734178</v>
      </c>
      <c r="K42" s="680"/>
      <c r="M42" s="201"/>
    </row>
    <row r="43" spans="1:13" ht="30.75" customHeight="1" x14ac:dyDescent="0.2">
      <c r="A43" s="682" t="s">
        <v>288</v>
      </c>
      <c r="B43" s="205" t="s">
        <v>295</v>
      </c>
      <c r="C43" s="205">
        <f>D43</f>
        <v>20650</v>
      </c>
      <c r="D43" s="205">
        <v>20650</v>
      </c>
      <c r="E43" s="1138"/>
      <c r="F43" s="680">
        <f t="shared" si="15"/>
        <v>20680</v>
      </c>
      <c r="G43" s="680">
        <f>20650+180-150</f>
        <v>20680</v>
      </c>
      <c r="H43" s="1138"/>
      <c r="I43" s="680">
        <f t="shared" si="3"/>
        <v>100.14527845036321</v>
      </c>
      <c r="J43" s="680">
        <f t="shared" si="4"/>
        <v>100.14527845036321</v>
      </c>
      <c r="K43" s="680"/>
      <c r="M43" s="201"/>
    </row>
    <row r="44" spans="1:13" ht="35.25" customHeight="1" x14ac:dyDescent="0.2">
      <c r="A44" s="682" t="s">
        <v>288</v>
      </c>
      <c r="B44" s="683" t="s">
        <v>296</v>
      </c>
      <c r="C44" s="205">
        <f t="shared" ref="C44:C50" si="16">D44</f>
        <v>0</v>
      </c>
      <c r="D44" s="205"/>
      <c r="E44" s="1138"/>
      <c r="F44" s="680">
        <f t="shared" si="15"/>
        <v>1145</v>
      </c>
      <c r="G44" s="680">
        <v>1145</v>
      </c>
      <c r="H44" s="1138"/>
      <c r="I44" s="680"/>
      <c r="J44" s="680"/>
      <c r="K44" s="680"/>
      <c r="M44" s="201"/>
    </row>
    <row r="45" spans="1:13" ht="32.25" customHeight="1" x14ac:dyDescent="0.2">
      <c r="A45" s="682" t="s">
        <v>288</v>
      </c>
      <c r="B45" s="683" t="s">
        <v>297</v>
      </c>
      <c r="C45" s="205">
        <f t="shared" si="16"/>
        <v>35777</v>
      </c>
      <c r="D45" s="205">
        <v>35777</v>
      </c>
      <c r="E45" s="1138"/>
      <c r="F45" s="680">
        <f t="shared" si="15"/>
        <v>35789</v>
      </c>
      <c r="G45" s="680">
        <f>35777+213+359-560</f>
        <v>35789</v>
      </c>
      <c r="H45" s="1138"/>
      <c r="I45" s="680">
        <f t="shared" si="3"/>
        <v>100.03354110182518</v>
      </c>
      <c r="J45" s="680">
        <f t="shared" si="4"/>
        <v>100.03354110182518</v>
      </c>
      <c r="K45" s="680"/>
    </row>
    <row r="46" spans="1:13" ht="60" customHeight="1" x14ac:dyDescent="0.2">
      <c r="A46" s="682" t="s">
        <v>288</v>
      </c>
      <c r="B46" s="683" t="s">
        <v>298</v>
      </c>
      <c r="C46" s="205">
        <f t="shared" si="16"/>
        <v>5000</v>
      </c>
      <c r="D46" s="205">
        <v>5000</v>
      </c>
      <c r="E46" s="1138"/>
      <c r="F46" s="680">
        <f t="shared" si="15"/>
        <v>5000</v>
      </c>
      <c r="G46" s="680">
        <v>5000</v>
      </c>
      <c r="H46" s="1138"/>
      <c r="I46" s="680">
        <f t="shared" si="3"/>
        <v>100</v>
      </c>
      <c r="J46" s="680">
        <f t="shared" si="4"/>
        <v>100</v>
      </c>
      <c r="K46" s="680"/>
    </row>
    <row r="47" spans="1:13" ht="35.25" customHeight="1" x14ac:dyDescent="0.2">
      <c r="A47" s="682" t="s">
        <v>288</v>
      </c>
      <c r="B47" s="683" t="s">
        <v>299</v>
      </c>
      <c r="C47" s="205">
        <f t="shared" si="16"/>
        <v>10000</v>
      </c>
      <c r="D47" s="205">
        <v>10000</v>
      </c>
      <c r="E47" s="1138"/>
      <c r="F47" s="680">
        <f t="shared" si="15"/>
        <v>10000</v>
      </c>
      <c r="G47" s="680">
        <f>10000</f>
        <v>10000</v>
      </c>
      <c r="H47" s="1138"/>
      <c r="I47" s="680">
        <f t="shared" si="3"/>
        <v>100</v>
      </c>
      <c r="J47" s="680">
        <f t="shared" si="4"/>
        <v>100</v>
      </c>
      <c r="K47" s="680"/>
    </row>
    <row r="48" spans="1:13" ht="29.25" customHeight="1" x14ac:dyDescent="0.2">
      <c r="A48" s="682" t="s">
        <v>288</v>
      </c>
      <c r="B48" s="683" t="s">
        <v>300</v>
      </c>
      <c r="C48" s="205">
        <f t="shared" si="16"/>
        <v>43600</v>
      </c>
      <c r="D48" s="205">
        <v>43600</v>
      </c>
      <c r="E48" s="1138"/>
      <c r="F48" s="680">
        <f t="shared" si="15"/>
        <v>43886</v>
      </c>
      <c r="G48" s="680">
        <f>43600+806-520</f>
        <v>43886</v>
      </c>
      <c r="H48" s="1138"/>
      <c r="I48" s="680">
        <f t="shared" si="3"/>
        <v>100.65596330275228</v>
      </c>
      <c r="J48" s="680">
        <f t="shared" si="4"/>
        <v>100.65596330275228</v>
      </c>
      <c r="K48" s="680"/>
    </row>
    <row r="49" spans="1:11" ht="65.25" customHeight="1" x14ac:dyDescent="0.2">
      <c r="A49" s="682" t="s">
        <v>288</v>
      </c>
      <c r="B49" s="683" t="s">
        <v>1260</v>
      </c>
      <c r="C49" s="205">
        <f t="shared" si="16"/>
        <v>8000</v>
      </c>
      <c r="D49" s="205">
        <v>8000</v>
      </c>
      <c r="E49" s="1138"/>
      <c r="F49" s="680">
        <f t="shared" si="15"/>
        <v>8030</v>
      </c>
      <c r="G49" s="680">
        <f>8000+30</f>
        <v>8030</v>
      </c>
      <c r="H49" s="1138"/>
      <c r="I49" s="680">
        <f t="shared" si="3"/>
        <v>100.37499999999999</v>
      </c>
      <c r="J49" s="680">
        <f t="shared" si="4"/>
        <v>100.37499999999999</v>
      </c>
      <c r="K49" s="680"/>
    </row>
    <row r="50" spans="1:11" ht="35.25" customHeight="1" x14ac:dyDescent="0.2">
      <c r="A50" s="682" t="s">
        <v>288</v>
      </c>
      <c r="B50" s="683" t="s">
        <v>1261</v>
      </c>
      <c r="C50" s="205">
        <f t="shared" si="16"/>
        <v>0</v>
      </c>
      <c r="D50" s="1138"/>
      <c r="E50" s="1138"/>
      <c r="F50" s="680">
        <f t="shared" si="15"/>
        <v>0</v>
      </c>
      <c r="G50" s="680"/>
      <c r="H50" s="1138"/>
      <c r="I50" s="680"/>
      <c r="J50" s="680"/>
      <c r="K50" s="680"/>
    </row>
    <row r="51" spans="1:11" ht="35.25" customHeight="1" x14ac:dyDescent="0.2">
      <c r="A51" s="682" t="s">
        <v>288</v>
      </c>
      <c r="B51" s="683" t="s">
        <v>1425</v>
      </c>
      <c r="C51" s="205"/>
      <c r="D51" s="1138"/>
      <c r="E51" s="1138"/>
      <c r="F51" s="680">
        <f t="shared" si="15"/>
        <v>41969</v>
      </c>
      <c r="G51" s="680">
        <f>41377+592</f>
        <v>41969</v>
      </c>
      <c r="H51" s="1138"/>
      <c r="I51" s="680"/>
      <c r="J51" s="680"/>
      <c r="K51" s="680"/>
    </row>
    <row r="52" spans="1:11" ht="45" customHeight="1" x14ac:dyDescent="0.2">
      <c r="A52" s="682" t="s">
        <v>288</v>
      </c>
      <c r="B52" s="683" t="s">
        <v>1426</v>
      </c>
      <c r="C52" s="205"/>
      <c r="D52" s="1138"/>
      <c r="E52" s="1138"/>
      <c r="F52" s="680">
        <f t="shared" si="15"/>
        <v>20</v>
      </c>
      <c r="G52" s="680">
        <v>20</v>
      </c>
      <c r="H52" s="1138"/>
      <c r="I52" s="680"/>
      <c r="J52" s="680"/>
      <c r="K52" s="680"/>
    </row>
    <row r="53" spans="1:11" ht="56.25" customHeight="1" x14ac:dyDescent="0.2">
      <c r="A53" s="682" t="s">
        <v>288</v>
      </c>
      <c r="B53" s="683" t="s">
        <v>1262</v>
      </c>
      <c r="C53" s="205">
        <f>E53</f>
        <v>32200</v>
      </c>
      <c r="D53" s="1138"/>
      <c r="E53" s="205">
        <f>32200</f>
        <v>32200</v>
      </c>
      <c r="F53" s="680">
        <f>G53+H53</f>
        <v>26425</v>
      </c>
      <c r="G53" s="680"/>
      <c r="H53" s="680">
        <f>'Biểu 03'!K71</f>
        <v>26425</v>
      </c>
      <c r="I53" s="680">
        <f t="shared" si="3"/>
        <v>82.065217391304344</v>
      </c>
      <c r="J53" s="680"/>
      <c r="K53" s="680">
        <f t="shared" si="5"/>
        <v>82.065217391304344</v>
      </c>
    </row>
    <row r="54" spans="1:11" s="1142" customFormat="1" ht="23.25" customHeight="1" x14ac:dyDescent="0.2">
      <c r="A54" s="684" t="s">
        <v>147</v>
      </c>
      <c r="B54" s="685" t="s">
        <v>557</v>
      </c>
      <c r="C54" s="211">
        <f>D54</f>
        <v>488000</v>
      </c>
      <c r="D54" s="211">
        <v>488000</v>
      </c>
      <c r="E54" s="1145"/>
      <c r="F54" s="1141">
        <f t="shared" si="15"/>
        <v>321774</v>
      </c>
      <c r="G54" s="1141">
        <f>237192+4582+80000</f>
        <v>321774</v>
      </c>
      <c r="H54" s="1145"/>
      <c r="I54" s="1141">
        <f t="shared" si="3"/>
        <v>65.937295081967221</v>
      </c>
      <c r="J54" s="1141">
        <f t="shared" si="4"/>
        <v>65.937295081967221</v>
      </c>
      <c r="K54" s="1141"/>
    </row>
    <row r="55" spans="1:11" s="1142" customFormat="1" ht="23.25" customHeight="1" x14ac:dyDescent="0.2">
      <c r="A55" s="684" t="s">
        <v>445</v>
      </c>
      <c r="B55" s="685" t="s">
        <v>302</v>
      </c>
      <c r="C55" s="211">
        <f>D55</f>
        <v>450379</v>
      </c>
      <c r="D55" s="211">
        <v>450379</v>
      </c>
      <c r="E55" s="1145"/>
      <c r="F55" s="1141">
        <f t="shared" si="15"/>
        <v>154043</v>
      </c>
      <c r="G55" s="1141">
        <f>154043</f>
        <v>154043</v>
      </c>
      <c r="H55" s="1145"/>
      <c r="I55" s="1141">
        <f t="shared" si="3"/>
        <v>34.202971275303689</v>
      </c>
      <c r="J55" s="1141">
        <f t="shared" si="4"/>
        <v>34.202971275303689</v>
      </c>
      <c r="K55" s="1141"/>
    </row>
    <row r="56" spans="1:11" ht="23.25" customHeight="1" x14ac:dyDescent="0.2">
      <c r="A56" s="679">
        <v>2</v>
      </c>
      <c r="B56" s="26" t="s">
        <v>303</v>
      </c>
      <c r="C56" s="1138">
        <f t="shared" ref="C56:F56" si="17">C57+C58</f>
        <v>231351</v>
      </c>
      <c r="D56" s="1138">
        <f t="shared" si="17"/>
        <v>147792</v>
      </c>
      <c r="E56" s="1138">
        <f t="shared" si="17"/>
        <v>83559</v>
      </c>
      <c r="F56" s="1138">
        <f t="shared" si="17"/>
        <v>362902</v>
      </c>
      <c r="G56" s="1138">
        <f>G57+G58</f>
        <v>254520</v>
      </c>
      <c r="H56" s="1138">
        <f>H57+H58</f>
        <v>108382</v>
      </c>
      <c r="I56" s="680">
        <f t="shared" si="3"/>
        <v>156.86208401952013</v>
      </c>
      <c r="J56" s="680">
        <f t="shared" si="4"/>
        <v>172.21500487171159</v>
      </c>
      <c r="K56" s="680">
        <f t="shared" si="5"/>
        <v>129.70715302959584</v>
      </c>
    </row>
    <row r="57" spans="1:11" ht="23.25" customHeight="1" x14ac:dyDescent="0.2">
      <c r="A57" s="682" t="s">
        <v>146</v>
      </c>
      <c r="B57" s="26" t="s">
        <v>302</v>
      </c>
      <c r="C57" s="207">
        <v>23810</v>
      </c>
      <c r="D57" s="207">
        <f>C57</f>
        <v>23810</v>
      </c>
      <c r="E57" s="1138"/>
      <c r="F57" s="207">
        <f t="shared" ref="F57" si="18">G57+H57</f>
        <v>23780</v>
      </c>
      <c r="G57" s="1138">
        <f>'Biểu 03'!I75</f>
        <v>23780</v>
      </c>
      <c r="H57" s="1138"/>
      <c r="I57" s="680">
        <f t="shared" si="3"/>
        <v>99.874002519949599</v>
      </c>
      <c r="J57" s="680">
        <f t="shared" si="4"/>
        <v>99.874002519949599</v>
      </c>
      <c r="K57" s="680"/>
    </row>
    <row r="58" spans="1:11" ht="23.25" customHeight="1" x14ac:dyDescent="0.2">
      <c r="A58" s="682" t="s">
        <v>147</v>
      </c>
      <c r="B58" s="26" t="s">
        <v>111</v>
      </c>
      <c r="C58" s="975">
        <f t="shared" ref="C58:F58" si="19">SUM(C59:C84)+SUM(C102:C103)+SUM(C92:C101)</f>
        <v>207541</v>
      </c>
      <c r="D58" s="975">
        <f t="shared" si="19"/>
        <v>123982</v>
      </c>
      <c r="E58" s="975">
        <f t="shared" si="19"/>
        <v>83559</v>
      </c>
      <c r="F58" s="975">
        <f t="shared" si="19"/>
        <v>339122</v>
      </c>
      <c r="G58" s="975">
        <f>SUM(G59:G84)+SUM(G102:G103)+SUM(G92:G101)</f>
        <v>230740</v>
      </c>
      <c r="H58" s="975">
        <f>SUM(H59:H84)+SUM(H102:H103)+SUM(H92:H101)</f>
        <v>108382</v>
      </c>
      <c r="I58" s="680">
        <f t="shared" si="3"/>
        <v>163.40000289099504</v>
      </c>
      <c r="J58" s="680">
        <f t="shared" si="4"/>
        <v>186.10766078946943</v>
      </c>
      <c r="K58" s="680">
        <f t="shared" si="5"/>
        <v>129.70715302959584</v>
      </c>
    </row>
    <row r="59" spans="1:11" ht="23.25" customHeight="1" x14ac:dyDescent="0.2">
      <c r="A59" s="1146" t="s">
        <v>288</v>
      </c>
      <c r="B59" s="109" t="s">
        <v>1270</v>
      </c>
      <c r="C59" s="205">
        <f>D59+E59</f>
        <v>470</v>
      </c>
      <c r="D59" s="205">
        <v>470</v>
      </c>
      <c r="E59" s="205"/>
      <c r="F59" s="205">
        <f t="shared" ref="F59:F103" si="20">G59+H59</f>
        <v>470</v>
      </c>
      <c r="G59" s="680">
        <v>470</v>
      </c>
      <c r="H59" s="680"/>
      <c r="I59" s="680">
        <f t="shared" si="3"/>
        <v>100</v>
      </c>
      <c r="J59" s="680">
        <f t="shared" si="4"/>
        <v>100</v>
      </c>
      <c r="K59" s="680"/>
    </row>
    <row r="60" spans="1:11" ht="23.25" customHeight="1" x14ac:dyDescent="0.2">
      <c r="A60" s="1146" t="s">
        <v>288</v>
      </c>
      <c r="B60" s="109" t="s">
        <v>199</v>
      </c>
      <c r="C60" s="205">
        <f t="shared" ref="C60:C103" si="21">D60+E60</f>
        <v>90</v>
      </c>
      <c r="D60" s="205">
        <v>90</v>
      </c>
      <c r="E60" s="205"/>
      <c r="F60" s="205">
        <f t="shared" si="20"/>
        <v>90</v>
      </c>
      <c r="G60" s="680">
        <v>90</v>
      </c>
      <c r="H60" s="680"/>
      <c r="I60" s="680">
        <f t="shared" si="3"/>
        <v>100</v>
      </c>
      <c r="J60" s="680">
        <f t="shared" si="4"/>
        <v>100</v>
      </c>
      <c r="K60" s="680"/>
    </row>
    <row r="61" spans="1:11" ht="30.75" customHeight="1" x14ac:dyDescent="0.2">
      <c r="A61" s="1146" t="s">
        <v>288</v>
      </c>
      <c r="B61" s="109" t="s">
        <v>1263</v>
      </c>
      <c r="C61" s="205">
        <f t="shared" si="21"/>
        <v>600</v>
      </c>
      <c r="D61" s="205">
        <v>600</v>
      </c>
      <c r="E61" s="205"/>
      <c r="F61" s="205">
        <f t="shared" si="20"/>
        <v>1750</v>
      </c>
      <c r="G61" s="680">
        <v>1750</v>
      </c>
      <c r="H61" s="680"/>
      <c r="I61" s="680">
        <f t="shared" si="3"/>
        <v>291.66666666666663</v>
      </c>
      <c r="J61" s="680">
        <f t="shared" si="4"/>
        <v>291.66666666666663</v>
      </c>
      <c r="K61" s="680"/>
    </row>
    <row r="62" spans="1:11" ht="35.25" customHeight="1" x14ac:dyDescent="0.2">
      <c r="A62" s="1146" t="s">
        <v>288</v>
      </c>
      <c r="B62" s="109" t="s">
        <v>1271</v>
      </c>
      <c r="C62" s="205">
        <f t="shared" si="21"/>
        <v>500</v>
      </c>
      <c r="D62" s="205">
        <v>500</v>
      </c>
      <c r="E62" s="205"/>
      <c r="F62" s="205">
        <f t="shared" si="20"/>
        <v>250</v>
      </c>
      <c r="G62" s="680">
        <v>250</v>
      </c>
      <c r="H62" s="680"/>
      <c r="I62" s="680">
        <f t="shared" si="3"/>
        <v>50</v>
      </c>
      <c r="J62" s="680">
        <f t="shared" si="4"/>
        <v>50</v>
      </c>
      <c r="K62" s="680"/>
    </row>
    <row r="63" spans="1:11" ht="23.25" customHeight="1" x14ac:dyDescent="0.2">
      <c r="A63" s="1146" t="s">
        <v>288</v>
      </c>
      <c r="B63" s="109" t="s">
        <v>1272</v>
      </c>
      <c r="C63" s="205">
        <f t="shared" si="21"/>
        <v>431</v>
      </c>
      <c r="D63" s="205">
        <v>431</v>
      </c>
      <c r="E63" s="205"/>
      <c r="F63" s="205">
        <f t="shared" si="20"/>
        <v>431</v>
      </c>
      <c r="G63" s="680">
        <v>431</v>
      </c>
      <c r="H63" s="680"/>
      <c r="I63" s="680">
        <f t="shared" si="3"/>
        <v>100</v>
      </c>
      <c r="J63" s="680">
        <f t="shared" si="4"/>
        <v>100</v>
      </c>
      <c r="K63" s="680"/>
    </row>
    <row r="64" spans="1:11" ht="28.5" customHeight="1" x14ac:dyDescent="0.2">
      <c r="A64" s="1146" t="s">
        <v>288</v>
      </c>
      <c r="B64" s="109" t="s">
        <v>1273</v>
      </c>
      <c r="C64" s="205">
        <f t="shared" si="21"/>
        <v>26438</v>
      </c>
      <c r="D64" s="205">
        <v>5235</v>
      </c>
      <c r="E64" s="205">
        <v>21203</v>
      </c>
      <c r="F64" s="205">
        <f t="shared" si="20"/>
        <v>28984</v>
      </c>
      <c r="G64" s="680">
        <v>7120</v>
      </c>
      <c r="H64" s="680">
        <v>21864</v>
      </c>
      <c r="I64" s="680">
        <f t="shared" si="3"/>
        <v>109.63007791814812</v>
      </c>
      <c r="J64" s="680">
        <f t="shared" si="4"/>
        <v>136.00764087870104</v>
      </c>
      <c r="K64" s="680">
        <f t="shared" si="5"/>
        <v>103.11748337499411</v>
      </c>
    </row>
    <row r="65" spans="1:11" ht="33.75" customHeight="1" x14ac:dyDescent="0.2">
      <c r="A65" s="1146" t="s">
        <v>288</v>
      </c>
      <c r="B65" s="109" t="s">
        <v>1264</v>
      </c>
      <c r="C65" s="205">
        <f t="shared" si="21"/>
        <v>6965</v>
      </c>
      <c r="D65" s="205">
        <v>6</v>
      </c>
      <c r="E65" s="205">
        <v>6959</v>
      </c>
      <c r="F65" s="205">
        <f t="shared" si="20"/>
        <v>15348</v>
      </c>
      <c r="G65" s="680">
        <v>632</v>
      </c>
      <c r="H65" s="680">
        <v>14716</v>
      </c>
      <c r="I65" s="680">
        <f t="shared" si="3"/>
        <v>220.35893754486716</v>
      </c>
      <c r="J65" s="680">
        <f t="shared" si="4"/>
        <v>10533.333333333332</v>
      </c>
      <c r="K65" s="680">
        <f t="shared" si="5"/>
        <v>211.46716482253197</v>
      </c>
    </row>
    <row r="66" spans="1:11" ht="33.75" customHeight="1" x14ac:dyDescent="0.2">
      <c r="A66" s="1146" t="s">
        <v>288</v>
      </c>
      <c r="B66" s="109" t="s">
        <v>1274</v>
      </c>
      <c r="C66" s="205">
        <f t="shared" si="21"/>
        <v>1540</v>
      </c>
      <c r="D66" s="205"/>
      <c r="E66" s="205">
        <v>1540</v>
      </c>
      <c r="F66" s="205">
        <f t="shared" si="20"/>
        <v>0</v>
      </c>
      <c r="G66" s="680"/>
      <c r="H66" s="680"/>
      <c r="I66" s="680">
        <f t="shared" si="3"/>
        <v>0</v>
      </c>
      <c r="J66" s="680"/>
      <c r="K66" s="680">
        <f t="shared" si="5"/>
        <v>0</v>
      </c>
    </row>
    <row r="67" spans="1:11" ht="33.75" customHeight="1" x14ac:dyDescent="0.2">
      <c r="A67" s="1146" t="s">
        <v>288</v>
      </c>
      <c r="B67" s="109" t="s">
        <v>539</v>
      </c>
      <c r="C67" s="205">
        <f t="shared" si="21"/>
        <v>1988</v>
      </c>
      <c r="D67" s="205">
        <v>1988</v>
      </c>
      <c r="E67" s="205"/>
      <c r="F67" s="205">
        <f t="shared" si="20"/>
        <v>1988</v>
      </c>
      <c r="G67" s="680">
        <v>1988</v>
      </c>
      <c r="H67" s="680"/>
      <c r="I67" s="680">
        <f t="shared" si="3"/>
        <v>100</v>
      </c>
      <c r="J67" s="680">
        <f t="shared" si="4"/>
        <v>100</v>
      </c>
      <c r="K67" s="680"/>
    </row>
    <row r="68" spans="1:11" ht="33.75" customHeight="1" x14ac:dyDescent="0.2">
      <c r="A68" s="1146" t="s">
        <v>288</v>
      </c>
      <c r="B68" s="1147" t="s">
        <v>540</v>
      </c>
      <c r="C68" s="205">
        <f t="shared" si="21"/>
        <v>2410</v>
      </c>
      <c r="D68" s="205">
        <v>223</v>
      </c>
      <c r="E68" s="205">
        <v>2187</v>
      </c>
      <c r="F68" s="205">
        <f t="shared" si="20"/>
        <v>2743</v>
      </c>
      <c r="G68" s="680">
        <v>223</v>
      </c>
      <c r="H68" s="680">
        <v>2520</v>
      </c>
      <c r="I68" s="680">
        <f t="shared" ref="I68:I103" si="22">F68/C68*100</f>
        <v>113.81742738589212</v>
      </c>
      <c r="J68" s="680">
        <f t="shared" ref="J68:J103" si="23">G68/D68*100</f>
        <v>100</v>
      </c>
      <c r="K68" s="680">
        <f t="shared" ref="K68:K103" si="24">H68/E68*100</f>
        <v>115.22633744855968</v>
      </c>
    </row>
    <row r="69" spans="1:11" ht="33.75" customHeight="1" x14ac:dyDescent="0.2">
      <c r="A69" s="1146" t="s">
        <v>288</v>
      </c>
      <c r="B69" s="109" t="s">
        <v>1265</v>
      </c>
      <c r="C69" s="205">
        <f t="shared" si="21"/>
        <v>5116</v>
      </c>
      <c r="D69" s="205">
        <v>5116</v>
      </c>
      <c r="E69" s="205"/>
      <c r="F69" s="205">
        <f t="shared" si="20"/>
        <v>5259</v>
      </c>
      <c r="G69" s="680">
        <v>5259</v>
      </c>
      <c r="H69" s="680"/>
      <c r="I69" s="680">
        <f t="shared" si="22"/>
        <v>102.79515246286162</v>
      </c>
      <c r="J69" s="680">
        <f t="shared" si="23"/>
        <v>102.79515246286162</v>
      </c>
      <c r="K69" s="680"/>
    </row>
    <row r="70" spans="1:11" ht="33.75" customHeight="1" x14ac:dyDescent="0.2">
      <c r="A70" s="1146" t="s">
        <v>288</v>
      </c>
      <c r="B70" s="109" t="s">
        <v>542</v>
      </c>
      <c r="C70" s="205">
        <f t="shared" si="21"/>
        <v>2990</v>
      </c>
      <c r="D70" s="205">
        <v>2990</v>
      </c>
      <c r="E70" s="205"/>
      <c r="F70" s="205">
        <f t="shared" si="20"/>
        <v>2779</v>
      </c>
      <c r="G70" s="680">
        <v>2779</v>
      </c>
      <c r="H70" s="680"/>
      <c r="I70" s="680">
        <f t="shared" si="22"/>
        <v>92.943143812709025</v>
      </c>
      <c r="J70" s="680">
        <f t="shared" si="23"/>
        <v>92.943143812709025</v>
      </c>
      <c r="K70" s="680"/>
    </row>
    <row r="71" spans="1:11" ht="57" customHeight="1" x14ac:dyDescent="0.2">
      <c r="A71" s="1146" t="s">
        <v>288</v>
      </c>
      <c r="B71" s="109" t="s">
        <v>543</v>
      </c>
      <c r="C71" s="205">
        <f t="shared" si="21"/>
        <v>44742</v>
      </c>
      <c r="D71" s="205">
        <v>44742</v>
      </c>
      <c r="E71" s="205"/>
      <c r="F71" s="205">
        <f t="shared" si="20"/>
        <v>80882</v>
      </c>
      <c r="G71" s="680">
        <v>80882</v>
      </c>
      <c r="H71" s="680"/>
      <c r="I71" s="680">
        <f t="shared" si="22"/>
        <v>180.77421661973091</v>
      </c>
      <c r="J71" s="680">
        <f t="shared" si="23"/>
        <v>180.77421661973091</v>
      </c>
      <c r="K71" s="680"/>
    </row>
    <row r="72" spans="1:11" ht="33.75" customHeight="1" x14ac:dyDescent="0.2">
      <c r="A72" s="1146" t="s">
        <v>288</v>
      </c>
      <c r="B72" s="109" t="s">
        <v>544</v>
      </c>
      <c r="C72" s="205">
        <f t="shared" si="21"/>
        <v>4105</v>
      </c>
      <c r="D72" s="205">
        <v>4105</v>
      </c>
      <c r="E72" s="205"/>
      <c r="F72" s="205">
        <f t="shared" si="20"/>
        <v>4105</v>
      </c>
      <c r="G72" s="680">
        <v>4105</v>
      </c>
      <c r="H72" s="680"/>
      <c r="I72" s="680">
        <f t="shared" si="22"/>
        <v>100</v>
      </c>
      <c r="J72" s="680">
        <f t="shared" si="23"/>
        <v>100</v>
      </c>
      <c r="K72" s="680"/>
    </row>
    <row r="73" spans="1:11" ht="33.75" customHeight="1" x14ac:dyDescent="0.2">
      <c r="A73" s="1146" t="s">
        <v>288</v>
      </c>
      <c r="B73" s="109" t="s">
        <v>545</v>
      </c>
      <c r="C73" s="205">
        <f t="shared" si="21"/>
        <v>108</v>
      </c>
      <c r="D73" s="205">
        <v>108</v>
      </c>
      <c r="E73" s="205"/>
      <c r="F73" s="205">
        <f t="shared" si="20"/>
        <v>108</v>
      </c>
      <c r="G73" s="680">
        <v>108</v>
      </c>
      <c r="H73" s="680"/>
      <c r="I73" s="680">
        <f t="shared" si="22"/>
        <v>100</v>
      </c>
      <c r="J73" s="680">
        <f t="shared" si="23"/>
        <v>100</v>
      </c>
      <c r="K73" s="680"/>
    </row>
    <row r="74" spans="1:11" ht="33.75" customHeight="1" x14ac:dyDescent="0.2">
      <c r="A74" s="1146" t="s">
        <v>288</v>
      </c>
      <c r="B74" s="109" t="s">
        <v>546</v>
      </c>
      <c r="C74" s="205">
        <f t="shared" si="21"/>
        <v>183</v>
      </c>
      <c r="D74" s="205">
        <v>183</v>
      </c>
      <c r="E74" s="205"/>
      <c r="F74" s="205">
        <f t="shared" si="20"/>
        <v>183</v>
      </c>
      <c r="G74" s="680">
        <v>183</v>
      </c>
      <c r="H74" s="680"/>
      <c r="I74" s="680">
        <f t="shared" si="22"/>
        <v>100</v>
      </c>
      <c r="J74" s="680">
        <f t="shared" si="23"/>
        <v>100</v>
      </c>
      <c r="K74" s="680"/>
    </row>
    <row r="75" spans="1:11" ht="23.25" customHeight="1" x14ac:dyDescent="0.2">
      <c r="A75" s="1146" t="s">
        <v>288</v>
      </c>
      <c r="B75" s="109" t="s">
        <v>547</v>
      </c>
      <c r="C75" s="205">
        <f t="shared" si="21"/>
        <v>2006</v>
      </c>
      <c r="D75" s="205">
        <v>2006</v>
      </c>
      <c r="E75" s="205"/>
      <c r="F75" s="205">
        <f t="shared" si="20"/>
        <v>2006</v>
      </c>
      <c r="G75" s="680">
        <v>2006</v>
      </c>
      <c r="H75" s="680"/>
      <c r="I75" s="680">
        <f t="shared" si="22"/>
        <v>100</v>
      </c>
      <c r="J75" s="680">
        <f t="shared" si="23"/>
        <v>100</v>
      </c>
      <c r="K75" s="680"/>
    </row>
    <row r="76" spans="1:11" ht="23.25" customHeight="1" x14ac:dyDescent="0.2">
      <c r="A76" s="1146" t="s">
        <v>288</v>
      </c>
      <c r="B76" s="1148" t="s">
        <v>1275</v>
      </c>
      <c r="C76" s="205">
        <f t="shared" si="21"/>
        <v>13663</v>
      </c>
      <c r="D76" s="205">
        <v>417</v>
      </c>
      <c r="E76" s="205">
        <v>13246</v>
      </c>
      <c r="F76" s="205">
        <f t="shared" si="20"/>
        <v>17041</v>
      </c>
      <c r="G76" s="680">
        <v>417</v>
      </c>
      <c r="H76" s="680">
        <v>16624</v>
      </c>
      <c r="I76" s="680">
        <f t="shared" si="22"/>
        <v>124.72370636024299</v>
      </c>
      <c r="J76" s="680">
        <f t="shared" si="23"/>
        <v>100</v>
      </c>
      <c r="K76" s="680">
        <f t="shared" si="24"/>
        <v>125.50203835120037</v>
      </c>
    </row>
    <row r="77" spans="1:11" ht="37.5" customHeight="1" x14ac:dyDescent="0.2">
      <c r="A77" s="1146" t="s">
        <v>288</v>
      </c>
      <c r="B77" s="964" t="s">
        <v>549</v>
      </c>
      <c r="C77" s="205">
        <f t="shared" si="21"/>
        <v>12796</v>
      </c>
      <c r="D77" s="205"/>
      <c r="E77" s="205">
        <v>12796</v>
      </c>
      <c r="F77" s="205">
        <f t="shared" si="20"/>
        <v>14669</v>
      </c>
      <c r="G77" s="680"/>
      <c r="H77" s="680">
        <v>14669</v>
      </c>
      <c r="I77" s="680">
        <f t="shared" si="22"/>
        <v>114.63738668333853</v>
      </c>
      <c r="J77" s="680"/>
      <c r="K77" s="680">
        <f t="shared" si="24"/>
        <v>114.63738668333853</v>
      </c>
    </row>
    <row r="78" spans="1:11" ht="32.25" customHeight="1" x14ac:dyDescent="0.2">
      <c r="A78" s="1146" t="s">
        <v>288</v>
      </c>
      <c r="B78" s="964" t="s">
        <v>550</v>
      </c>
      <c r="C78" s="205">
        <f t="shared" si="21"/>
        <v>2490</v>
      </c>
      <c r="D78" s="205">
        <v>1543</v>
      </c>
      <c r="E78" s="205">
        <v>947</v>
      </c>
      <c r="F78" s="205">
        <f t="shared" si="20"/>
        <v>3178</v>
      </c>
      <c r="G78" s="680">
        <v>2222</v>
      </c>
      <c r="H78" s="680">
        <v>956</v>
      </c>
      <c r="I78" s="680">
        <f t="shared" si="22"/>
        <v>127.63052208835342</v>
      </c>
      <c r="J78" s="680">
        <f t="shared" si="23"/>
        <v>144.00518470511989</v>
      </c>
      <c r="K78" s="680">
        <f t="shared" si="24"/>
        <v>100.95036958817319</v>
      </c>
    </row>
    <row r="79" spans="1:11" ht="32.25" customHeight="1" x14ac:dyDescent="0.2">
      <c r="A79" s="1146" t="s">
        <v>288</v>
      </c>
      <c r="B79" s="109" t="s">
        <v>551</v>
      </c>
      <c r="C79" s="205">
        <f t="shared" si="21"/>
        <v>1058</v>
      </c>
      <c r="D79" s="205">
        <v>1058</v>
      </c>
      <c r="E79" s="205"/>
      <c r="F79" s="205">
        <f t="shared" si="20"/>
        <v>1372</v>
      </c>
      <c r="G79" s="680">
        <v>1372</v>
      </c>
      <c r="H79" s="680"/>
      <c r="I79" s="680">
        <f t="shared" si="22"/>
        <v>129.67863894139887</v>
      </c>
      <c r="J79" s="680">
        <f t="shared" si="23"/>
        <v>129.67863894139887</v>
      </c>
      <c r="K79" s="680"/>
    </row>
    <row r="80" spans="1:11" ht="47.25" customHeight="1" x14ac:dyDescent="0.2">
      <c r="A80" s="1146" t="s">
        <v>288</v>
      </c>
      <c r="B80" s="964" t="s">
        <v>552</v>
      </c>
      <c r="C80" s="205">
        <f t="shared" si="21"/>
        <v>150</v>
      </c>
      <c r="D80" s="205"/>
      <c r="E80" s="205">
        <v>150</v>
      </c>
      <c r="F80" s="205">
        <f t="shared" si="20"/>
        <v>350</v>
      </c>
      <c r="G80" s="680"/>
      <c r="H80" s="680">
        <v>350</v>
      </c>
      <c r="I80" s="680">
        <f t="shared" si="22"/>
        <v>233.33333333333334</v>
      </c>
      <c r="J80" s="680"/>
      <c r="K80" s="680">
        <f t="shared" si="24"/>
        <v>233.33333333333334</v>
      </c>
    </row>
    <row r="81" spans="1:11" ht="57.75" customHeight="1" x14ac:dyDescent="0.2">
      <c r="A81" s="1146" t="s">
        <v>288</v>
      </c>
      <c r="B81" s="964" t="s">
        <v>553</v>
      </c>
      <c r="C81" s="205">
        <f t="shared" si="21"/>
        <v>1397</v>
      </c>
      <c r="D81" s="205">
        <v>1397</v>
      </c>
      <c r="E81" s="205"/>
      <c r="F81" s="205">
        <f t="shared" si="20"/>
        <v>1199</v>
      </c>
      <c r="G81" s="680">
        <v>1199</v>
      </c>
      <c r="H81" s="680"/>
      <c r="I81" s="680">
        <f t="shared" si="22"/>
        <v>85.826771653543304</v>
      </c>
      <c r="J81" s="680">
        <f t="shared" si="23"/>
        <v>85.826771653543304</v>
      </c>
      <c r="K81" s="680"/>
    </row>
    <row r="82" spans="1:11" ht="42" customHeight="1" x14ac:dyDescent="0.2">
      <c r="A82" s="1146" t="s">
        <v>288</v>
      </c>
      <c r="B82" s="964" t="s">
        <v>1276</v>
      </c>
      <c r="C82" s="205">
        <f t="shared" si="21"/>
        <v>2500</v>
      </c>
      <c r="D82" s="205">
        <v>2500</v>
      </c>
      <c r="E82" s="205"/>
      <c r="F82" s="205">
        <f t="shared" si="20"/>
        <v>2527</v>
      </c>
      <c r="G82" s="680">
        <v>2527</v>
      </c>
      <c r="H82" s="680"/>
      <c r="I82" s="680">
        <f t="shared" si="22"/>
        <v>101.08</v>
      </c>
      <c r="J82" s="680">
        <f t="shared" si="23"/>
        <v>101.08</v>
      </c>
      <c r="K82" s="680"/>
    </row>
    <row r="83" spans="1:11" ht="32.25" customHeight="1" x14ac:dyDescent="0.2">
      <c r="A83" s="1146" t="s">
        <v>288</v>
      </c>
      <c r="B83" s="964" t="s">
        <v>554</v>
      </c>
      <c r="C83" s="205">
        <f t="shared" si="21"/>
        <v>4110</v>
      </c>
      <c r="D83" s="205">
        <v>3120</v>
      </c>
      <c r="E83" s="205">
        <v>990</v>
      </c>
      <c r="F83" s="205">
        <f t="shared" si="20"/>
        <v>4110</v>
      </c>
      <c r="G83" s="680">
        <v>3120</v>
      </c>
      <c r="H83" s="680">
        <v>990</v>
      </c>
      <c r="I83" s="680">
        <f t="shared" si="22"/>
        <v>100</v>
      </c>
      <c r="J83" s="680">
        <f t="shared" si="23"/>
        <v>100</v>
      </c>
      <c r="K83" s="680">
        <f t="shared" si="24"/>
        <v>100</v>
      </c>
    </row>
    <row r="84" spans="1:11" ht="33.75" customHeight="1" x14ac:dyDescent="0.2">
      <c r="A84" s="1146" t="s">
        <v>288</v>
      </c>
      <c r="B84" s="964" t="s">
        <v>555</v>
      </c>
      <c r="C84" s="205">
        <f t="shared" si="21"/>
        <v>56165</v>
      </c>
      <c r="D84" s="205">
        <v>36724</v>
      </c>
      <c r="E84" s="205">
        <v>19441</v>
      </c>
      <c r="F84" s="205">
        <f t="shared" si="20"/>
        <v>79008</v>
      </c>
      <c r="G84" s="680">
        <v>58702</v>
      </c>
      <c r="H84" s="680">
        <v>20306</v>
      </c>
      <c r="I84" s="680">
        <f t="shared" si="22"/>
        <v>140.67123653520878</v>
      </c>
      <c r="J84" s="680">
        <f t="shared" si="23"/>
        <v>159.84642195839234</v>
      </c>
      <c r="K84" s="680">
        <f t="shared" si="24"/>
        <v>104.44935960084358</v>
      </c>
    </row>
    <row r="85" spans="1:11" ht="33.75" customHeight="1" x14ac:dyDescent="0.2">
      <c r="A85" s="108" t="s">
        <v>492</v>
      </c>
      <c r="B85" s="964" t="s">
        <v>625</v>
      </c>
      <c r="C85" s="205">
        <f t="shared" si="21"/>
        <v>2630</v>
      </c>
      <c r="D85" s="205">
        <v>2630</v>
      </c>
      <c r="E85" s="205"/>
      <c r="F85" s="205">
        <f t="shared" si="20"/>
        <v>8323</v>
      </c>
      <c r="G85" s="680">
        <v>8323</v>
      </c>
      <c r="H85" s="680"/>
      <c r="I85" s="680">
        <f t="shared" si="22"/>
        <v>316.46387832699617</v>
      </c>
      <c r="J85" s="680">
        <f t="shared" si="23"/>
        <v>316.46387832699617</v>
      </c>
      <c r="K85" s="680"/>
    </row>
    <row r="86" spans="1:11" ht="23.25" customHeight="1" x14ac:dyDescent="0.2">
      <c r="A86" s="108" t="s">
        <v>492</v>
      </c>
      <c r="B86" s="964" t="s">
        <v>626</v>
      </c>
      <c r="C86" s="205">
        <f t="shared" si="21"/>
        <v>19203</v>
      </c>
      <c r="D86" s="205">
        <v>19203</v>
      </c>
      <c r="E86" s="205"/>
      <c r="F86" s="205">
        <f t="shared" si="20"/>
        <v>19713</v>
      </c>
      <c r="G86" s="680">
        <v>19713</v>
      </c>
      <c r="H86" s="680"/>
      <c r="I86" s="680">
        <f t="shared" si="22"/>
        <v>102.65583502577722</v>
      </c>
      <c r="J86" s="680">
        <f t="shared" si="23"/>
        <v>102.65583502577722</v>
      </c>
      <c r="K86" s="680"/>
    </row>
    <row r="87" spans="1:11" ht="23.25" customHeight="1" x14ac:dyDescent="0.2">
      <c r="A87" s="108" t="s">
        <v>492</v>
      </c>
      <c r="B87" s="964" t="s">
        <v>627</v>
      </c>
      <c r="C87" s="205">
        <f t="shared" si="21"/>
        <v>8239</v>
      </c>
      <c r="D87" s="205">
        <v>8239</v>
      </c>
      <c r="E87" s="205"/>
      <c r="F87" s="205">
        <f t="shared" si="20"/>
        <v>12561</v>
      </c>
      <c r="G87" s="680">
        <f>20440-7879</f>
        <v>12561</v>
      </c>
      <c r="H87" s="680"/>
      <c r="I87" s="680">
        <f t="shared" si="22"/>
        <v>152.45782255128049</v>
      </c>
      <c r="J87" s="680">
        <f t="shared" si="23"/>
        <v>152.45782255128049</v>
      </c>
      <c r="K87" s="680"/>
    </row>
    <row r="88" spans="1:11" ht="23.25" customHeight="1" x14ac:dyDescent="0.2">
      <c r="A88" s="108" t="s">
        <v>492</v>
      </c>
      <c r="B88" s="964" t="s">
        <v>628</v>
      </c>
      <c r="C88" s="205">
        <f t="shared" si="21"/>
        <v>1783</v>
      </c>
      <c r="D88" s="205">
        <v>1783</v>
      </c>
      <c r="E88" s="205"/>
      <c r="F88" s="205">
        <f t="shared" si="20"/>
        <v>2059</v>
      </c>
      <c r="G88" s="680">
        <v>2059</v>
      </c>
      <c r="H88" s="680"/>
      <c r="I88" s="680">
        <f t="shared" si="22"/>
        <v>115.47952888390354</v>
      </c>
      <c r="J88" s="680">
        <f t="shared" si="23"/>
        <v>115.47952888390354</v>
      </c>
      <c r="K88" s="680"/>
    </row>
    <row r="89" spans="1:11" ht="42.75" customHeight="1" x14ac:dyDescent="0.2">
      <c r="A89" s="108" t="s">
        <v>492</v>
      </c>
      <c r="B89" s="964" t="s">
        <v>629</v>
      </c>
      <c r="C89" s="205">
        <f t="shared" si="21"/>
        <v>1710</v>
      </c>
      <c r="D89" s="205">
        <v>1240</v>
      </c>
      <c r="E89" s="205">
        <v>470</v>
      </c>
      <c r="F89" s="205">
        <f t="shared" si="20"/>
        <v>4260</v>
      </c>
      <c r="G89" s="680">
        <v>2925</v>
      </c>
      <c r="H89" s="680">
        <v>1335</v>
      </c>
      <c r="I89" s="680">
        <f t="shared" si="22"/>
        <v>249.12280701754389</v>
      </c>
      <c r="J89" s="680">
        <f t="shared" si="23"/>
        <v>235.88709677419354</v>
      </c>
      <c r="K89" s="680">
        <f t="shared" si="24"/>
        <v>284.04255319148939</v>
      </c>
    </row>
    <row r="90" spans="1:11" ht="23.25" customHeight="1" x14ac:dyDescent="0.2">
      <c r="A90" s="108" t="s">
        <v>492</v>
      </c>
      <c r="B90" s="964" t="s">
        <v>630</v>
      </c>
      <c r="C90" s="205">
        <f t="shared" si="21"/>
        <v>21600</v>
      </c>
      <c r="D90" s="205">
        <v>2629</v>
      </c>
      <c r="E90" s="205">
        <v>18971</v>
      </c>
      <c r="F90" s="205">
        <f t="shared" si="20"/>
        <v>21213</v>
      </c>
      <c r="G90" s="680">
        <v>2242</v>
      </c>
      <c r="H90" s="680">
        <v>18971</v>
      </c>
      <c r="I90" s="680">
        <f t="shared" si="22"/>
        <v>98.208333333333329</v>
      </c>
      <c r="J90" s="680">
        <f t="shared" si="23"/>
        <v>85.279573982502853</v>
      </c>
      <c r="K90" s="680">
        <f t="shared" si="24"/>
        <v>100</v>
      </c>
    </row>
    <row r="91" spans="1:11" ht="41.25" customHeight="1" x14ac:dyDescent="0.2">
      <c r="A91" s="108" t="s">
        <v>492</v>
      </c>
      <c r="B91" s="964" t="s">
        <v>631</v>
      </c>
      <c r="C91" s="205">
        <f t="shared" si="21"/>
        <v>1000</v>
      </c>
      <c r="D91" s="205">
        <v>1000</v>
      </c>
      <c r="E91" s="205"/>
      <c r="F91" s="205">
        <f>G91+H91</f>
        <v>3000</v>
      </c>
      <c r="G91" s="680">
        <f>3000</f>
        <v>3000</v>
      </c>
      <c r="H91" s="680"/>
      <c r="I91" s="680">
        <f t="shared" si="22"/>
        <v>300</v>
      </c>
      <c r="J91" s="680">
        <f t="shared" si="23"/>
        <v>300</v>
      </c>
      <c r="K91" s="680"/>
    </row>
    <row r="92" spans="1:11" ht="35.25" customHeight="1" x14ac:dyDescent="0.2">
      <c r="A92" s="1149" t="s">
        <v>288</v>
      </c>
      <c r="B92" s="1063" t="s">
        <v>1412</v>
      </c>
      <c r="C92" s="205">
        <f t="shared" si="21"/>
        <v>0</v>
      </c>
      <c r="D92" s="205"/>
      <c r="E92" s="205"/>
      <c r="F92" s="205">
        <f t="shared" si="20"/>
        <v>9420</v>
      </c>
      <c r="G92" s="680">
        <v>7967</v>
      </c>
      <c r="H92" s="680">
        <v>1453</v>
      </c>
      <c r="I92" s="680"/>
      <c r="J92" s="680"/>
      <c r="K92" s="680"/>
    </row>
    <row r="93" spans="1:11" ht="58.5" customHeight="1" x14ac:dyDescent="0.2">
      <c r="A93" s="1149" t="s">
        <v>288</v>
      </c>
      <c r="B93" s="1063" t="s">
        <v>1407</v>
      </c>
      <c r="C93" s="205">
        <f t="shared" si="21"/>
        <v>0</v>
      </c>
      <c r="D93" s="205"/>
      <c r="E93" s="205"/>
      <c r="F93" s="205">
        <f t="shared" si="20"/>
        <v>560</v>
      </c>
      <c r="G93" s="680">
        <v>560</v>
      </c>
      <c r="H93" s="680"/>
      <c r="I93" s="680"/>
      <c r="J93" s="680"/>
      <c r="K93" s="680"/>
    </row>
    <row r="94" spans="1:11" ht="23.25" customHeight="1" x14ac:dyDescent="0.2">
      <c r="A94" s="1149" t="s">
        <v>288</v>
      </c>
      <c r="B94" s="1150" t="s">
        <v>1408</v>
      </c>
      <c r="C94" s="205">
        <f t="shared" si="21"/>
        <v>0</v>
      </c>
      <c r="D94" s="205"/>
      <c r="E94" s="205"/>
      <c r="F94" s="205">
        <f t="shared" si="20"/>
        <v>17024</v>
      </c>
      <c r="G94" s="680">
        <v>17024</v>
      </c>
      <c r="H94" s="680"/>
      <c r="I94" s="680"/>
      <c r="J94" s="680"/>
      <c r="K94" s="680"/>
    </row>
    <row r="95" spans="1:11" ht="72" customHeight="1" x14ac:dyDescent="0.2">
      <c r="A95" s="1149" t="s">
        <v>288</v>
      </c>
      <c r="B95" s="1151" t="s">
        <v>1409</v>
      </c>
      <c r="C95" s="205">
        <f t="shared" si="21"/>
        <v>0</v>
      </c>
      <c r="D95" s="205"/>
      <c r="E95" s="205"/>
      <c r="F95" s="205">
        <f t="shared" si="20"/>
        <v>3372</v>
      </c>
      <c r="G95" s="680">
        <v>3372</v>
      </c>
      <c r="H95" s="680"/>
      <c r="I95" s="680"/>
      <c r="J95" s="680"/>
      <c r="K95" s="680"/>
    </row>
    <row r="96" spans="1:11" ht="23.25" customHeight="1" x14ac:dyDescent="0.2">
      <c r="A96" s="1149" t="s">
        <v>288</v>
      </c>
      <c r="B96" s="1064" t="s">
        <v>1410</v>
      </c>
      <c r="C96" s="205">
        <f t="shared" si="21"/>
        <v>0</v>
      </c>
      <c r="D96" s="205"/>
      <c r="E96" s="205"/>
      <c r="F96" s="205">
        <f t="shared" si="20"/>
        <v>10404</v>
      </c>
      <c r="G96" s="680">
        <v>10404</v>
      </c>
      <c r="H96" s="680"/>
      <c r="I96" s="680"/>
      <c r="J96" s="680"/>
      <c r="K96" s="680"/>
    </row>
    <row r="97" spans="1:11" ht="35.25" customHeight="1" x14ac:dyDescent="0.2">
      <c r="A97" s="1149" t="s">
        <v>288</v>
      </c>
      <c r="B97" s="626" t="s">
        <v>1413</v>
      </c>
      <c r="C97" s="205">
        <f t="shared" si="21"/>
        <v>0</v>
      </c>
      <c r="D97" s="205"/>
      <c r="E97" s="205"/>
      <c r="F97" s="205">
        <f t="shared" si="20"/>
        <v>1423</v>
      </c>
      <c r="G97" s="680"/>
      <c r="H97" s="680">
        <v>1423</v>
      </c>
      <c r="I97" s="680"/>
      <c r="J97" s="680"/>
      <c r="K97" s="680"/>
    </row>
    <row r="98" spans="1:11" ht="23.25" customHeight="1" x14ac:dyDescent="0.2">
      <c r="A98" s="1149" t="s">
        <v>288</v>
      </c>
      <c r="B98" s="626" t="s">
        <v>1267</v>
      </c>
      <c r="C98" s="205">
        <f t="shared" si="21"/>
        <v>0</v>
      </c>
      <c r="D98" s="205"/>
      <c r="E98" s="205"/>
      <c r="F98" s="205">
        <f t="shared" si="20"/>
        <v>92</v>
      </c>
      <c r="G98" s="680"/>
      <c r="H98" s="680">
        <v>92</v>
      </c>
      <c r="I98" s="680"/>
      <c r="J98" s="680"/>
      <c r="K98" s="680"/>
    </row>
    <row r="99" spans="1:11" ht="36" customHeight="1" x14ac:dyDescent="0.2">
      <c r="A99" s="1149" t="s">
        <v>288</v>
      </c>
      <c r="B99" s="626" t="s">
        <v>1414</v>
      </c>
      <c r="C99" s="205">
        <f t="shared" si="21"/>
        <v>0</v>
      </c>
      <c r="D99" s="205"/>
      <c r="E99" s="205"/>
      <c r="F99" s="205">
        <f t="shared" si="20"/>
        <v>8319</v>
      </c>
      <c r="G99" s="680"/>
      <c r="H99" s="680">
        <v>8319</v>
      </c>
      <c r="I99" s="680"/>
      <c r="J99" s="680"/>
      <c r="K99" s="680"/>
    </row>
    <row r="100" spans="1:11" ht="32.25" customHeight="1" x14ac:dyDescent="0.2">
      <c r="A100" s="1149" t="s">
        <v>288</v>
      </c>
      <c r="B100" s="974" t="s">
        <v>1266</v>
      </c>
      <c r="C100" s="205">
        <f t="shared" si="21"/>
        <v>0</v>
      </c>
      <c r="D100" s="205"/>
      <c r="E100" s="205"/>
      <c r="F100" s="205">
        <f t="shared" si="20"/>
        <v>4061</v>
      </c>
      <c r="G100" s="680">
        <v>4061</v>
      </c>
      <c r="H100" s="680"/>
      <c r="I100" s="680"/>
      <c r="J100" s="680"/>
      <c r="K100" s="680"/>
    </row>
    <row r="101" spans="1:11" ht="29.25" customHeight="1" x14ac:dyDescent="0.2">
      <c r="A101" s="1149" t="s">
        <v>288</v>
      </c>
      <c r="B101" s="1152" t="s">
        <v>1411</v>
      </c>
      <c r="C101" s="205">
        <f t="shared" si="21"/>
        <v>0</v>
      </c>
      <c r="D101" s="205"/>
      <c r="E101" s="205"/>
      <c r="F101" s="205">
        <f t="shared" si="20"/>
        <v>1087</v>
      </c>
      <c r="G101" s="680">
        <v>1087</v>
      </c>
      <c r="H101" s="680"/>
      <c r="I101" s="680"/>
      <c r="J101" s="680"/>
      <c r="K101" s="680"/>
    </row>
    <row r="102" spans="1:11" ht="46.5" customHeight="1" x14ac:dyDescent="0.2">
      <c r="A102" s="1149" t="s">
        <v>288</v>
      </c>
      <c r="B102" s="1153" t="s">
        <v>556</v>
      </c>
      <c r="C102" s="205">
        <f t="shared" si="21"/>
        <v>2530</v>
      </c>
      <c r="D102" s="205">
        <v>2530</v>
      </c>
      <c r="E102" s="205"/>
      <c r="F102" s="205">
        <f t="shared" si="20"/>
        <v>2530</v>
      </c>
      <c r="G102" s="680">
        <v>2530</v>
      </c>
      <c r="H102" s="680"/>
      <c r="I102" s="680">
        <f t="shared" si="22"/>
        <v>100</v>
      </c>
      <c r="J102" s="680">
        <f t="shared" si="23"/>
        <v>100</v>
      </c>
      <c r="K102" s="680"/>
    </row>
    <row r="103" spans="1:11" ht="23.25" customHeight="1" x14ac:dyDescent="0.2">
      <c r="A103" s="1149" t="s">
        <v>288</v>
      </c>
      <c r="B103" s="1153" t="s">
        <v>934</v>
      </c>
      <c r="C103" s="215">
        <f t="shared" si="21"/>
        <v>10000</v>
      </c>
      <c r="D103" s="215">
        <v>5900</v>
      </c>
      <c r="E103" s="215">
        <v>4100</v>
      </c>
      <c r="F103" s="215">
        <f t="shared" si="20"/>
        <v>10000</v>
      </c>
      <c r="G103" s="1154">
        <v>5900</v>
      </c>
      <c r="H103" s="1154">
        <v>4100</v>
      </c>
      <c r="I103" s="1154">
        <f t="shared" si="22"/>
        <v>100</v>
      </c>
      <c r="J103" s="1154">
        <f t="shared" si="23"/>
        <v>100</v>
      </c>
      <c r="K103" s="1154">
        <f t="shared" si="24"/>
        <v>100</v>
      </c>
    </row>
    <row r="104" spans="1:11" ht="28.5" customHeight="1" x14ac:dyDescent="0.2">
      <c r="A104" s="1155" t="s">
        <v>4</v>
      </c>
      <c r="B104" s="1155" t="s">
        <v>50</v>
      </c>
      <c r="C104" s="1156"/>
      <c r="D104" s="1156"/>
      <c r="E104" s="1156"/>
      <c r="F104" s="988">
        <f>G104+H104</f>
        <v>771180</v>
      </c>
      <c r="G104" s="988">
        <f>'Biểu 19'!D23</f>
        <v>650680</v>
      </c>
      <c r="H104" s="988">
        <f>'Biểu 19'!D41</f>
        <v>120500</v>
      </c>
      <c r="I104" s="1156"/>
      <c r="J104" s="1156"/>
      <c r="K104" s="1156"/>
    </row>
  </sheetData>
  <mergeCells count="9">
    <mergeCell ref="A1:K1"/>
    <mergeCell ref="A2:K2"/>
    <mergeCell ref="A4:A5"/>
    <mergeCell ref="B4:B5"/>
    <mergeCell ref="C4:C5"/>
    <mergeCell ref="D4:E4"/>
    <mergeCell ref="F4:F5"/>
    <mergeCell ref="G4:H4"/>
    <mergeCell ref="I4:K4"/>
  </mergeCells>
  <pageMargins left="0.43" right="0.2" top="0.75" bottom="0.75" header="0.45" footer="0.5"/>
  <pageSetup paperSize="9" firstPageNumber="90" orientation="portrait" useFirstPageNumber="1" r:id="rId1"/>
  <headerFooter>
    <oddHeader>&amp;RBiểu mẫu số 22</oddHeader>
    <oddFooter>&amp;C&amp;P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L48"/>
  <sheetViews>
    <sheetView workbookViewId="0">
      <pane xSplit="2" ySplit="6" topLeftCell="C7" activePane="bottomRight" state="frozen"/>
      <selection pane="topRight" activeCell="C1" sqref="C1"/>
      <selection pane="bottomLeft" activeCell="A7" sqref="A7"/>
      <selection pane="bottomRight" activeCell="A48" sqref="A48:G48"/>
    </sheetView>
  </sheetViews>
  <sheetFormatPr defaultRowHeight="15.75" x14ac:dyDescent="0.25"/>
  <cols>
    <col min="1" max="1" width="4.375" style="243" customWidth="1"/>
    <col min="2" max="2" width="40.625" style="243" customWidth="1"/>
    <col min="3" max="3" width="9.625" style="243" customWidth="1"/>
    <col min="4" max="4" width="9.875" style="243" customWidth="1"/>
    <col min="5" max="5" width="0.5" style="243" hidden="1" customWidth="1"/>
    <col min="6" max="6" width="8.5" style="243" customWidth="1"/>
    <col min="7" max="7" width="7.75" style="243" customWidth="1"/>
    <col min="8" max="16384" width="9" style="243"/>
  </cols>
  <sheetData>
    <row r="1" spans="1:12" ht="35.25" customHeight="1" x14ac:dyDescent="0.25">
      <c r="A1" s="1946" t="s">
        <v>1281</v>
      </c>
      <c r="B1" s="1946"/>
      <c r="C1" s="1946"/>
      <c r="D1" s="1946"/>
      <c r="E1" s="1946"/>
      <c r="F1" s="1946"/>
      <c r="G1" s="1946"/>
    </row>
    <row r="2" spans="1:12" ht="20.25" customHeight="1" x14ac:dyDescent="0.25">
      <c r="A2" s="2044" t="str">
        <f>'Biểu 22'!A2:K2</f>
        <v>(Kèm theo Báo cáo số              /BC-UBND ngày       tháng 11 năm 2018 của UBND tỉnh Bắc Kạn)</v>
      </c>
      <c r="B2" s="2045"/>
      <c r="C2" s="2045"/>
      <c r="D2" s="2045"/>
      <c r="E2" s="2045"/>
      <c r="F2" s="2045"/>
      <c r="G2" s="2045"/>
    </row>
    <row r="3" spans="1:12" ht="19.5" customHeight="1" x14ac:dyDescent="0.25">
      <c r="G3" s="1157" t="s">
        <v>6</v>
      </c>
    </row>
    <row r="4" spans="1:12" s="1011" customFormat="1" ht="15.75" customHeight="1" x14ac:dyDescent="0.25">
      <c r="A4" s="1963" t="s">
        <v>0</v>
      </c>
      <c r="B4" s="1963" t="s">
        <v>1</v>
      </c>
      <c r="C4" s="1963" t="s">
        <v>219</v>
      </c>
      <c r="D4" s="1963" t="s">
        <v>1255</v>
      </c>
      <c r="E4" s="1989" t="s">
        <v>512</v>
      </c>
      <c r="F4" s="1963" t="s">
        <v>33</v>
      </c>
      <c r="G4" s="1963"/>
    </row>
    <row r="5" spans="1:12" s="1011" customFormat="1" ht="37.5" customHeight="1" x14ac:dyDescent="0.25">
      <c r="A5" s="1963"/>
      <c r="B5" s="1963"/>
      <c r="C5" s="1963"/>
      <c r="D5" s="1963"/>
      <c r="E5" s="1990"/>
      <c r="F5" s="1024" t="s">
        <v>34</v>
      </c>
      <c r="G5" s="1024" t="s">
        <v>35</v>
      </c>
    </row>
    <row r="6" spans="1:12" s="1011" customFormat="1" ht="15" x14ac:dyDescent="0.25">
      <c r="A6" s="1024" t="s">
        <v>2</v>
      </c>
      <c r="B6" s="1024" t="s">
        <v>3</v>
      </c>
      <c r="C6" s="1024">
        <v>1</v>
      </c>
      <c r="D6" s="1024">
        <v>2</v>
      </c>
      <c r="E6" s="1024"/>
      <c r="F6" s="1024" t="s">
        <v>36</v>
      </c>
      <c r="G6" s="1024" t="s">
        <v>37</v>
      </c>
    </row>
    <row r="7" spans="1:12" s="1011" customFormat="1" ht="22.5" customHeight="1" x14ac:dyDescent="0.25">
      <c r="A7" s="1066"/>
      <c r="B7" s="1067" t="s">
        <v>39</v>
      </c>
      <c r="C7" s="1068">
        <f>C8+C9</f>
        <v>4885577</v>
      </c>
      <c r="D7" s="1068">
        <f>D8+D9+D45</f>
        <v>5254099</v>
      </c>
      <c r="E7" s="1068"/>
      <c r="F7" s="1068">
        <f>F8+F9</f>
        <v>-282158</v>
      </c>
      <c r="G7" s="1068">
        <f>D7/C7*100</f>
        <v>107.54305990878868</v>
      </c>
      <c r="H7" s="782">
        <v>2738131</v>
      </c>
      <c r="I7" s="791">
        <f>'Biểu 19'!D17</f>
        <v>5254099</v>
      </c>
      <c r="J7" s="791">
        <f>I7-D7</f>
        <v>0</v>
      </c>
      <c r="L7" s="1011">
        <f>488-220</f>
        <v>268</v>
      </c>
    </row>
    <row r="8" spans="1:12" s="1158" customFormat="1" ht="18.75" customHeight="1" x14ac:dyDescent="0.2">
      <c r="A8" s="414" t="s">
        <v>2</v>
      </c>
      <c r="B8" s="402" t="s">
        <v>1235</v>
      </c>
      <c r="C8" s="1070">
        <f>'03N Biểu 09'!C18</f>
        <v>2147492</v>
      </c>
      <c r="D8" s="1070">
        <f>C8+2553+458+2560+66+3006+3667+3667+2030+1573+29594+17966+336+1796+1655+3525+268+29+8810+29+5600+7+720+405+4500+14+1400-137+72+56</f>
        <v>2243717</v>
      </c>
      <c r="E8" s="1070"/>
      <c r="F8" s="1070">
        <f>D8-C8</f>
        <v>96225</v>
      </c>
      <c r="G8" s="1070">
        <f t="shared" ref="G8:G43" si="0">D8/C8*100</f>
        <v>104.48080831034528</v>
      </c>
      <c r="H8" s="782">
        <f>D8-C8</f>
        <v>96225</v>
      </c>
      <c r="L8" s="782">
        <f>L7+D10</f>
        <v>1073856</v>
      </c>
    </row>
    <row r="9" spans="1:12" s="1011" customFormat="1" ht="31.5" customHeight="1" x14ac:dyDescent="0.25">
      <c r="A9" s="414" t="s">
        <v>3</v>
      </c>
      <c r="B9" s="402" t="s">
        <v>410</v>
      </c>
      <c r="C9" s="1070">
        <f>C10+C27+C42+C43+C41+C44</f>
        <v>2738085</v>
      </c>
      <c r="D9" s="1070">
        <f>D10+D27+D42+D43+D41</f>
        <v>2359702</v>
      </c>
      <c r="E9" s="1070">
        <f>E10+E27+E42+E43+E41</f>
        <v>363678</v>
      </c>
      <c r="F9" s="1070">
        <f t="shared" ref="F9:F44" si="1">D9-C9</f>
        <v>-378383</v>
      </c>
      <c r="G9" s="1070">
        <f t="shared" si="0"/>
        <v>86.180743110604681</v>
      </c>
      <c r="H9" s="782">
        <v>2738085</v>
      </c>
      <c r="I9" s="791">
        <f>H9-C9</f>
        <v>0</v>
      </c>
      <c r="J9" s="791">
        <f>D7-D45</f>
        <v>4603419</v>
      </c>
    </row>
    <row r="10" spans="1:12" s="1011" customFormat="1" ht="15" x14ac:dyDescent="0.25">
      <c r="A10" s="414" t="s">
        <v>9</v>
      </c>
      <c r="B10" s="402" t="s">
        <v>326</v>
      </c>
      <c r="C10" s="1070">
        <f>C11+C25</f>
        <v>1471125</v>
      </c>
      <c r="D10" s="1070">
        <f>D11+D25</f>
        <v>1073588</v>
      </c>
      <c r="E10" s="1070">
        <f t="shared" ref="E10" si="2">E11+E25</f>
        <v>361878</v>
      </c>
      <c r="F10" s="1070">
        <f t="shared" si="1"/>
        <v>-397537</v>
      </c>
      <c r="G10" s="1070">
        <f t="shared" si="0"/>
        <v>72.977347268247101</v>
      </c>
      <c r="H10" s="1070">
        <f>360746+1142579</f>
        <v>1503325</v>
      </c>
      <c r="I10" s="791">
        <f>'Biểu 22'!D30+'Biểu 22'!D56</f>
        <v>169253</v>
      </c>
    </row>
    <row r="11" spans="1:12" s="1011" customFormat="1" ht="15" x14ac:dyDescent="0.25">
      <c r="A11" s="1016">
        <v>1</v>
      </c>
      <c r="B11" s="415" t="s">
        <v>74</v>
      </c>
      <c r="C11" s="1071">
        <f>SUM(C12:C24)</f>
        <v>1463125</v>
      </c>
      <c r="D11" s="1071">
        <f>SUM(D12:D24)</f>
        <v>1066588</v>
      </c>
      <c r="E11" s="1071">
        <f>SUM(E12:E24)</f>
        <v>361878</v>
      </c>
      <c r="F11" s="1071">
        <f t="shared" si="1"/>
        <v>-396537</v>
      </c>
      <c r="G11" s="1071">
        <f t="shared" si="0"/>
        <v>72.897941050832983</v>
      </c>
      <c r="H11" s="791"/>
      <c r="I11" s="791">
        <f>I10-I9</f>
        <v>169253</v>
      </c>
    </row>
    <row r="12" spans="1:12" s="1011" customFormat="1" ht="15" x14ac:dyDescent="0.25">
      <c r="A12" s="1016" t="s">
        <v>23</v>
      </c>
      <c r="B12" s="415" t="s">
        <v>28</v>
      </c>
      <c r="C12" s="1159">
        <f>44050+8000</f>
        <v>52050</v>
      </c>
      <c r="D12" s="1071">
        <f>'Biểu 25'!D7</f>
        <v>84719</v>
      </c>
      <c r="E12" s="1071">
        <f>'Biểu 03'!I24</f>
        <v>44050</v>
      </c>
      <c r="F12" s="1071">
        <f t="shared" si="1"/>
        <v>32669</v>
      </c>
      <c r="G12" s="1071">
        <f t="shared" si="0"/>
        <v>162.76464937560038</v>
      </c>
      <c r="I12" s="791">
        <f>I10-I11</f>
        <v>0</v>
      </c>
    </row>
    <row r="13" spans="1:12" s="1011" customFormat="1" ht="15" x14ac:dyDescent="0.25">
      <c r="A13" s="1016" t="s">
        <v>23</v>
      </c>
      <c r="B13" s="415" t="s">
        <v>29</v>
      </c>
      <c r="C13" s="1159">
        <f>7000</f>
        <v>7000</v>
      </c>
      <c r="D13" s="1071">
        <f>'Biểu 25'!E7</f>
        <v>8132</v>
      </c>
      <c r="E13" s="1071">
        <f>'Biểu 03'!I25</f>
        <v>8132</v>
      </c>
      <c r="F13" s="1071">
        <f t="shared" si="1"/>
        <v>1132</v>
      </c>
      <c r="G13" s="1071">
        <f t="shared" si="0"/>
        <v>116.17142857142856</v>
      </c>
      <c r="H13" s="791"/>
    </row>
    <row r="14" spans="1:12" s="1011" customFormat="1" ht="15" x14ac:dyDescent="0.25">
      <c r="A14" s="1016" t="s">
        <v>23</v>
      </c>
      <c r="B14" s="415" t="s">
        <v>75</v>
      </c>
      <c r="C14" s="1159">
        <f>6816+20650</f>
        <v>27466</v>
      </c>
      <c r="D14" s="1071">
        <f>'Biểu 25'!F7</f>
        <v>24047</v>
      </c>
      <c r="E14" s="1071">
        <f>'Biểu 03'!I26</f>
        <v>6816</v>
      </c>
      <c r="F14" s="1071">
        <f t="shared" si="1"/>
        <v>-3419</v>
      </c>
      <c r="G14" s="1071">
        <f t="shared" si="0"/>
        <v>87.551882327240946</v>
      </c>
      <c r="H14" s="791"/>
      <c r="I14" s="791">
        <f>C10-'Biểu 22'!D8</f>
        <v>16772</v>
      </c>
    </row>
    <row r="15" spans="1:12" s="1011" customFormat="1" ht="15" hidden="1" x14ac:dyDescent="0.25">
      <c r="A15" s="1016" t="s">
        <v>23</v>
      </c>
      <c r="B15" s="415" t="s">
        <v>76</v>
      </c>
      <c r="C15" s="1159"/>
      <c r="D15" s="1071">
        <f t="shared" ref="D15:D19" si="3">E15</f>
        <v>0</v>
      </c>
      <c r="E15" s="1071">
        <f>'Biểu 03'!I27</f>
        <v>0</v>
      </c>
      <c r="F15" s="1071">
        <f t="shared" si="1"/>
        <v>0</v>
      </c>
      <c r="G15" s="1071"/>
    </row>
    <row r="16" spans="1:12" s="1011" customFormat="1" ht="15" x14ac:dyDescent="0.25">
      <c r="A16" s="1016" t="s">
        <v>23</v>
      </c>
      <c r="B16" s="415" t="s">
        <v>77</v>
      </c>
      <c r="C16" s="1159">
        <f>14141</f>
        <v>14141</v>
      </c>
      <c r="D16" s="1071">
        <f>'Biểu 25'!G7</f>
        <v>18831</v>
      </c>
      <c r="E16" s="1071">
        <f>'Biểu 03'!I28</f>
        <v>14141</v>
      </c>
      <c r="F16" s="1071">
        <f t="shared" si="1"/>
        <v>4690</v>
      </c>
      <c r="G16" s="1071">
        <f t="shared" si="0"/>
        <v>133.16597128915919</v>
      </c>
      <c r="I16" s="791"/>
    </row>
    <row r="17" spans="1:9" s="1011" customFormat="1" ht="15" x14ac:dyDescent="0.25">
      <c r="A17" s="1016" t="s">
        <v>23</v>
      </c>
      <c r="B17" s="415" t="s">
        <v>78</v>
      </c>
      <c r="C17" s="1159">
        <f>2700</f>
        <v>2700</v>
      </c>
      <c r="D17" s="1071">
        <f>'Biểu 25'!H7</f>
        <v>3253</v>
      </c>
      <c r="E17" s="1071">
        <f>'Biểu 03'!I29</f>
        <v>2700</v>
      </c>
      <c r="F17" s="1071">
        <f t="shared" si="1"/>
        <v>553</v>
      </c>
      <c r="G17" s="1071">
        <f t="shared" si="0"/>
        <v>120.48148148148148</v>
      </c>
    </row>
    <row r="18" spans="1:9" s="1011" customFormat="1" ht="15" x14ac:dyDescent="0.25">
      <c r="A18" s="1016" t="s">
        <v>23</v>
      </c>
      <c r="B18" s="415" t="s">
        <v>79</v>
      </c>
      <c r="C18" s="1159">
        <f>174</f>
        <v>174</v>
      </c>
      <c r="D18" s="1071">
        <f>'Biểu 25'!I7</f>
        <v>228</v>
      </c>
      <c r="E18" s="1071">
        <f>'Biểu 03'!I30</f>
        <v>174</v>
      </c>
      <c r="F18" s="1071">
        <f t="shared" si="1"/>
        <v>54</v>
      </c>
      <c r="G18" s="1071">
        <f t="shared" si="0"/>
        <v>131.0344827586207</v>
      </c>
      <c r="I18" s="791"/>
    </row>
    <row r="19" spans="1:9" s="1011" customFormat="1" ht="15" hidden="1" x14ac:dyDescent="0.25">
      <c r="A19" s="1016" t="s">
        <v>23</v>
      </c>
      <c r="B19" s="415" t="s">
        <v>80</v>
      </c>
      <c r="C19" s="1159"/>
      <c r="D19" s="1071">
        <f t="shared" si="3"/>
        <v>0</v>
      </c>
      <c r="E19" s="1071">
        <f>'Biểu 03'!I31</f>
        <v>0</v>
      </c>
      <c r="F19" s="1071">
        <f t="shared" si="1"/>
        <v>0</v>
      </c>
      <c r="G19" s="1071"/>
    </row>
    <row r="20" spans="1:9" s="1011" customFormat="1" ht="15" x14ac:dyDescent="0.25">
      <c r="A20" s="1016" t="s">
        <v>23</v>
      </c>
      <c r="B20" s="415" t="s">
        <v>81</v>
      </c>
      <c r="C20" s="1159">
        <f>6622+940</f>
        <v>7562</v>
      </c>
      <c r="D20" s="1071">
        <f>'Biểu 25'!K7</f>
        <v>7144</v>
      </c>
      <c r="E20" s="1071">
        <f>'Biểu 03'!I32</f>
        <v>6622</v>
      </c>
      <c r="F20" s="1071">
        <f t="shared" si="1"/>
        <v>-418</v>
      </c>
      <c r="G20" s="1071">
        <f t="shared" si="0"/>
        <v>94.472361809045225</v>
      </c>
      <c r="I20" s="791"/>
    </row>
    <row r="21" spans="1:9" s="1011" customFormat="1" ht="18.75" customHeight="1" x14ac:dyDescent="0.25">
      <c r="A21" s="1016" t="s">
        <v>23</v>
      </c>
      <c r="B21" s="415" t="s">
        <v>82</v>
      </c>
      <c r="C21" s="1159">
        <f>233167-8000+(821860-30698)+288523</f>
        <v>1304852</v>
      </c>
      <c r="D21" s="1071">
        <f>'Biểu 25'!L7</f>
        <v>861946</v>
      </c>
      <c r="E21" s="1071">
        <f>'Biểu 03'!I33</f>
        <v>233167</v>
      </c>
      <c r="F21" s="1071">
        <f t="shared" si="1"/>
        <v>-442906</v>
      </c>
      <c r="G21" s="1071">
        <f t="shared" si="0"/>
        <v>66.056993436803552</v>
      </c>
    </row>
    <row r="22" spans="1:9" s="1011" customFormat="1" ht="28.5" customHeight="1" x14ac:dyDescent="0.25">
      <c r="A22" s="1016" t="s">
        <v>23</v>
      </c>
      <c r="B22" s="415" t="s">
        <v>83</v>
      </c>
      <c r="C22" s="1159">
        <f>36576+1104</f>
        <v>37680</v>
      </c>
      <c r="D22" s="1071">
        <f>'Biểu 25'!P7</f>
        <v>45258</v>
      </c>
      <c r="E22" s="1071">
        <f>'Biểu 03'!I34</f>
        <v>36576</v>
      </c>
      <c r="F22" s="1071">
        <f t="shared" si="1"/>
        <v>7578</v>
      </c>
      <c r="G22" s="1071">
        <f t="shared" si="0"/>
        <v>120.11146496815286</v>
      </c>
    </row>
    <row r="23" spans="1:9" s="1011" customFormat="1" ht="20.25" customHeight="1" x14ac:dyDescent="0.25">
      <c r="A23" s="1016" t="s">
        <v>23</v>
      </c>
      <c r="B23" s="415" t="s">
        <v>84</v>
      </c>
      <c r="C23" s="1159">
        <f>4000</f>
        <v>4000</v>
      </c>
      <c r="D23" s="1071">
        <f>'Biểu 25'!J7</f>
        <v>7530</v>
      </c>
      <c r="E23" s="1071">
        <f>'Biểu 03'!I35</f>
        <v>4000</v>
      </c>
      <c r="F23" s="1071">
        <f t="shared" si="1"/>
        <v>3530</v>
      </c>
      <c r="G23" s="1071"/>
      <c r="I23" s="791"/>
    </row>
    <row r="24" spans="1:9" s="1011" customFormat="1" ht="16.5" customHeight="1" x14ac:dyDescent="0.25">
      <c r="A24" s="1016" t="s">
        <v>23</v>
      </c>
      <c r="B24" s="415" t="s">
        <v>85</v>
      </c>
      <c r="C24" s="1159">
        <f>5500</f>
        <v>5500</v>
      </c>
      <c r="D24" s="1071">
        <f>'Biểu 25'!Q7-7000</f>
        <v>5500</v>
      </c>
      <c r="E24" s="1071">
        <f>'Biểu 03'!I36</f>
        <v>5500</v>
      </c>
      <c r="F24" s="1071">
        <f t="shared" si="1"/>
        <v>0</v>
      </c>
      <c r="G24" s="1071">
        <f t="shared" si="0"/>
        <v>100</v>
      </c>
      <c r="I24" s="791"/>
    </row>
    <row r="25" spans="1:9" s="1011" customFormat="1" ht="60" x14ac:dyDescent="0.25">
      <c r="A25" s="1016">
        <v>2</v>
      </c>
      <c r="B25" s="415" t="s">
        <v>25</v>
      </c>
      <c r="C25" s="1071">
        <f>8000</f>
        <v>8000</v>
      </c>
      <c r="D25" s="1071">
        <v>7000</v>
      </c>
      <c r="E25" s="1071"/>
      <c r="F25" s="1071">
        <f t="shared" si="1"/>
        <v>-1000</v>
      </c>
      <c r="G25" s="1071">
        <f t="shared" si="0"/>
        <v>87.5</v>
      </c>
    </row>
    <row r="26" spans="1:9" s="1011" customFormat="1" ht="15" hidden="1" x14ac:dyDescent="0.25">
      <c r="A26" s="1016">
        <v>3</v>
      </c>
      <c r="B26" s="415" t="s">
        <v>47</v>
      </c>
      <c r="C26" s="1071"/>
      <c r="D26" s="1071"/>
      <c r="E26" s="1071"/>
      <c r="F26" s="1071">
        <f t="shared" si="1"/>
        <v>0</v>
      </c>
      <c r="G26" s="1071"/>
    </row>
    <row r="27" spans="1:9" s="1011" customFormat="1" ht="22.5" customHeight="1" x14ac:dyDescent="0.25">
      <c r="A27" s="414" t="s">
        <v>11</v>
      </c>
      <c r="B27" s="402" t="s">
        <v>19</v>
      </c>
      <c r="C27" s="1070">
        <f>SUM(C28:C40)</f>
        <v>1226307</v>
      </c>
      <c r="D27" s="1070">
        <f>SUM(D28:D40)</f>
        <v>1284616</v>
      </c>
      <c r="E27" s="1070"/>
      <c r="F27" s="1070">
        <f t="shared" si="1"/>
        <v>58309</v>
      </c>
      <c r="G27" s="1070">
        <f t="shared" si="0"/>
        <v>104.75484523859033</v>
      </c>
      <c r="H27" s="791">
        <f>994238+62619-3903</f>
        <v>1052954</v>
      </c>
    </row>
    <row r="28" spans="1:9" s="1011" customFormat="1" ht="15" x14ac:dyDescent="0.25">
      <c r="A28" s="1016" t="s">
        <v>23</v>
      </c>
      <c r="B28" s="415" t="s">
        <v>28</v>
      </c>
      <c r="C28" s="1071">
        <f>214957+7088+15558+13287-3</f>
        <v>250887</v>
      </c>
      <c r="D28" s="1071">
        <f>'Biểu 26'!H7</f>
        <v>238591</v>
      </c>
      <c r="E28" s="1071"/>
      <c r="F28" s="1071">
        <f>D28-C28</f>
        <v>-12296</v>
      </c>
      <c r="G28" s="1071">
        <f t="shared" si="0"/>
        <v>95.098988787780954</v>
      </c>
    </row>
    <row r="29" spans="1:9" s="1011" customFormat="1" ht="15" x14ac:dyDescent="0.25">
      <c r="A29" s="1016" t="s">
        <v>23</v>
      </c>
      <c r="B29" s="415" t="s">
        <v>245</v>
      </c>
      <c r="C29" s="1071">
        <f>500+11627</f>
        <v>12127</v>
      </c>
      <c r="D29" s="1071">
        <f>'Biểu 26'!I7</f>
        <v>11657</v>
      </c>
      <c r="E29" s="1071"/>
      <c r="F29" s="1071">
        <f t="shared" si="1"/>
        <v>-470</v>
      </c>
      <c r="G29" s="1071">
        <f t="shared" si="0"/>
        <v>96.124350622577708</v>
      </c>
      <c r="H29" s="791">
        <f>D9+D45</f>
        <v>3010382</v>
      </c>
    </row>
    <row r="30" spans="1:9" s="1011" customFormat="1" ht="15" x14ac:dyDescent="0.25">
      <c r="A30" s="1016" t="s">
        <v>23</v>
      </c>
      <c r="B30" s="415" t="s">
        <v>75</v>
      </c>
      <c r="C30" s="1071">
        <v>16558</v>
      </c>
      <c r="D30" s="1071">
        <f>'Biểu 26'!J7</f>
        <v>22716</v>
      </c>
      <c r="E30" s="1071"/>
      <c r="F30" s="1071">
        <f t="shared" si="1"/>
        <v>6158</v>
      </c>
      <c r="G30" s="1071">
        <f t="shared" si="0"/>
        <v>137.19048194226355</v>
      </c>
      <c r="H30" s="791">
        <f>'Biểu 22'!G7</f>
        <v>3010382</v>
      </c>
    </row>
    <row r="31" spans="1:9" s="1011" customFormat="1" ht="15" x14ac:dyDescent="0.25">
      <c r="A31" s="1016" t="s">
        <v>23</v>
      </c>
      <c r="B31" s="415" t="s">
        <v>76</v>
      </c>
      <c r="C31" s="1071">
        <f>9486+4117+80</f>
        <v>13683</v>
      </c>
      <c r="D31" s="1071">
        <f>'Biểu 26'!K7</f>
        <v>15233</v>
      </c>
      <c r="E31" s="1071"/>
      <c r="F31" s="1071">
        <f t="shared" si="1"/>
        <v>1550</v>
      </c>
      <c r="G31" s="1071">
        <f t="shared" si="0"/>
        <v>111.32792516261054</v>
      </c>
    </row>
    <row r="32" spans="1:9" s="1011" customFormat="1" ht="15" x14ac:dyDescent="0.25">
      <c r="A32" s="1016" t="s">
        <v>23</v>
      </c>
      <c r="B32" s="415" t="s">
        <v>77</v>
      </c>
      <c r="C32" s="1071">
        <f>6000+312171+59383+400+21800</f>
        <v>399754</v>
      </c>
      <c r="D32" s="1071">
        <f>'Biểu 26'!L7</f>
        <v>434960</v>
      </c>
      <c r="E32" s="1071"/>
      <c r="F32" s="1071">
        <f t="shared" si="1"/>
        <v>35206</v>
      </c>
      <c r="G32" s="1071">
        <f t="shared" si="0"/>
        <v>108.8069162534959</v>
      </c>
    </row>
    <row r="33" spans="1:7" s="1011" customFormat="1" ht="15" x14ac:dyDescent="0.25">
      <c r="A33" s="1016" t="s">
        <v>23</v>
      </c>
      <c r="B33" s="415" t="s">
        <v>78</v>
      </c>
      <c r="C33" s="1071">
        <f>19913+2383+1520</f>
        <v>23816</v>
      </c>
      <c r="D33" s="1071">
        <f>'Biểu 26'!M7</f>
        <v>23379</v>
      </c>
      <c r="E33" s="1071"/>
      <c r="F33" s="1071">
        <f t="shared" si="1"/>
        <v>-437</v>
      </c>
      <c r="G33" s="1071">
        <f t="shared" si="0"/>
        <v>98.165099093046692</v>
      </c>
    </row>
    <row r="34" spans="1:7" s="1011" customFormat="1" ht="15" x14ac:dyDescent="0.25">
      <c r="A34" s="1016" t="s">
        <v>23</v>
      </c>
      <c r="B34" s="415" t="s">
        <v>79</v>
      </c>
      <c r="C34" s="1071">
        <v>16496</v>
      </c>
      <c r="D34" s="1071">
        <f>'Biểu 26'!N7</f>
        <v>16563</v>
      </c>
      <c r="E34" s="1071"/>
      <c r="F34" s="1071">
        <f t="shared" si="1"/>
        <v>67</v>
      </c>
      <c r="G34" s="1071">
        <f t="shared" si="0"/>
        <v>100.40615906886518</v>
      </c>
    </row>
    <row r="35" spans="1:7" s="1011" customFormat="1" ht="15" x14ac:dyDescent="0.25">
      <c r="A35" s="1016" t="s">
        <v>23</v>
      </c>
      <c r="B35" s="415" t="s">
        <v>80</v>
      </c>
      <c r="C35" s="1071">
        <v>6100</v>
      </c>
      <c r="D35" s="1071">
        <f>'Biểu 26'!O7</f>
        <v>6164</v>
      </c>
      <c r="E35" s="1071"/>
      <c r="F35" s="1071">
        <f t="shared" si="1"/>
        <v>64</v>
      </c>
      <c r="G35" s="1071">
        <f t="shared" si="0"/>
        <v>101.04918032786885</v>
      </c>
    </row>
    <row r="36" spans="1:7" s="1011" customFormat="1" ht="15" x14ac:dyDescent="0.25">
      <c r="A36" s="1016" t="s">
        <v>23</v>
      </c>
      <c r="B36" s="415" t="s">
        <v>81</v>
      </c>
      <c r="C36" s="1071">
        <v>16914</v>
      </c>
      <c r="D36" s="1071">
        <f>'Biểu 26'!P7</f>
        <v>16867</v>
      </c>
      <c r="E36" s="1071"/>
      <c r="F36" s="1071">
        <f t="shared" si="1"/>
        <v>-47</v>
      </c>
      <c r="G36" s="1071">
        <f t="shared" si="0"/>
        <v>99.722123684521705</v>
      </c>
    </row>
    <row r="37" spans="1:7" s="1011" customFormat="1" ht="15" x14ac:dyDescent="0.25">
      <c r="A37" s="1016" t="s">
        <v>23</v>
      </c>
      <c r="B37" s="415" t="s">
        <v>82</v>
      </c>
      <c r="C37" s="1071">
        <f>116693+34400+6327+1610+5580</f>
        <v>164610</v>
      </c>
      <c r="D37" s="1071">
        <f>'Biểu 26'!Q7</f>
        <v>177303</v>
      </c>
      <c r="E37" s="1071"/>
      <c r="F37" s="1071">
        <f t="shared" si="1"/>
        <v>12693</v>
      </c>
      <c r="G37" s="1071">
        <f t="shared" si="0"/>
        <v>107.71095316201934</v>
      </c>
    </row>
    <row r="38" spans="1:7" s="1011" customFormat="1" ht="30" x14ac:dyDescent="0.25">
      <c r="A38" s="1016" t="s">
        <v>23</v>
      </c>
      <c r="B38" s="415" t="s">
        <v>83</v>
      </c>
      <c r="C38" s="1071">
        <f>246963+6828+17564+997</f>
        <v>272352</v>
      </c>
      <c r="D38" s="1071">
        <f>'Biểu 26'!T7</f>
        <v>292562</v>
      </c>
      <c r="E38" s="1071"/>
      <c r="F38" s="1071">
        <f t="shared" si="1"/>
        <v>20210</v>
      </c>
      <c r="G38" s="1071">
        <f t="shared" si="0"/>
        <v>107.42054400187993</v>
      </c>
    </row>
    <row r="39" spans="1:7" s="1011" customFormat="1" ht="15" x14ac:dyDescent="0.25">
      <c r="A39" s="1016" t="s">
        <v>23</v>
      </c>
      <c r="B39" s="415" t="s">
        <v>84</v>
      </c>
      <c r="C39" s="1071">
        <f>417+8725+21833</f>
        <v>30975</v>
      </c>
      <c r="D39" s="1071">
        <f>'Biểu 26'!U7</f>
        <v>27514</v>
      </c>
      <c r="E39" s="1071"/>
      <c r="F39" s="1071">
        <f t="shared" si="1"/>
        <v>-3461</v>
      </c>
      <c r="G39" s="1071">
        <f t="shared" si="0"/>
        <v>88.826472962066177</v>
      </c>
    </row>
    <row r="40" spans="1:7" s="1011" customFormat="1" ht="15" x14ac:dyDescent="0.25">
      <c r="A40" s="1016" t="s">
        <v>23</v>
      </c>
      <c r="B40" s="415" t="s">
        <v>86</v>
      </c>
      <c r="C40" s="1071">
        <f>1035+1000</f>
        <v>2035</v>
      </c>
      <c r="D40" s="1071">
        <f>'Biểu 26'!V7</f>
        <v>1107</v>
      </c>
      <c r="E40" s="1071"/>
      <c r="F40" s="1071">
        <f t="shared" si="1"/>
        <v>-928</v>
      </c>
      <c r="G40" s="1071"/>
    </row>
    <row r="41" spans="1:7" s="1011" customFormat="1" ht="32.25" customHeight="1" x14ac:dyDescent="0.25">
      <c r="A41" s="414" t="s">
        <v>14</v>
      </c>
      <c r="B41" s="402" t="s">
        <v>51</v>
      </c>
      <c r="C41" s="1070">
        <v>548</v>
      </c>
      <c r="D41" s="1070">
        <f>C41-50</f>
        <v>498</v>
      </c>
      <c r="E41" s="1070">
        <v>1800</v>
      </c>
      <c r="F41" s="1070"/>
      <c r="G41" s="1070"/>
    </row>
    <row r="42" spans="1:7" s="1011" customFormat="1" ht="15" x14ac:dyDescent="0.25">
      <c r="A42" s="414" t="s">
        <v>15</v>
      </c>
      <c r="B42" s="402" t="s">
        <v>1181</v>
      </c>
      <c r="C42" s="1070">
        <v>1000</v>
      </c>
      <c r="D42" s="1070">
        <v>1000</v>
      </c>
      <c r="E42" s="1070"/>
      <c r="F42" s="1070">
        <f t="shared" si="1"/>
        <v>0</v>
      </c>
      <c r="G42" s="1070">
        <f t="shared" si="0"/>
        <v>100</v>
      </c>
    </row>
    <row r="43" spans="1:7" s="1011" customFormat="1" ht="19.5" customHeight="1" x14ac:dyDescent="0.25">
      <c r="A43" s="414" t="s">
        <v>17</v>
      </c>
      <c r="B43" s="402" t="s">
        <v>21</v>
      </c>
      <c r="C43" s="1070">
        <v>35202</v>
      </c>
      <c r="D43" s="1071"/>
      <c r="E43" s="1071"/>
      <c r="F43" s="1070">
        <f t="shared" si="1"/>
        <v>-35202</v>
      </c>
      <c r="G43" s="1070">
        <f t="shared" si="0"/>
        <v>0</v>
      </c>
    </row>
    <row r="44" spans="1:7" s="1011" customFormat="1" ht="14.25" customHeight="1" x14ac:dyDescent="0.25">
      <c r="A44" s="414" t="s">
        <v>48</v>
      </c>
      <c r="B44" s="402" t="s">
        <v>40</v>
      </c>
      <c r="C44" s="1070">
        <v>3903</v>
      </c>
      <c r="D44" s="1071"/>
      <c r="E44" s="1071"/>
      <c r="F44" s="1070">
        <f t="shared" si="1"/>
        <v>-3903</v>
      </c>
      <c r="G44" s="1071"/>
    </row>
    <row r="45" spans="1:7" s="1011" customFormat="1" ht="19.5" customHeight="1" x14ac:dyDescent="0.25">
      <c r="A45" s="1017" t="s">
        <v>4</v>
      </c>
      <c r="B45" s="1018" t="s">
        <v>50</v>
      </c>
      <c r="C45" s="1160"/>
      <c r="D45" s="1075">
        <f>'Biểu 19'!D23</f>
        <v>650680</v>
      </c>
      <c r="E45" s="1160"/>
      <c r="F45" s="1160"/>
      <c r="G45" s="1160"/>
    </row>
    <row r="46" spans="1:7" s="1011" customFormat="1" ht="18.75" customHeight="1" x14ac:dyDescent="0.25">
      <c r="A46" s="1128"/>
    </row>
    <row r="47" spans="1:7" s="1011" customFormat="1" ht="15" x14ac:dyDescent="0.25">
      <c r="A47" s="2047"/>
      <c r="B47" s="2047"/>
      <c r="C47" s="2047"/>
      <c r="D47" s="2047"/>
      <c r="E47" s="2047"/>
      <c r="F47" s="2047"/>
      <c r="G47" s="2047"/>
    </row>
    <row r="48" spans="1:7" s="1011" customFormat="1" ht="15" x14ac:dyDescent="0.25">
      <c r="A48" s="1988"/>
      <c r="B48" s="1988"/>
      <c r="C48" s="1988"/>
      <c r="D48" s="1988"/>
      <c r="E48" s="1988"/>
      <c r="F48" s="1988"/>
      <c r="G48" s="1988"/>
    </row>
  </sheetData>
  <mergeCells count="10">
    <mergeCell ref="A47:G47"/>
    <mergeCell ref="A48:G48"/>
    <mergeCell ref="A1:G1"/>
    <mergeCell ref="A2:G2"/>
    <mergeCell ref="A4:A5"/>
    <mergeCell ref="B4:B5"/>
    <mergeCell ref="C4:C5"/>
    <mergeCell ref="D4:D5"/>
    <mergeCell ref="F4:G4"/>
    <mergeCell ref="E4:E5"/>
  </mergeCells>
  <pageMargins left="0.91" right="0.2" top="0.67" bottom="0.89" header="0.43" footer="0.65"/>
  <pageSetup paperSize="9" firstPageNumber="95" orientation="portrait" useFirstPageNumber="1" r:id="rId1"/>
  <headerFooter>
    <oddHeader>&amp;RBiểu mẫu số 23</oddHeader>
    <oddFooter>&amp;C&amp;P</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37"/>
  <sheetViews>
    <sheetView topLeftCell="A18" workbookViewId="0">
      <selection activeCell="I9" sqref="I9"/>
    </sheetView>
  </sheetViews>
  <sheetFormatPr defaultRowHeight="32.25" customHeight="1" x14ac:dyDescent="0.25"/>
  <cols>
    <col min="1" max="1" width="5.125" style="420" customWidth="1"/>
    <col min="2" max="2" width="39.875" style="420" customWidth="1"/>
    <col min="3" max="3" width="8.5" style="420" customWidth="1"/>
    <col min="4" max="4" width="8.75" style="420" customWidth="1"/>
    <col min="5" max="5" width="6.75" style="420" customWidth="1"/>
    <col min="6" max="7" width="8.875" style="420" customWidth="1"/>
    <col min="8" max="16384" width="9" style="420"/>
  </cols>
  <sheetData>
    <row r="1" spans="1:7" ht="28.5" customHeight="1" x14ac:dyDescent="0.25">
      <c r="A1" s="1944" t="s">
        <v>1376</v>
      </c>
      <c r="B1" s="1944"/>
      <c r="C1" s="1944"/>
      <c r="D1" s="1944"/>
      <c r="E1" s="1944"/>
      <c r="F1" s="1944"/>
      <c r="G1" s="1944"/>
    </row>
    <row r="2" spans="1:7" ht="24" customHeight="1" x14ac:dyDescent="0.25">
      <c r="A2" s="1945" t="str">
        <f>'03N Biểu 07'!A2:I2</f>
        <v>(Kèm theo Báo cáo số               /BC-UBND ngày       tháng 11 năm 2018 của UBND tỉnh Bắc Kạn)</v>
      </c>
      <c r="B2" s="1945"/>
      <c r="C2" s="1945"/>
      <c r="D2" s="1945"/>
      <c r="E2" s="1945"/>
      <c r="F2" s="1945"/>
      <c r="G2" s="1945"/>
    </row>
    <row r="3" spans="1:7" ht="21.75" customHeight="1" x14ac:dyDescent="0.25">
      <c r="A3" s="1207"/>
      <c r="F3" s="1207" t="s">
        <v>6</v>
      </c>
    </row>
    <row r="4" spans="1:7" ht="64.5" customHeight="1" x14ac:dyDescent="0.25">
      <c r="A4" s="1195" t="s">
        <v>0</v>
      </c>
      <c r="B4" s="1195" t="s">
        <v>1</v>
      </c>
      <c r="C4" s="1195" t="s">
        <v>1255</v>
      </c>
      <c r="D4" s="1195" t="s">
        <v>1307</v>
      </c>
      <c r="E4" s="1195" t="s">
        <v>43</v>
      </c>
      <c r="F4" s="1195" t="s">
        <v>1320</v>
      </c>
      <c r="G4" s="1195" t="s">
        <v>1377</v>
      </c>
    </row>
    <row r="5" spans="1:7" ht="25.5" customHeight="1" x14ac:dyDescent="0.25">
      <c r="A5" s="1208" t="s">
        <v>2</v>
      </c>
      <c r="B5" s="1208" t="s">
        <v>3</v>
      </c>
      <c r="C5" s="1208">
        <v>1</v>
      </c>
      <c r="D5" s="1208">
        <v>2</v>
      </c>
      <c r="E5" s="1208" t="s">
        <v>352</v>
      </c>
      <c r="F5" s="1208">
        <v>4</v>
      </c>
      <c r="G5" s="1208">
        <v>5</v>
      </c>
    </row>
    <row r="6" spans="1:7" s="1213" customFormat="1" ht="32.25" customHeight="1" x14ac:dyDescent="0.2">
      <c r="A6" s="1209"/>
      <c r="B6" s="1210" t="s">
        <v>1321</v>
      </c>
      <c r="C6" s="1211">
        <f>C9+C26</f>
        <v>611466</v>
      </c>
      <c r="D6" s="1211">
        <f>D9+D26</f>
        <v>700000</v>
      </c>
      <c r="E6" s="1212">
        <f>D6/C6*100</f>
        <v>114.4789734833989</v>
      </c>
      <c r="F6" s="1211">
        <f>F9+F26</f>
        <v>798450</v>
      </c>
      <c r="G6" s="1211">
        <f>G9+G26</f>
        <v>905967.5</v>
      </c>
    </row>
    <row r="7" spans="1:7" ht="32.25" hidden="1" customHeight="1" x14ac:dyDescent="0.25">
      <c r="A7" s="1214"/>
      <c r="B7" s="1215" t="s">
        <v>1322</v>
      </c>
      <c r="C7" s="1216"/>
      <c r="D7" s="1216"/>
      <c r="E7" s="1217"/>
      <c r="F7" s="1216"/>
      <c r="G7" s="1216"/>
    </row>
    <row r="8" spans="1:7" ht="32.25" hidden="1" customHeight="1" x14ac:dyDescent="0.25">
      <c r="A8" s="1214"/>
      <c r="B8" s="1215" t="s">
        <v>1323</v>
      </c>
      <c r="C8" s="1216"/>
      <c r="D8" s="1216"/>
      <c r="E8" s="1217"/>
      <c r="F8" s="1216"/>
      <c r="G8" s="1216"/>
    </row>
    <row r="9" spans="1:7" s="1213" customFormat="1" ht="22.5" customHeight="1" x14ac:dyDescent="0.2">
      <c r="A9" s="1209" t="s">
        <v>9</v>
      </c>
      <c r="B9" s="1210" t="s">
        <v>1324</v>
      </c>
      <c r="C9" s="1211">
        <f>'Biểu 16'!C8</f>
        <v>609666</v>
      </c>
      <c r="D9" s="1211">
        <f>'Biểu số 48'!C9</f>
        <v>697000</v>
      </c>
      <c r="E9" s="1212">
        <f>D9/C9*100</f>
        <v>114.32489264613739</v>
      </c>
      <c r="F9" s="1211">
        <f>'3 năm Thuế gửi'!F9</f>
        <v>795000</v>
      </c>
      <c r="G9" s="1211">
        <f>'3 năm Thuế gửi'!I9</f>
        <v>902000</v>
      </c>
    </row>
    <row r="10" spans="1:7" ht="32.25" hidden="1" customHeight="1" x14ac:dyDescent="0.25">
      <c r="A10" s="1214"/>
      <c r="B10" s="1215" t="s">
        <v>1325</v>
      </c>
      <c r="C10" s="1216"/>
      <c r="D10" s="1216"/>
      <c r="E10" s="1217"/>
      <c r="F10" s="1216"/>
      <c r="G10" s="1216"/>
    </row>
    <row r="11" spans="1:7" ht="32.25" hidden="1" customHeight="1" x14ac:dyDescent="0.25">
      <c r="A11" s="1214"/>
      <c r="B11" s="1215" t="s">
        <v>1326</v>
      </c>
      <c r="C11" s="1216"/>
      <c r="D11" s="1216"/>
      <c r="E11" s="1217"/>
      <c r="F11" s="1216"/>
      <c r="G11" s="1216"/>
    </row>
    <row r="12" spans="1:7" ht="22.5" customHeight="1" x14ac:dyDescent="0.25">
      <c r="A12" s="1214"/>
      <c r="B12" s="1215" t="s">
        <v>5</v>
      </c>
      <c r="C12" s="1216"/>
      <c r="D12" s="1216"/>
      <c r="E12" s="1217"/>
      <c r="F12" s="1216"/>
      <c r="G12" s="1216"/>
    </row>
    <row r="13" spans="1:7" ht="32.25" customHeight="1" x14ac:dyDescent="0.25">
      <c r="A13" s="1214">
        <v>1</v>
      </c>
      <c r="B13" s="1218" t="s">
        <v>1327</v>
      </c>
      <c r="C13" s="1216">
        <f>'Biểu 16'!C9</f>
        <v>88165</v>
      </c>
      <c r="D13" s="1216">
        <f>'Biểu số 48'!C10</f>
        <v>90400</v>
      </c>
      <c r="E13" s="1217">
        <f>D13/C13*100</f>
        <v>102.53501956558726</v>
      </c>
      <c r="F13" s="1216">
        <f>'3 năm Thuế gửi'!F12</f>
        <v>104030</v>
      </c>
      <c r="G13" s="1216">
        <f>'3 năm Thuế gửi'!I12</f>
        <v>118840</v>
      </c>
    </row>
    <row r="14" spans="1:7" ht="32.25" customHeight="1" x14ac:dyDescent="0.25">
      <c r="A14" s="1214">
        <v>2</v>
      </c>
      <c r="B14" s="1218" t="s">
        <v>1328</v>
      </c>
      <c r="C14" s="1216">
        <f>'Biểu 16'!C14</f>
        <v>6817</v>
      </c>
      <c r="D14" s="1216">
        <f>'Biểu số 48'!C15</f>
        <v>8000</v>
      </c>
      <c r="E14" s="1217">
        <f t="shared" ref="E14:E21" si="0">D14/C14*100</f>
        <v>117.35367463693707</v>
      </c>
      <c r="F14" s="1216">
        <f>'3 năm Thuế gửi'!F18</f>
        <v>9120</v>
      </c>
      <c r="G14" s="1216">
        <f>'3 năm Thuế gửi'!I18</f>
        <v>10470</v>
      </c>
    </row>
    <row r="15" spans="1:7" ht="32.25" customHeight="1" x14ac:dyDescent="0.25">
      <c r="A15" s="1214">
        <v>3</v>
      </c>
      <c r="B15" s="1218" t="s">
        <v>1329</v>
      </c>
      <c r="C15" s="1216">
        <f>'Biểu 16'!C20</f>
        <v>5150</v>
      </c>
      <c r="D15" s="1216">
        <f>'Biểu số 48'!C21</f>
        <v>1100</v>
      </c>
      <c r="E15" s="1217">
        <f>D15/C15*100</f>
        <v>21.359223300970871</v>
      </c>
      <c r="F15" s="1216">
        <f>'3 năm Thuế gửi'!F23</f>
        <v>1270</v>
      </c>
      <c r="G15" s="1216">
        <f>'3 năm Thuế gửi'!I23</f>
        <v>1460</v>
      </c>
    </row>
    <row r="16" spans="1:7" ht="24.75" customHeight="1" x14ac:dyDescent="0.25">
      <c r="A16" s="1214">
        <v>4</v>
      </c>
      <c r="B16" s="1218" t="s">
        <v>1330</v>
      </c>
      <c r="C16" s="1216">
        <f>'Biểu 16'!C24</f>
        <v>153389</v>
      </c>
      <c r="D16" s="1216">
        <f>'Biểu số 48'!C24</f>
        <v>193000</v>
      </c>
      <c r="E16" s="1217">
        <f t="shared" si="0"/>
        <v>125.82388567628709</v>
      </c>
      <c r="F16" s="1216">
        <f>'3 năm Thuế gửi'!F28</f>
        <v>222520</v>
      </c>
      <c r="G16" s="1216">
        <f>'3 năm Thuế gửi'!I28</f>
        <v>258710</v>
      </c>
    </row>
    <row r="17" spans="1:9" ht="24.75" customHeight="1" x14ac:dyDescent="0.25">
      <c r="A17" s="1214">
        <v>5</v>
      </c>
      <c r="B17" s="1218" t="s">
        <v>230</v>
      </c>
      <c r="C17" s="1216">
        <f>'Biểu 16'!C30</f>
        <v>23490</v>
      </c>
      <c r="D17" s="1216">
        <f>'Biểu số 48'!C30</f>
        <v>28000</v>
      </c>
      <c r="E17" s="1217">
        <f t="shared" si="0"/>
        <v>119.1996594295445</v>
      </c>
      <c r="F17" s="1216">
        <f>'3 năm Thuế gửi'!F47</f>
        <v>32300</v>
      </c>
      <c r="G17" s="1216">
        <f>'3 năm Thuế gửi'!I47</f>
        <v>37160</v>
      </c>
    </row>
    <row r="18" spans="1:9" ht="24.75" customHeight="1" x14ac:dyDescent="0.25">
      <c r="A18" s="1214">
        <v>6</v>
      </c>
      <c r="B18" s="1218" t="s">
        <v>1331</v>
      </c>
      <c r="C18" s="1216">
        <f>'Biểu 16'!C35</f>
        <v>75000</v>
      </c>
      <c r="D18" s="1216">
        <f>'Biểu số 48'!C35</f>
        <v>110500</v>
      </c>
      <c r="E18" s="1217">
        <f t="shared" si="0"/>
        <v>147.33333333333334</v>
      </c>
      <c r="F18" s="1216">
        <f>'3 năm Thuế gửi'!F48</f>
        <v>121550</v>
      </c>
      <c r="G18" s="1216">
        <f>'3 năm Thuế gửi'!I48</f>
        <v>133710</v>
      </c>
    </row>
    <row r="19" spans="1:9" ht="24.75" customHeight="1" x14ac:dyDescent="0.25">
      <c r="A19" s="1214">
        <v>7</v>
      </c>
      <c r="B19" s="1218" t="s">
        <v>231</v>
      </c>
      <c r="C19" s="1216">
        <f>'Biểu 16'!C38</f>
        <v>33540</v>
      </c>
      <c r="D19" s="1216">
        <f>'Biểu số 48'!C38</f>
        <v>35600</v>
      </c>
      <c r="E19" s="1217">
        <f t="shared" si="0"/>
        <v>106.14192009540847</v>
      </c>
      <c r="F19" s="1216">
        <f>'3 năm Thuế gửi'!F51</f>
        <v>40250</v>
      </c>
      <c r="G19" s="1216">
        <f>'3 năm Thuế gửi'!I51</f>
        <v>45820</v>
      </c>
    </row>
    <row r="20" spans="1:9" ht="24.75" customHeight="1" x14ac:dyDescent="0.25">
      <c r="A20" s="1214">
        <v>8</v>
      </c>
      <c r="B20" s="1218" t="s">
        <v>239</v>
      </c>
      <c r="C20" s="1216">
        <f>'Biểu 16'!C32</f>
        <v>82990</v>
      </c>
      <c r="D20" s="1216">
        <f>'Biểu số 48'!C32</f>
        <v>78000</v>
      </c>
      <c r="E20" s="1217">
        <f t="shared" si="0"/>
        <v>93.987227376792376</v>
      </c>
      <c r="F20" s="1216">
        <f>'3 năm Thuế gửi'!F57</f>
        <v>93000</v>
      </c>
      <c r="G20" s="1216">
        <f>'3 năm Thuế gửi'!I57</f>
        <v>108000</v>
      </c>
    </row>
    <row r="21" spans="1:9" ht="24.75" customHeight="1" x14ac:dyDescent="0.25">
      <c r="A21" s="1214">
        <v>9</v>
      </c>
      <c r="B21" s="1218" t="s">
        <v>1332</v>
      </c>
      <c r="C21" s="1216">
        <f>'Biểu 16'!C49</f>
        <v>15000</v>
      </c>
      <c r="D21" s="1216">
        <f>'Biểu số 48'!C49</f>
        <v>15000</v>
      </c>
      <c r="E21" s="1217">
        <f t="shared" si="0"/>
        <v>100</v>
      </c>
      <c r="F21" s="1216">
        <f>'3 năm Thuế gửi'!F59</f>
        <v>16000</v>
      </c>
      <c r="G21" s="1216">
        <f>'3 năm Thuế gửi'!I59</f>
        <v>17000</v>
      </c>
    </row>
    <row r="22" spans="1:9" ht="32.25" customHeight="1" x14ac:dyDescent="0.25">
      <c r="A22" s="1214">
        <v>10</v>
      </c>
      <c r="B22" s="1218" t="s">
        <v>1333</v>
      </c>
      <c r="C22" s="1216"/>
      <c r="D22" s="1216"/>
      <c r="E22" s="1217"/>
      <c r="F22" s="1216"/>
      <c r="G22" s="1216"/>
    </row>
    <row r="23" spans="1:9" ht="32.25" hidden="1" customHeight="1" x14ac:dyDescent="0.25">
      <c r="A23" s="1209" t="s">
        <v>11</v>
      </c>
      <c r="B23" s="1210" t="s">
        <v>1334</v>
      </c>
      <c r="C23" s="1216"/>
      <c r="D23" s="1216"/>
      <c r="E23" s="1217"/>
      <c r="F23" s="1216"/>
      <c r="G23" s="1216"/>
    </row>
    <row r="24" spans="1:9" ht="32.25" hidden="1" customHeight="1" x14ac:dyDescent="0.25">
      <c r="A24" s="1214"/>
      <c r="B24" s="1215" t="s">
        <v>1325</v>
      </c>
      <c r="C24" s="1216"/>
      <c r="D24" s="1216"/>
      <c r="E24" s="1217"/>
      <c r="F24" s="1216"/>
      <c r="G24" s="1216"/>
    </row>
    <row r="25" spans="1:9" ht="32.25" hidden="1" customHeight="1" x14ac:dyDescent="0.25">
      <c r="A25" s="1214"/>
      <c r="B25" s="1215" t="s">
        <v>1326</v>
      </c>
      <c r="C25" s="1216"/>
      <c r="D25" s="1216"/>
      <c r="E25" s="1217"/>
      <c r="F25" s="1216"/>
      <c r="G25" s="1216"/>
    </row>
    <row r="26" spans="1:9" s="1213" customFormat="1" ht="32.25" customHeight="1" x14ac:dyDescent="0.2">
      <c r="A26" s="1209" t="s">
        <v>11</v>
      </c>
      <c r="B26" s="1210" t="s">
        <v>1335</v>
      </c>
      <c r="C26" s="1211">
        <f>'Biểu 16'!C51</f>
        <v>1800</v>
      </c>
      <c r="D26" s="1211">
        <f>'Biểu số 48'!C51</f>
        <v>3000</v>
      </c>
      <c r="E26" s="1212">
        <f t="shared" ref="E26" si="1">D26/C26*100</f>
        <v>166.66666666666669</v>
      </c>
      <c r="F26" s="1211">
        <f>D26+D26*0.15</f>
        <v>3450</v>
      </c>
      <c r="G26" s="1211">
        <f>F26+F26*0.15</f>
        <v>3967.5</v>
      </c>
      <c r="I26" s="1213">
        <f>D26*0.15</f>
        <v>450</v>
      </c>
    </row>
    <row r="27" spans="1:9" ht="32.25" hidden="1" customHeight="1" x14ac:dyDescent="0.25">
      <c r="A27" s="1214"/>
      <c r="B27" s="1215" t="s">
        <v>1325</v>
      </c>
      <c r="C27" s="1216"/>
      <c r="D27" s="1216"/>
      <c r="E27" s="1217"/>
      <c r="F27" s="1216"/>
      <c r="G27" s="1216"/>
    </row>
    <row r="28" spans="1:9" ht="32.25" hidden="1" customHeight="1" x14ac:dyDescent="0.25">
      <c r="A28" s="1214"/>
      <c r="B28" s="1215" t="s">
        <v>1326</v>
      </c>
      <c r="C28" s="1216"/>
      <c r="D28" s="1216"/>
      <c r="E28" s="1217"/>
      <c r="F28" s="1216"/>
      <c r="G28" s="1216"/>
    </row>
    <row r="29" spans="1:9" ht="32.25" hidden="1" customHeight="1" x14ac:dyDescent="0.25">
      <c r="A29" s="1209" t="s">
        <v>15</v>
      </c>
      <c r="B29" s="1210" t="s">
        <v>243</v>
      </c>
      <c r="C29" s="1216"/>
      <c r="D29" s="1216"/>
      <c r="E29" s="1217"/>
      <c r="F29" s="1216"/>
      <c r="G29" s="1216"/>
    </row>
    <row r="30" spans="1:9" ht="32.25" hidden="1" customHeight="1" x14ac:dyDescent="0.25">
      <c r="A30" s="1214"/>
      <c r="B30" s="1215" t="s">
        <v>1325</v>
      </c>
      <c r="C30" s="1216"/>
      <c r="D30" s="1216"/>
      <c r="E30" s="1217"/>
      <c r="F30" s="1216"/>
      <c r="G30" s="1216"/>
    </row>
    <row r="31" spans="1:9" ht="32.25" hidden="1" customHeight="1" x14ac:dyDescent="0.25">
      <c r="A31" s="1219"/>
      <c r="B31" s="1220" t="s">
        <v>1326</v>
      </c>
      <c r="C31" s="1221"/>
      <c r="D31" s="1221"/>
      <c r="E31" s="1222"/>
      <c r="F31" s="1221"/>
      <c r="G31" s="1221"/>
    </row>
    <row r="32" spans="1:9" ht="26.25" customHeight="1" x14ac:dyDescent="0.25">
      <c r="A32" s="61" t="s">
        <v>1336</v>
      </c>
    </row>
    <row r="33" spans="1:7" s="1223" customFormat="1" ht="32.25" customHeight="1" x14ac:dyDescent="0.25">
      <c r="A33" s="1943" t="s">
        <v>1337</v>
      </c>
      <c r="B33" s="1943"/>
      <c r="C33" s="1943"/>
      <c r="D33" s="1943"/>
      <c r="E33" s="1943"/>
      <c r="F33" s="1943"/>
      <c r="G33" s="1943"/>
    </row>
    <row r="34" spans="1:7" s="1223" customFormat="1" ht="32.25" customHeight="1" x14ac:dyDescent="0.25">
      <c r="A34" s="1943" t="s">
        <v>1338</v>
      </c>
      <c r="B34" s="1943"/>
      <c r="C34" s="1943"/>
      <c r="D34" s="1943"/>
      <c r="E34" s="1943"/>
      <c r="F34" s="1943"/>
      <c r="G34" s="1943"/>
    </row>
    <row r="35" spans="1:7" s="1223" customFormat="1" ht="44.25" customHeight="1" x14ac:dyDescent="0.25">
      <c r="A35" s="1943" t="s">
        <v>1339</v>
      </c>
      <c r="B35" s="1943"/>
      <c r="C35" s="1943"/>
      <c r="D35" s="1943"/>
      <c r="E35" s="1943"/>
      <c r="F35" s="1943"/>
      <c r="G35" s="1943"/>
    </row>
    <row r="36" spans="1:7" s="1223" customFormat="1" ht="43.5" customHeight="1" x14ac:dyDescent="0.25">
      <c r="A36" s="1943" t="s">
        <v>1340</v>
      </c>
      <c r="B36" s="1943"/>
      <c r="C36" s="1943"/>
      <c r="D36" s="1943"/>
      <c r="E36" s="1943"/>
      <c r="F36" s="1943"/>
      <c r="G36" s="1943"/>
    </row>
    <row r="37" spans="1:7" s="1223" customFormat="1" ht="32.25" customHeight="1" x14ac:dyDescent="0.25">
      <c r="A37" s="1943"/>
      <c r="B37" s="1943"/>
      <c r="C37" s="1943"/>
      <c r="D37" s="1943"/>
      <c r="E37" s="1943"/>
      <c r="F37" s="1943"/>
      <c r="G37" s="1943"/>
    </row>
  </sheetData>
  <mergeCells count="7">
    <mergeCell ref="A37:G37"/>
    <mergeCell ref="A1:G1"/>
    <mergeCell ref="A2:G2"/>
    <mergeCell ref="A33:G33"/>
    <mergeCell ref="A34:G34"/>
    <mergeCell ref="A35:G35"/>
    <mergeCell ref="A36:G36"/>
  </mergeCells>
  <pageMargins left="0.7" right="0.28000000000000003" top="0.68" bottom="0.75" header="0.3" footer="0.49"/>
  <pageSetup paperSize="9" firstPageNumber="57" orientation="portrait" useFirstPageNumber="1" r:id="rId1"/>
  <headerFooter>
    <oddHeader>&amp;RBiểu mẫu số 08</oddHeader>
    <oddFooter>&amp;C&amp;P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129"/>
  <sheetViews>
    <sheetView workbookViewId="0">
      <pane xSplit="2" ySplit="6" topLeftCell="C7" activePane="bottomRight" state="frozen"/>
      <selection pane="topRight" activeCell="C1" sqref="C1"/>
      <selection pane="bottomLeft" activeCell="A8" sqref="A8"/>
      <selection pane="bottomRight" activeCell="O21" sqref="O21"/>
    </sheetView>
  </sheetViews>
  <sheetFormatPr defaultRowHeight="15" x14ac:dyDescent="0.25"/>
  <cols>
    <col min="1" max="1" width="3.25" style="1161" customWidth="1"/>
    <col min="2" max="2" width="26.375" style="1161" customWidth="1"/>
    <col min="3" max="3" width="8" style="1161" customWidth="1"/>
    <col min="4" max="4" width="7.5" style="1161" customWidth="1"/>
    <col min="5" max="5" width="7.75" style="1161" customWidth="1"/>
    <col min="6" max="6" width="5.625" style="1161" customWidth="1"/>
    <col min="7" max="7" width="4.625" style="1161" customWidth="1"/>
    <col min="8" max="8" width="5.875" style="1161" customWidth="1"/>
    <col min="9" max="9" width="5.125" style="1161" customWidth="1"/>
    <col min="10" max="10" width="5.75" style="1161" customWidth="1"/>
    <col min="11" max="11" width="7.5" style="1161" customWidth="1"/>
    <col min="12" max="16384" width="9" style="1161"/>
  </cols>
  <sheetData>
    <row r="1" spans="1:12" ht="34.5" customHeight="1" x14ac:dyDescent="0.25">
      <c r="A1" s="2049" t="s">
        <v>1447</v>
      </c>
      <c r="B1" s="2049"/>
      <c r="C1" s="2049"/>
      <c r="D1" s="2049"/>
      <c r="E1" s="2049"/>
      <c r="F1" s="2049"/>
      <c r="G1" s="2049"/>
      <c r="H1" s="2049"/>
      <c r="I1" s="2049"/>
      <c r="J1" s="2049"/>
      <c r="K1" s="2049"/>
    </row>
    <row r="2" spans="1:12" ht="15.75" x14ac:dyDescent="0.25">
      <c r="A2" s="2050" t="str">
        <f>'Biểu 23'!A2:G2</f>
        <v>(Kèm theo Báo cáo số              /BC-UBND ngày       tháng 11 năm 2018 của UBND tỉnh Bắc Kạn)</v>
      </c>
      <c r="B2" s="2050"/>
      <c r="C2" s="2050"/>
      <c r="D2" s="2050"/>
      <c r="E2" s="2050"/>
      <c r="F2" s="2050"/>
      <c r="G2" s="2050"/>
      <c r="H2" s="2050"/>
      <c r="I2" s="2050"/>
      <c r="J2" s="2050"/>
      <c r="K2" s="2050"/>
    </row>
    <row r="3" spans="1:12" x14ac:dyDescent="0.25">
      <c r="K3" s="1162" t="s">
        <v>6</v>
      </c>
    </row>
    <row r="4" spans="1:12" s="1163" customFormat="1" ht="29.25" customHeight="1" x14ac:dyDescent="0.25">
      <c r="A4" s="2048" t="s">
        <v>0</v>
      </c>
      <c r="B4" s="2048" t="s">
        <v>63</v>
      </c>
      <c r="C4" s="2048" t="s">
        <v>61</v>
      </c>
      <c r="D4" s="2048" t="s">
        <v>24</v>
      </c>
      <c r="E4" s="2048" t="s">
        <v>19</v>
      </c>
      <c r="F4" s="2048" t="s">
        <v>1180</v>
      </c>
      <c r="G4" s="2048" t="s">
        <v>1181</v>
      </c>
      <c r="H4" s="2048" t="s">
        <v>87</v>
      </c>
      <c r="I4" s="2048"/>
      <c r="J4" s="2048"/>
      <c r="K4" s="2048" t="s">
        <v>533</v>
      </c>
    </row>
    <row r="5" spans="1:12" s="1163" customFormat="1" ht="75" customHeight="1" x14ac:dyDescent="0.25">
      <c r="A5" s="2048"/>
      <c r="B5" s="2048"/>
      <c r="C5" s="2048"/>
      <c r="D5" s="2048"/>
      <c r="E5" s="2048"/>
      <c r="F5" s="2048"/>
      <c r="G5" s="2048"/>
      <c r="H5" s="482" t="s">
        <v>61</v>
      </c>
      <c r="I5" s="482" t="s">
        <v>24</v>
      </c>
      <c r="J5" s="482" t="s">
        <v>19</v>
      </c>
      <c r="K5" s="2048"/>
    </row>
    <row r="6" spans="1:12" s="1163" customFormat="1" ht="12.75" x14ac:dyDescent="0.25">
      <c r="A6" s="482" t="s">
        <v>2</v>
      </c>
      <c r="B6" s="482" t="s">
        <v>3</v>
      </c>
      <c r="C6" s="482">
        <v>1</v>
      </c>
      <c r="D6" s="482">
        <v>2</v>
      </c>
      <c r="E6" s="482">
        <v>3</v>
      </c>
      <c r="F6" s="482">
        <v>4</v>
      </c>
      <c r="G6" s="482">
        <v>5</v>
      </c>
      <c r="H6" s="482">
        <v>6</v>
      </c>
      <c r="I6" s="482">
        <v>7</v>
      </c>
      <c r="J6" s="482">
        <v>8</v>
      </c>
      <c r="K6" s="482">
        <v>9</v>
      </c>
    </row>
    <row r="7" spans="1:12" s="1163" customFormat="1" ht="16.5" customHeight="1" x14ac:dyDescent="0.25">
      <c r="A7" s="482"/>
      <c r="B7" s="1164" t="s">
        <v>89</v>
      </c>
      <c r="C7" s="1164">
        <f>C8+C123+C124+C125+C126</f>
        <v>5254099</v>
      </c>
      <c r="D7" s="1164">
        <f t="shared" ref="D7:K7" si="0">D8+D123+D124+D125+D126</f>
        <v>1629238</v>
      </c>
      <c r="E7" s="1164">
        <f>E8+E123+E124+E125+E126</f>
        <v>1360272</v>
      </c>
      <c r="F7" s="1164">
        <f t="shared" si="0"/>
        <v>498</v>
      </c>
      <c r="G7" s="1164">
        <f t="shared" si="0"/>
        <v>1000</v>
      </c>
      <c r="H7" s="1164">
        <f t="shared" si="0"/>
        <v>19374</v>
      </c>
      <c r="I7" s="1164">
        <f t="shared" si="0"/>
        <v>0</v>
      </c>
      <c r="J7" s="1164">
        <f t="shared" si="0"/>
        <v>19374</v>
      </c>
      <c r="K7" s="1164">
        <f t="shared" si="0"/>
        <v>2243717</v>
      </c>
      <c r="L7" s="1163">
        <f>C7-K7</f>
        <v>3010382</v>
      </c>
    </row>
    <row r="8" spans="1:12" s="1163" customFormat="1" ht="12.75" x14ac:dyDescent="0.25">
      <c r="A8" s="617" t="s">
        <v>9</v>
      </c>
      <c r="B8" s="330" t="s">
        <v>90</v>
      </c>
      <c r="C8" s="330">
        <f t="shared" ref="C8:K8" si="1">C9+C72+C75+C81+C96+C99</f>
        <v>2358204</v>
      </c>
      <c r="D8" s="330">
        <f t="shared" si="1"/>
        <v>1073588</v>
      </c>
      <c r="E8" s="330">
        <f>E9+E72+E75+E81+E96+E99</f>
        <v>1265242</v>
      </c>
      <c r="F8" s="330">
        <f t="shared" si="1"/>
        <v>0</v>
      </c>
      <c r="G8" s="330">
        <f t="shared" si="1"/>
        <v>0</v>
      </c>
      <c r="H8" s="330">
        <f t="shared" si="1"/>
        <v>19374</v>
      </c>
      <c r="I8" s="330">
        <f t="shared" si="1"/>
        <v>0</v>
      </c>
      <c r="J8" s="330">
        <f t="shared" si="1"/>
        <v>19374</v>
      </c>
      <c r="K8" s="330">
        <f t="shared" si="1"/>
        <v>0</v>
      </c>
      <c r="L8" s="1163">
        <f>E7+H7-E126</f>
        <v>1284616</v>
      </c>
    </row>
    <row r="9" spans="1:12" s="1163" customFormat="1" ht="12.75" x14ac:dyDescent="0.25">
      <c r="A9" s="324" t="s">
        <v>2</v>
      </c>
      <c r="B9" s="325" t="s">
        <v>1047</v>
      </c>
      <c r="C9" s="330">
        <f>SUM(C10:C71)</f>
        <v>1942760.9999999998</v>
      </c>
      <c r="D9" s="330">
        <f>SUM(D10:D71)</f>
        <v>1050367</v>
      </c>
      <c r="E9" s="330">
        <f>SUM(E10:E71)</f>
        <v>874153</v>
      </c>
      <c r="F9" s="330">
        <f t="shared" ref="F9:K9" si="2">SUM(F10:F37)</f>
        <v>0</v>
      </c>
      <c r="G9" s="330">
        <f t="shared" si="2"/>
        <v>0</v>
      </c>
      <c r="H9" s="330">
        <f>SUM(H10:H71)</f>
        <v>18241</v>
      </c>
      <c r="I9" s="330">
        <f>SUM(I10:I71)</f>
        <v>0</v>
      </c>
      <c r="J9" s="330">
        <f>SUM(J10:J71)</f>
        <v>18241</v>
      </c>
      <c r="K9" s="330">
        <f t="shared" si="2"/>
        <v>0</v>
      </c>
    </row>
    <row r="10" spans="1:12" s="1163" customFormat="1" ht="12.75" x14ac:dyDescent="0.2">
      <c r="A10" s="326">
        <v>1</v>
      </c>
      <c r="B10" s="658" t="s">
        <v>158</v>
      </c>
      <c r="C10" s="334">
        <f>D10+E10+F10+G10+H10</f>
        <v>9697</v>
      </c>
      <c r="D10" s="334"/>
      <c r="E10" s="334">
        <f>'Biểu 26'!G9</f>
        <v>9697</v>
      </c>
      <c r="F10" s="334"/>
      <c r="G10" s="334"/>
      <c r="H10" s="334"/>
      <c r="I10" s="334"/>
      <c r="J10" s="334"/>
      <c r="K10" s="334"/>
    </row>
    <row r="11" spans="1:12" s="1163" customFormat="1" ht="12.75" x14ac:dyDescent="0.2">
      <c r="A11" s="326">
        <v>2</v>
      </c>
      <c r="B11" s="338" t="s">
        <v>159</v>
      </c>
      <c r="C11" s="334">
        <f t="shared" ref="C11:C71" si="3">D11+E11+F11+G11+H11</f>
        <v>15552</v>
      </c>
      <c r="D11" s="334"/>
      <c r="E11" s="334">
        <f>'Biểu 26'!G10</f>
        <v>15552</v>
      </c>
      <c r="F11" s="334"/>
      <c r="G11" s="334"/>
      <c r="H11" s="334"/>
      <c r="I11" s="334"/>
      <c r="J11" s="334"/>
      <c r="K11" s="334"/>
    </row>
    <row r="12" spans="1:12" s="1163" customFormat="1" ht="12.75" x14ac:dyDescent="0.2">
      <c r="A12" s="326">
        <v>3</v>
      </c>
      <c r="B12" s="658" t="s">
        <v>160</v>
      </c>
      <c r="C12" s="334">
        <f t="shared" si="3"/>
        <v>14967</v>
      </c>
      <c r="D12" s="334"/>
      <c r="E12" s="334">
        <f>'Biểu 26'!G11-H12</f>
        <v>14767</v>
      </c>
      <c r="F12" s="334"/>
      <c r="G12" s="334"/>
      <c r="H12" s="334">
        <f>J12</f>
        <v>200</v>
      </c>
      <c r="I12" s="334"/>
      <c r="J12" s="334">
        <v>200</v>
      </c>
      <c r="K12" s="334"/>
    </row>
    <row r="13" spans="1:12" s="1163" customFormat="1" ht="12.75" x14ac:dyDescent="0.2">
      <c r="A13" s="326">
        <v>4</v>
      </c>
      <c r="B13" s="658" t="s">
        <v>161</v>
      </c>
      <c r="C13" s="334">
        <f t="shared" si="3"/>
        <v>8259</v>
      </c>
      <c r="D13" s="334">
        <f>'Biểu 25'!C9</f>
        <v>3000</v>
      </c>
      <c r="E13" s="334">
        <f>'Biểu 26'!G12</f>
        <v>5259</v>
      </c>
      <c r="F13" s="334"/>
      <c r="G13" s="334"/>
      <c r="H13" s="334"/>
      <c r="I13" s="334"/>
      <c r="J13" s="334"/>
      <c r="K13" s="334"/>
    </row>
    <row r="14" spans="1:12" s="1163" customFormat="1" ht="12.75" x14ac:dyDescent="0.2">
      <c r="A14" s="326">
        <v>5</v>
      </c>
      <c r="B14" s="658" t="s">
        <v>162</v>
      </c>
      <c r="C14" s="334">
        <f t="shared" si="3"/>
        <v>14778</v>
      </c>
      <c r="D14" s="334"/>
      <c r="E14" s="334">
        <f>'Biểu 26'!G13</f>
        <v>14778</v>
      </c>
      <c r="F14" s="334"/>
      <c r="G14" s="334"/>
      <c r="H14" s="334"/>
      <c r="I14" s="334"/>
      <c r="J14" s="334"/>
      <c r="K14" s="334"/>
    </row>
    <row r="15" spans="1:12" s="1163" customFormat="1" ht="12.75" x14ac:dyDescent="0.2">
      <c r="A15" s="326">
        <v>6</v>
      </c>
      <c r="B15" s="658" t="s">
        <v>163</v>
      </c>
      <c r="C15" s="334">
        <f t="shared" si="3"/>
        <v>9835</v>
      </c>
      <c r="D15" s="334"/>
      <c r="E15" s="334">
        <f>'Biểu 26'!G14</f>
        <v>9835</v>
      </c>
      <c r="F15" s="334"/>
      <c r="G15" s="334"/>
      <c r="H15" s="334"/>
      <c r="I15" s="334"/>
      <c r="J15" s="334"/>
      <c r="K15" s="334"/>
    </row>
    <row r="16" spans="1:12" s="1163" customFormat="1" ht="12.75" x14ac:dyDescent="0.2">
      <c r="A16" s="326">
        <v>7</v>
      </c>
      <c r="B16" s="658" t="s">
        <v>164</v>
      </c>
      <c r="C16" s="334">
        <f t="shared" si="3"/>
        <v>70049</v>
      </c>
      <c r="D16" s="334">
        <f>'Biểu 25'!C40</f>
        <v>23260</v>
      </c>
      <c r="E16" s="334">
        <f>'Biểu 26'!G15</f>
        <v>46789</v>
      </c>
      <c r="F16" s="334"/>
      <c r="G16" s="334"/>
      <c r="H16" s="334"/>
      <c r="I16" s="334"/>
      <c r="J16" s="334"/>
      <c r="K16" s="334"/>
    </row>
    <row r="17" spans="1:11" s="1163" customFormat="1" ht="12.75" x14ac:dyDescent="0.2">
      <c r="A17" s="326">
        <v>8</v>
      </c>
      <c r="B17" s="658" t="s">
        <v>165</v>
      </c>
      <c r="C17" s="334">
        <f t="shared" si="3"/>
        <v>59391</v>
      </c>
      <c r="D17" s="334">
        <f>'Biểu 25'!C14</f>
        <v>53032</v>
      </c>
      <c r="E17" s="334">
        <f>'Biểu 26'!G16</f>
        <v>6359</v>
      </c>
      <c r="F17" s="334"/>
      <c r="G17" s="334"/>
      <c r="H17" s="334"/>
      <c r="I17" s="334"/>
      <c r="J17" s="334"/>
      <c r="K17" s="334"/>
    </row>
    <row r="18" spans="1:11" s="1163" customFormat="1" ht="12.75" x14ac:dyDescent="0.2">
      <c r="A18" s="326">
        <v>9</v>
      </c>
      <c r="B18" s="658" t="s">
        <v>166</v>
      </c>
      <c r="C18" s="334">
        <f t="shared" si="3"/>
        <v>7133</v>
      </c>
      <c r="D18" s="334"/>
      <c r="E18" s="334">
        <f>'Biểu 26'!G17</f>
        <v>7133</v>
      </c>
      <c r="F18" s="334"/>
      <c r="G18" s="334"/>
      <c r="H18" s="334"/>
      <c r="I18" s="334"/>
      <c r="J18" s="334"/>
      <c r="K18" s="334"/>
    </row>
    <row r="19" spans="1:11" s="1163" customFormat="1" ht="12.75" x14ac:dyDescent="0.2">
      <c r="A19" s="326">
        <v>10</v>
      </c>
      <c r="B19" s="658" t="s">
        <v>167</v>
      </c>
      <c r="C19" s="334">
        <f t="shared" si="3"/>
        <v>33056</v>
      </c>
      <c r="D19" s="334">
        <f>'Biểu 25'!C19</f>
        <v>797</v>
      </c>
      <c r="E19" s="334">
        <f>'Biểu 26'!G18</f>
        <v>32259</v>
      </c>
      <c r="F19" s="334"/>
      <c r="G19" s="334"/>
      <c r="H19" s="334"/>
      <c r="I19" s="334"/>
      <c r="J19" s="334"/>
      <c r="K19" s="334"/>
    </row>
    <row r="20" spans="1:11" s="1163" customFormat="1" ht="12.75" x14ac:dyDescent="0.2">
      <c r="A20" s="326">
        <v>11</v>
      </c>
      <c r="B20" s="658" t="s">
        <v>168</v>
      </c>
      <c r="C20" s="334">
        <f t="shared" si="3"/>
        <v>24664</v>
      </c>
      <c r="D20" s="334"/>
      <c r="E20" s="334">
        <f>'Biểu 26'!G19-H20</f>
        <v>21347</v>
      </c>
      <c r="F20" s="334"/>
      <c r="G20" s="334"/>
      <c r="H20" s="334">
        <f>J20</f>
        <v>3317</v>
      </c>
      <c r="I20" s="334"/>
      <c r="J20" s="334">
        <f>15+3302</f>
        <v>3317</v>
      </c>
      <c r="K20" s="334"/>
    </row>
    <row r="21" spans="1:11" s="1163" customFormat="1" ht="12.75" x14ac:dyDescent="0.2">
      <c r="A21" s="326">
        <v>12</v>
      </c>
      <c r="B21" s="658" t="s">
        <v>169</v>
      </c>
      <c r="C21" s="334">
        <f t="shared" si="3"/>
        <v>18225</v>
      </c>
      <c r="D21" s="334">
        <f>'Biểu 25'!C15</f>
        <v>3188</v>
      </c>
      <c r="E21" s="334">
        <f>'Biểu 26'!G20</f>
        <v>15037</v>
      </c>
      <c r="F21" s="334"/>
      <c r="G21" s="334"/>
      <c r="H21" s="334"/>
      <c r="I21" s="334"/>
      <c r="J21" s="334"/>
      <c r="K21" s="334"/>
    </row>
    <row r="22" spans="1:11" s="1163" customFormat="1" ht="12.75" x14ac:dyDescent="0.2">
      <c r="A22" s="326">
        <v>13</v>
      </c>
      <c r="B22" s="658" t="s">
        <v>170</v>
      </c>
      <c r="C22" s="334">
        <f t="shared" si="3"/>
        <v>102578</v>
      </c>
      <c r="D22" s="334">
        <f>'Biểu 25'!C16</f>
        <v>10353</v>
      </c>
      <c r="E22" s="334">
        <f>'Biểu 26'!G21-H22</f>
        <v>88448</v>
      </c>
      <c r="F22" s="334"/>
      <c r="G22" s="334"/>
      <c r="H22" s="334">
        <f>J22</f>
        <v>3777</v>
      </c>
      <c r="I22" s="334"/>
      <c r="J22" s="334">
        <f>20+3757</f>
        <v>3777</v>
      </c>
      <c r="K22" s="334"/>
    </row>
    <row r="23" spans="1:11" s="1163" customFormat="1" ht="12.75" x14ac:dyDescent="0.2">
      <c r="A23" s="326">
        <v>14</v>
      </c>
      <c r="B23" s="658" t="s">
        <v>171</v>
      </c>
      <c r="C23" s="334">
        <f t="shared" si="3"/>
        <v>40769</v>
      </c>
      <c r="D23" s="334"/>
      <c r="E23" s="334">
        <f>'Biểu 26'!G22</f>
        <v>40769</v>
      </c>
      <c r="F23" s="334"/>
      <c r="G23" s="334"/>
      <c r="H23" s="334"/>
      <c r="I23" s="334"/>
      <c r="J23" s="334"/>
      <c r="K23" s="334"/>
    </row>
    <row r="24" spans="1:11" s="1163" customFormat="1" ht="12.75" x14ac:dyDescent="0.2">
      <c r="A24" s="326">
        <v>15</v>
      </c>
      <c r="B24" s="658" t="s">
        <v>172</v>
      </c>
      <c r="C24" s="334">
        <f t="shared" si="3"/>
        <v>218420</v>
      </c>
      <c r="D24" s="334">
        <f>'Biểu 25'!C17</f>
        <v>2688</v>
      </c>
      <c r="E24" s="334">
        <f>'Biểu 26'!G23</f>
        <v>215732</v>
      </c>
      <c r="F24" s="334"/>
      <c r="G24" s="334"/>
      <c r="H24" s="334"/>
      <c r="I24" s="334"/>
      <c r="J24" s="334"/>
      <c r="K24" s="334"/>
    </row>
    <row r="25" spans="1:11" s="1163" customFormat="1" ht="12.75" x14ac:dyDescent="0.2">
      <c r="A25" s="326">
        <v>16</v>
      </c>
      <c r="B25" s="658" t="s">
        <v>173</v>
      </c>
      <c r="C25" s="334">
        <f t="shared" si="3"/>
        <v>205796</v>
      </c>
      <c r="D25" s="334">
        <f>'Biểu 25'!C18</f>
        <v>6000</v>
      </c>
      <c r="E25" s="334">
        <f>'Biểu 26'!G24-H25</f>
        <v>198496</v>
      </c>
      <c r="F25" s="334"/>
      <c r="G25" s="334"/>
      <c r="H25" s="334">
        <f>J25</f>
        <v>1300</v>
      </c>
      <c r="I25" s="334"/>
      <c r="J25" s="334">
        <v>1300</v>
      </c>
      <c r="K25" s="334"/>
    </row>
    <row r="26" spans="1:11" s="1163" customFormat="1" ht="12.75" x14ac:dyDescent="0.2">
      <c r="A26" s="326">
        <v>17</v>
      </c>
      <c r="B26" s="658" t="s">
        <v>174</v>
      </c>
      <c r="C26" s="334">
        <f t="shared" si="3"/>
        <v>12497</v>
      </c>
      <c r="D26" s="334">
        <f>'Biểu 25'!C12</f>
        <v>2887</v>
      </c>
      <c r="E26" s="334">
        <f>'Biểu 26'!G25-H26</f>
        <v>8075</v>
      </c>
      <c r="F26" s="334"/>
      <c r="G26" s="334"/>
      <c r="H26" s="334">
        <f>J26</f>
        <v>1535</v>
      </c>
      <c r="I26" s="334"/>
      <c r="J26" s="334">
        <f>335+1200</f>
        <v>1535</v>
      </c>
      <c r="K26" s="334"/>
    </row>
    <row r="27" spans="1:11" s="1163" customFormat="1" ht="12.75" x14ac:dyDescent="0.2">
      <c r="A27" s="326">
        <v>18</v>
      </c>
      <c r="B27" s="658" t="s">
        <v>175</v>
      </c>
      <c r="C27" s="334">
        <f t="shared" si="3"/>
        <v>4437</v>
      </c>
      <c r="D27" s="334"/>
      <c r="E27" s="334">
        <f>'Biểu 26'!G26</f>
        <v>4437</v>
      </c>
      <c r="F27" s="334"/>
      <c r="G27" s="334"/>
      <c r="H27" s="334"/>
      <c r="I27" s="334"/>
      <c r="J27" s="334"/>
      <c r="K27" s="334"/>
    </row>
    <row r="28" spans="1:11" s="1163" customFormat="1" ht="12.75" x14ac:dyDescent="0.2">
      <c r="A28" s="326">
        <v>19</v>
      </c>
      <c r="B28" s="658" t="s">
        <v>176</v>
      </c>
      <c r="C28" s="334">
        <f t="shared" si="3"/>
        <v>8716</v>
      </c>
      <c r="D28" s="334"/>
      <c r="E28" s="334">
        <f>'Biểu 26'!G27</f>
        <v>8716</v>
      </c>
      <c r="F28" s="334"/>
      <c r="G28" s="334"/>
      <c r="H28" s="334"/>
      <c r="I28" s="334"/>
      <c r="J28" s="334"/>
      <c r="K28" s="334"/>
    </row>
    <row r="29" spans="1:11" s="1163" customFormat="1" ht="12.75" x14ac:dyDescent="0.2">
      <c r="A29" s="326">
        <v>20</v>
      </c>
      <c r="B29" s="658" t="s">
        <v>177</v>
      </c>
      <c r="C29" s="334">
        <f t="shared" si="3"/>
        <v>21729</v>
      </c>
      <c r="D29" s="334">
        <f>'Biểu 25'!C20</f>
        <v>5166</v>
      </c>
      <c r="E29" s="334">
        <f>'Biểu 26'!G28</f>
        <v>16563</v>
      </c>
      <c r="F29" s="334"/>
      <c r="G29" s="334"/>
      <c r="H29" s="334"/>
      <c r="I29" s="334"/>
      <c r="J29" s="334"/>
      <c r="K29" s="334"/>
    </row>
    <row r="30" spans="1:11" s="1163" customFormat="1" ht="12.75" x14ac:dyDescent="0.2">
      <c r="A30" s="326">
        <v>21</v>
      </c>
      <c r="B30" s="658" t="s">
        <v>178</v>
      </c>
      <c r="C30" s="334">
        <f t="shared" si="3"/>
        <v>14657</v>
      </c>
      <c r="D30" s="334">
        <f>'Biểu 25'!C21</f>
        <v>148</v>
      </c>
      <c r="E30" s="334">
        <f>'Biểu 26'!G29</f>
        <v>14509</v>
      </c>
      <c r="F30" s="334"/>
      <c r="G30" s="334"/>
      <c r="H30" s="334"/>
      <c r="I30" s="334"/>
      <c r="J30" s="334"/>
      <c r="K30" s="334"/>
    </row>
    <row r="31" spans="1:11" s="1163" customFormat="1" ht="12.75" x14ac:dyDescent="0.2">
      <c r="A31" s="326">
        <v>22</v>
      </c>
      <c r="B31" s="658" t="s">
        <v>179</v>
      </c>
      <c r="C31" s="334">
        <f t="shared" si="3"/>
        <v>13579</v>
      </c>
      <c r="D31" s="334"/>
      <c r="E31" s="334">
        <f>'Biểu 26'!G30</f>
        <v>13579</v>
      </c>
      <c r="F31" s="334"/>
      <c r="G31" s="334"/>
      <c r="H31" s="334"/>
      <c r="I31" s="334"/>
      <c r="J31" s="334"/>
      <c r="K31" s="334"/>
    </row>
    <row r="32" spans="1:11" s="1163" customFormat="1" ht="12.75" x14ac:dyDescent="0.2">
      <c r="A32" s="326">
        <v>23</v>
      </c>
      <c r="B32" s="658" t="s">
        <v>180</v>
      </c>
      <c r="C32" s="334">
        <f t="shared" si="3"/>
        <v>9930</v>
      </c>
      <c r="D32" s="334"/>
      <c r="E32" s="334">
        <f>'Biểu 26'!G31-H32</f>
        <v>4705</v>
      </c>
      <c r="F32" s="334"/>
      <c r="G32" s="334"/>
      <c r="H32" s="334">
        <f>J32</f>
        <v>5225</v>
      </c>
      <c r="I32" s="334"/>
      <c r="J32" s="334">
        <v>5225</v>
      </c>
      <c r="K32" s="334"/>
    </row>
    <row r="33" spans="1:11" s="1163" customFormat="1" ht="12.75" x14ac:dyDescent="0.2">
      <c r="A33" s="326">
        <v>24</v>
      </c>
      <c r="B33" s="658" t="s">
        <v>181</v>
      </c>
      <c r="C33" s="334">
        <f t="shared" si="3"/>
        <v>2728</v>
      </c>
      <c r="D33" s="334"/>
      <c r="E33" s="334">
        <f>'Biểu 26'!G32</f>
        <v>2728</v>
      </c>
      <c r="F33" s="334"/>
      <c r="G33" s="334"/>
      <c r="H33" s="334"/>
      <c r="I33" s="334"/>
      <c r="J33" s="334"/>
      <c r="K33" s="334"/>
    </row>
    <row r="34" spans="1:11" s="1163" customFormat="1" ht="12.75" x14ac:dyDescent="0.2">
      <c r="A34" s="326">
        <v>25</v>
      </c>
      <c r="B34" s="96" t="s">
        <v>182</v>
      </c>
      <c r="C34" s="334">
        <f t="shared" si="3"/>
        <v>1358</v>
      </c>
      <c r="D34" s="334"/>
      <c r="E34" s="334">
        <f>'Biểu 26'!G33</f>
        <v>1358</v>
      </c>
      <c r="F34" s="334"/>
      <c r="G34" s="334"/>
      <c r="H34" s="334"/>
      <c r="I34" s="334"/>
      <c r="J34" s="334"/>
      <c r="K34" s="334"/>
    </row>
    <row r="35" spans="1:11" s="1163" customFormat="1" ht="12.75" x14ac:dyDescent="0.2">
      <c r="A35" s="326">
        <v>26</v>
      </c>
      <c r="B35" s="96" t="s">
        <v>1042</v>
      </c>
      <c r="C35" s="334">
        <f t="shared" si="3"/>
        <v>25586</v>
      </c>
      <c r="D35" s="334">
        <f>'Biểu 25'!C22</f>
        <v>4163</v>
      </c>
      <c r="E35" s="334">
        <f>'Biểu 26'!G34</f>
        <v>21423</v>
      </c>
      <c r="F35" s="334"/>
      <c r="G35" s="334"/>
      <c r="H35" s="334"/>
      <c r="I35" s="334"/>
      <c r="J35" s="334"/>
      <c r="K35" s="334"/>
    </row>
    <row r="36" spans="1:11" s="1163" customFormat="1" ht="25.5" x14ac:dyDescent="0.2">
      <c r="A36" s="326">
        <v>27</v>
      </c>
      <c r="B36" s="96" t="s">
        <v>417</v>
      </c>
      <c r="C36" s="334">
        <f t="shared" si="3"/>
        <v>4402</v>
      </c>
      <c r="D36" s="334"/>
      <c r="E36" s="334">
        <f>'Biểu 26'!G35-H36</f>
        <v>1515</v>
      </c>
      <c r="F36" s="334"/>
      <c r="G36" s="334"/>
      <c r="H36" s="334">
        <f>J36</f>
        <v>2887</v>
      </c>
      <c r="I36" s="334"/>
      <c r="J36" s="334">
        <f>2360+527</f>
        <v>2887</v>
      </c>
      <c r="K36" s="334"/>
    </row>
    <row r="37" spans="1:11" s="1163" customFormat="1" ht="12.75" x14ac:dyDescent="0.2">
      <c r="A37" s="326">
        <v>28</v>
      </c>
      <c r="B37" s="96" t="s">
        <v>418</v>
      </c>
      <c r="C37" s="334">
        <f t="shared" si="3"/>
        <v>481492</v>
      </c>
      <c r="D37" s="334">
        <f>'Biểu 25'!C23</f>
        <v>447204</v>
      </c>
      <c r="E37" s="334">
        <f>'Biểu 26'!G36</f>
        <v>34288</v>
      </c>
      <c r="F37" s="334"/>
      <c r="G37" s="334"/>
      <c r="H37" s="334"/>
      <c r="I37" s="334"/>
      <c r="J37" s="334"/>
      <c r="K37" s="334"/>
    </row>
    <row r="38" spans="1:11" s="1163" customFormat="1" ht="12.75" x14ac:dyDescent="0.25">
      <c r="A38" s="326">
        <v>29</v>
      </c>
      <c r="B38" s="337" t="s">
        <v>1041</v>
      </c>
      <c r="C38" s="334">
        <f t="shared" si="3"/>
        <v>810</v>
      </c>
      <c r="D38" s="334">
        <f>'Biểu 25'!C24</f>
        <v>810</v>
      </c>
      <c r="E38" s="334"/>
      <c r="F38" s="334"/>
      <c r="G38" s="334"/>
      <c r="H38" s="334"/>
      <c r="I38" s="334"/>
      <c r="J38" s="334"/>
      <c r="K38" s="334"/>
    </row>
    <row r="39" spans="1:11" s="1163" customFormat="1" ht="12.75" x14ac:dyDescent="0.25">
      <c r="A39" s="326">
        <v>30</v>
      </c>
      <c r="B39" s="337" t="s">
        <v>420</v>
      </c>
      <c r="C39" s="334">
        <f t="shared" si="3"/>
        <v>24137</v>
      </c>
      <c r="D39" s="334">
        <f>'Biểu 25'!C25</f>
        <v>24137</v>
      </c>
      <c r="E39" s="334"/>
      <c r="F39" s="334"/>
      <c r="G39" s="334"/>
      <c r="H39" s="334"/>
      <c r="I39" s="334"/>
      <c r="J39" s="334"/>
      <c r="K39" s="334"/>
    </row>
    <row r="40" spans="1:11" s="1163" customFormat="1" ht="12.75" x14ac:dyDescent="0.25">
      <c r="A40" s="326">
        <v>31</v>
      </c>
      <c r="B40" s="337" t="s">
        <v>421</v>
      </c>
      <c r="C40" s="334">
        <f t="shared" si="3"/>
        <v>8795</v>
      </c>
      <c r="D40" s="334">
        <f>'Biểu 25'!C26</f>
        <v>8795</v>
      </c>
      <c r="E40" s="334"/>
      <c r="F40" s="334"/>
      <c r="G40" s="334"/>
      <c r="H40" s="334"/>
      <c r="I40" s="334"/>
      <c r="J40" s="334"/>
      <c r="K40" s="334"/>
    </row>
    <row r="41" spans="1:11" s="1163" customFormat="1" ht="12.75" x14ac:dyDescent="0.25">
      <c r="A41" s="326">
        <v>32</v>
      </c>
      <c r="B41" s="337" t="s">
        <v>422</v>
      </c>
      <c r="C41" s="334">
        <f t="shared" si="3"/>
        <v>4729</v>
      </c>
      <c r="D41" s="334">
        <f>'Biểu 25'!C27</f>
        <v>4729</v>
      </c>
      <c r="E41" s="334"/>
      <c r="F41" s="334"/>
      <c r="G41" s="334"/>
      <c r="H41" s="334"/>
      <c r="I41" s="334"/>
      <c r="J41" s="334"/>
      <c r="K41" s="334"/>
    </row>
    <row r="42" spans="1:11" s="1163" customFormat="1" ht="12.75" x14ac:dyDescent="0.25">
      <c r="A42" s="326">
        <v>33</v>
      </c>
      <c r="B42" s="337" t="s">
        <v>424</v>
      </c>
      <c r="C42" s="334">
        <f t="shared" si="3"/>
        <v>15743</v>
      </c>
      <c r="D42" s="334">
        <f>'Biểu 25'!C28</f>
        <v>15743</v>
      </c>
      <c r="E42" s="334"/>
      <c r="F42" s="334"/>
      <c r="G42" s="334"/>
      <c r="H42" s="334"/>
      <c r="I42" s="334"/>
      <c r="J42" s="334"/>
      <c r="K42" s="334"/>
    </row>
    <row r="43" spans="1:11" s="1163" customFormat="1" ht="12.75" x14ac:dyDescent="0.25">
      <c r="A43" s="326">
        <v>34</v>
      </c>
      <c r="B43" s="337" t="s">
        <v>423</v>
      </c>
      <c r="C43" s="334">
        <f t="shared" si="3"/>
        <v>30326</v>
      </c>
      <c r="D43" s="334">
        <f>'Biểu 25'!C29</f>
        <v>30326</v>
      </c>
      <c r="E43" s="334"/>
      <c r="F43" s="334"/>
      <c r="G43" s="334"/>
      <c r="H43" s="334"/>
      <c r="I43" s="334"/>
      <c r="J43" s="334"/>
      <c r="K43" s="334"/>
    </row>
    <row r="44" spans="1:11" s="1163" customFormat="1" ht="12.75" x14ac:dyDescent="0.25">
      <c r="A44" s="326">
        <v>35</v>
      </c>
      <c r="B44" s="337" t="s">
        <v>425</v>
      </c>
      <c r="C44" s="334">
        <f t="shared" si="3"/>
        <v>8371</v>
      </c>
      <c r="D44" s="334">
        <f>'Biểu 25'!C30</f>
        <v>8371</v>
      </c>
      <c r="E44" s="334"/>
      <c r="F44" s="334"/>
      <c r="G44" s="334"/>
      <c r="H44" s="334"/>
      <c r="I44" s="334"/>
      <c r="J44" s="334"/>
      <c r="K44" s="334"/>
    </row>
    <row r="45" spans="1:11" s="1163" customFormat="1" ht="12.75" x14ac:dyDescent="0.25">
      <c r="A45" s="326">
        <v>36</v>
      </c>
      <c r="B45" s="337" t="s">
        <v>426</v>
      </c>
      <c r="C45" s="334">
        <f t="shared" si="3"/>
        <v>16999</v>
      </c>
      <c r="D45" s="334">
        <f>'Biểu 25'!C31</f>
        <v>16999</v>
      </c>
      <c r="E45" s="334"/>
      <c r="F45" s="334"/>
      <c r="G45" s="334"/>
      <c r="H45" s="334"/>
      <c r="I45" s="334"/>
      <c r="J45" s="334"/>
      <c r="K45" s="334"/>
    </row>
    <row r="46" spans="1:11" s="1163" customFormat="1" ht="12.75" x14ac:dyDescent="0.25">
      <c r="A46" s="326">
        <v>37</v>
      </c>
      <c r="B46" s="337" t="s">
        <v>427</v>
      </c>
      <c r="C46" s="334">
        <f t="shared" si="3"/>
        <v>133820</v>
      </c>
      <c r="D46" s="334">
        <f>'Biểu 25'!C32</f>
        <v>133820</v>
      </c>
      <c r="E46" s="334"/>
      <c r="F46" s="334"/>
      <c r="G46" s="334"/>
      <c r="H46" s="334"/>
      <c r="I46" s="334"/>
      <c r="J46" s="334"/>
      <c r="K46" s="334"/>
    </row>
    <row r="47" spans="1:11" s="1163" customFormat="1" ht="12.75" x14ac:dyDescent="0.25">
      <c r="A47" s="326">
        <v>38</v>
      </c>
      <c r="B47" s="337" t="s">
        <v>1401</v>
      </c>
      <c r="C47" s="334">
        <f t="shared" si="3"/>
        <v>220</v>
      </c>
      <c r="D47" s="334">
        <f>'Biểu 25'!C33</f>
        <v>220</v>
      </c>
      <c r="E47" s="334"/>
      <c r="F47" s="334"/>
      <c r="G47" s="334"/>
      <c r="H47" s="334"/>
      <c r="I47" s="334"/>
      <c r="J47" s="334"/>
      <c r="K47" s="334"/>
    </row>
    <row r="48" spans="1:11" s="1163" customFormat="1" ht="12.75" x14ac:dyDescent="0.25">
      <c r="A48" s="326">
        <v>39</v>
      </c>
      <c r="B48" s="337" t="s">
        <v>428</v>
      </c>
      <c r="C48" s="334">
        <f t="shared" si="3"/>
        <v>10000</v>
      </c>
      <c r="D48" s="334">
        <f>'Biểu 25'!C34</f>
        <v>10000</v>
      </c>
      <c r="E48" s="334"/>
      <c r="F48" s="334"/>
      <c r="G48" s="334"/>
      <c r="H48" s="334"/>
      <c r="I48" s="334"/>
      <c r="J48" s="334"/>
      <c r="K48" s="334"/>
    </row>
    <row r="49" spans="1:11" s="1163" customFormat="1" ht="25.5" x14ac:dyDescent="0.25">
      <c r="A49" s="326">
        <v>40</v>
      </c>
      <c r="B49" s="337" t="s">
        <v>429</v>
      </c>
      <c r="C49" s="334">
        <f t="shared" si="3"/>
        <v>6758</v>
      </c>
      <c r="D49" s="334">
        <f>'Biểu 25'!C35</f>
        <v>6758</v>
      </c>
      <c r="E49" s="334"/>
      <c r="F49" s="334"/>
      <c r="G49" s="334"/>
      <c r="H49" s="334"/>
      <c r="I49" s="334"/>
      <c r="J49" s="334"/>
      <c r="K49" s="334"/>
    </row>
    <row r="50" spans="1:11" s="1163" customFormat="1" ht="12.75" x14ac:dyDescent="0.25">
      <c r="A50" s="326">
        <v>41</v>
      </c>
      <c r="B50" s="337" t="s">
        <v>430</v>
      </c>
      <c r="C50" s="334">
        <f t="shared" si="3"/>
        <v>7265</v>
      </c>
      <c r="D50" s="334">
        <f>'Biểu 25'!C36</f>
        <v>7265</v>
      </c>
      <c r="E50" s="334"/>
      <c r="F50" s="334"/>
      <c r="G50" s="334"/>
      <c r="H50" s="334"/>
      <c r="I50" s="334"/>
      <c r="J50" s="334"/>
      <c r="K50" s="334"/>
    </row>
    <row r="51" spans="1:11" s="1163" customFormat="1" ht="25.5" x14ac:dyDescent="0.25">
      <c r="A51" s="326">
        <v>42</v>
      </c>
      <c r="B51" s="337" t="s">
        <v>431</v>
      </c>
      <c r="C51" s="334">
        <f t="shared" si="3"/>
        <v>621</v>
      </c>
      <c r="D51" s="334">
        <f>'Biểu 25'!C37</f>
        <v>621</v>
      </c>
      <c r="E51" s="334"/>
      <c r="F51" s="334"/>
      <c r="G51" s="334"/>
      <c r="H51" s="334"/>
      <c r="I51" s="334"/>
      <c r="J51" s="334"/>
      <c r="K51" s="334"/>
    </row>
    <row r="52" spans="1:11" s="1163" customFormat="1" ht="25.5" x14ac:dyDescent="0.25">
      <c r="A52" s="326">
        <v>43</v>
      </c>
      <c r="B52" s="337" t="s">
        <v>989</v>
      </c>
      <c r="C52" s="334">
        <f t="shared" si="3"/>
        <v>12584</v>
      </c>
      <c r="D52" s="334">
        <f>'Biểu 25'!C38</f>
        <v>12584</v>
      </c>
      <c r="E52" s="334"/>
      <c r="F52" s="334"/>
      <c r="G52" s="334"/>
      <c r="H52" s="334"/>
      <c r="I52" s="334"/>
      <c r="J52" s="334"/>
      <c r="K52" s="334"/>
    </row>
    <row r="53" spans="1:11" s="1163" customFormat="1" ht="27.75" customHeight="1" x14ac:dyDescent="0.25">
      <c r="A53" s="326">
        <v>44</v>
      </c>
      <c r="B53" s="337" t="s">
        <v>432</v>
      </c>
      <c r="C53" s="334">
        <f t="shared" si="3"/>
        <v>27383</v>
      </c>
      <c r="D53" s="334">
        <f>'Biểu 25'!C39</f>
        <v>27383</v>
      </c>
      <c r="E53" s="334"/>
      <c r="F53" s="334"/>
      <c r="G53" s="334"/>
      <c r="H53" s="334"/>
      <c r="I53" s="334"/>
      <c r="J53" s="334"/>
      <c r="K53" s="334"/>
    </row>
    <row r="54" spans="1:11" s="1163" customFormat="1" ht="21.75" customHeight="1" x14ac:dyDescent="0.25">
      <c r="A54" s="326">
        <v>45</v>
      </c>
      <c r="B54" s="337" t="str">
        <f>'Biểu 25'!B11</f>
        <v>Ban QL Công trình giao thông</v>
      </c>
      <c r="C54" s="334">
        <f t="shared" si="3"/>
        <v>115121</v>
      </c>
      <c r="D54" s="334">
        <f>'Biểu 25'!C11</f>
        <v>115121</v>
      </c>
      <c r="E54" s="334"/>
      <c r="F54" s="334"/>
      <c r="G54" s="334"/>
      <c r="H54" s="334"/>
      <c r="I54" s="334"/>
      <c r="J54" s="334"/>
      <c r="K54" s="334"/>
    </row>
    <row r="55" spans="1:11" s="1163" customFormat="1" ht="25.5" x14ac:dyDescent="0.25">
      <c r="A55" s="326">
        <v>46</v>
      </c>
      <c r="B55" s="337" t="s">
        <v>1416</v>
      </c>
      <c r="C55" s="334">
        <f t="shared" si="3"/>
        <v>1047.857</v>
      </c>
      <c r="D55" s="334">
        <f>'Biểu 25'!C41</f>
        <v>1047.857</v>
      </c>
      <c r="E55" s="334"/>
      <c r="F55" s="334"/>
      <c r="G55" s="334"/>
      <c r="H55" s="334"/>
      <c r="I55" s="334"/>
      <c r="J55" s="334"/>
      <c r="K55" s="334"/>
    </row>
    <row r="56" spans="1:11" s="1163" customFormat="1" ht="25.5" x14ac:dyDescent="0.25">
      <c r="A56" s="326">
        <v>47</v>
      </c>
      <c r="B56" s="337" t="s">
        <v>1417</v>
      </c>
      <c r="C56" s="334">
        <f t="shared" si="3"/>
        <v>743.30200000000002</v>
      </c>
      <c r="D56" s="334">
        <f>'Biểu 25'!C42</f>
        <v>743.30200000000002</v>
      </c>
      <c r="E56" s="334"/>
      <c r="F56" s="334"/>
      <c r="G56" s="334"/>
      <c r="H56" s="334"/>
      <c r="I56" s="334"/>
      <c r="J56" s="334"/>
      <c r="K56" s="334"/>
    </row>
    <row r="57" spans="1:11" s="1163" customFormat="1" ht="25.5" x14ac:dyDescent="0.25">
      <c r="A57" s="326">
        <v>48</v>
      </c>
      <c r="B57" s="337" t="s">
        <v>433</v>
      </c>
      <c r="C57" s="334">
        <f t="shared" si="3"/>
        <v>6903.1180000000004</v>
      </c>
      <c r="D57" s="334">
        <f>'Biểu 25'!C43</f>
        <v>6903.1180000000004</v>
      </c>
      <c r="E57" s="334"/>
      <c r="F57" s="334"/>
      <c r="G57" s="334"/>
      <c r="H57" s="334"/>
      <c r="I57" s="334"/>
      <c r="J57" s="334"/>
      <c r="K57" s="334"/>
    </row>
    <row r="58" spans="1:11" s="1163" customFormat="1" ht="25.5" x14ac:dyDescent="0.25">
      <c r="A58" s="326">
        <v>49</v>
      </c>
      <c r="B58" s="337" t="s">
        <v>1418</v>
      </c>
      <c r="C58" s="334">
        <f t="shared" si="3"/>
        <v>568.57100000000003</v>
      </c>
      <c r="D58" s="334">
        <f>'Biểu 25'!C44</f>
        <v>568.57100000000003</v>
      </c>
      <c r="E58" s="334"/>
      <c r="F58" s="334"/>
      <c r="G58" s="334"/>
      <c r="H58" s="334"/>
      <c r="I58" s="334"/>
      <c r="J58" s="334"/>
      <c r="K58" s="334"/>
    </row>
    <row r="59" spans="1:11" s="1163" customFormat="1" ht="25.5" x14ac:dyDescent="0.25">
      <c r="A59" s="326">
        <v>50</v>
      </c>
      <c r="B59" s="337" t="s">
        <v>1419</v>
      </c>
      <c r="C59" s="334">
        <f t="shared" si="3"/>
        <v>2174.7579999999998</v>
      </c>
      <c r="D59" s="334">
        <f>'Biểu 25'!C45</f>
        <v>2174.7579999999998</v>
      </c>
      <c r="E59" s="334"/>
      <c r="F59" s="334"/>
      <c r="G59" s="334"/>
      <c r="H59" s="334"/>
      <c r="I59" s="334"/>
      <c r="J59" s="334"/>
      <c r="K59" s="334"/>
    </row>
    <row r="60" spans="1:11" s="1163" customFormat="1" ht="25.5" x14ac:dyDescent="0.25">
      <c r="A60" s="326">
        <v>51</v>
      </c>
      <c r="B60" s="337" t="s">
        <v>1420</v>
      </c>
      <c r="C60" s="334">
        <f t="shared" si="3"/>
        <v>4713.5370000000003</v>
      </c>
      <c r="D60" s="334">
        <f>'Biểu 25'!C46</f>
        <v>4713.5370000000003</v>
      </c>
      <c r="E60" s="334"/>
      <c r="F60" s="334"/>
      <c r="G60" s="334"/>
      <c r="H60" s="334"/>
      <c r="I60" s="334"/>
      <c r="J60" s="334"/>
      <c r="K60" s="334"/>
    </row>
    <row r="61" spans="1:11" s="1163" customFormat="1" ht="25.5" x14ac:dyDescent="0.25">
      <c r="A61" s="326">
        <v>52</v>
      </c>
      <c r="B61" s="337" t="s">
        <v>1421</v>
      </c>
      <c r="C61" s="334">
        <f t="shared" si="3"/>
        <v>1013.726</v>
      </c>
      <c r="D61" s="334">
        <f>'Biểu 25'!C47</f>
        <v>1013.726</v>
      </c>
      <c r="E61" s="334"/>
      <c r="F61" s="334"/>
      <c r="G61" s="334"/>
      <c r="H61" s="334"/>
      <c r="I61" s="334"/>
      <c r="J61" s="334"/>
      <c r="K61" s="334"/>
    </row>
    <row r="62" spans="1:11" s="1163" customFormat="1" ht="25.5" x14ac:dyDescent="0.25">
      <c r="A62" s="326">
        <v>53</v>
      </c>
      <c r="B62" s="337" t="s">
        <v>1422</v>
      </c>
      <c r="C62" s="334">
        <f t="shared" si="3"/>
        <v>519.90599999999995</v>
      </c>
      <c r="D62" s="334">
        <f>'Biểu 25'!C48</f>
        <v>519.90599999999995</v>
      </c>
      <c r="E62" s="334"/>
      <c r="F62" s="334"/>
      <c r="G62" s="334"/>
      <c r="H62" s="334"/>
      <c r="I62" s="334"/>
      <c r="J62" s="334"/>
      <c r="K62" s="334"/>
    </row>
    <row r="63" spans="1:11" s="1163" customFormat="1" ht="25.5" x14ac:dyDescent="0.25">
      <c r="A63" s="326">
        <v>54</v>
      </c>
      <c r="B63" s="337" t="s">
        <v>1423</v>
      </c>
      <c r="C63" s="334">
        <f t="shared" si="3"/>
        <v>73.292000000000002</v>
      </c>
      <c r="D63" s="334">
        <f>'Biểu 25'!C49</f>
        <v>73.292000000000002</v>
      </c>
      <c r="E63" s="334"/>
      <c r="F63" s="334"/>
      <c r="G63" s="334"/>
      <c r="H63" s="334"/>
      <c r="I63" s="334"/>
      <c r="J63" s="334"/>
      <c r="K63" s="334"/>
    </row>
    <row r="64" spans="1:11" s="1163" customFormat="1" ht="38.25" x14ac:dyDescent="0.25">
      <c r="A64" s="326">
        <v>55</v>
      </c>
      <c r="B64" s="337" t="s">
        <v>1424</v>
      </c>
      <c r="C64" s="334">
        <f t="shared" si="3"/>
        <v>2454.933</v>
      </c>
      <c r="D64" s="334">
        <f>'Biểu 25'!C50</f>
        <v>2454.933</v>
      </c>
      <c r="E64" s="334"/>
      <c r="F64" s="334"/>
      <c r="G64" s="334"/>
      <c r="H64" s="334"/>
      <c r="I64" s="334"/>
      <c r="J64" s="334"/>
      <c r="K64" s="334"/>
    </row>
    <row r="65" spans="1:11" s="1163" customFormat="1" ht="25.5" x14ac:dyDescent="0.25">
      <c r="A65" s="326">
        <v>56</v>
      </c>
      <c r="B65" s="337" t="s">
        <v>1402</v>
      </c>
      <c r="C65" s="334">
        <f t="shared" si="3"/>
        <v>2056</v>
      </c>
      <c r="D65" s="334">
        <f>'Biểu 25'!C51</f>
        <v>2056</v>
      </c>
      <c r="E65" s="334"/>
      <c r="F65" s="334"/>
      <c r="G65" s="334"/>
      <c r="H65" s="334"/>
      <c r="I65" s="334"/>
      <c r="J65" s="334"/>
      <c r="K65" s="334"/>
    </row>
    <row r="66" spans="1:11" s="1163" customFormat="1" ht="12.75" x14ac:dyDescent="0.25">
      <c r="A66" s="326">
        <v>57</v>
      </c>
      <c r="B66" s="337" t="s">
        <v>434</v>
      </c>
      <c r="C66" s="334">
        <f t="shared" si="3"/>
        <v>4513</v>
      </c>
      <c r="D66" s="334">
        <f>'Biểu 25'!C52</f>
        <v>4513</v>
      </c>
      <c r="E66" s="334"/>
      <c r="F66" s="334"/>
      <c r="G66" s="334"/>
      <c r="H66" s="334"/>
      <c r="I66" s="334"/>
      <c r="J66" s="334"/>
      <c r="K66" s="334"/>
    </row>
    <row r="67" spans="1:11" s="1163" customFormat="1" ht="25.5" x14ac:dyDescent="0.25">
      <c r="A67" s="326">
        <v>58</v>
      </c>
      <c r="B67" s="337" t="s">
        <v>1403</v>
      </c>
      <c r="C67" s="334">
        <f t="shared" si="3"/>
        <v>9927</v>
      </c>
      <c r="D67" s="334">
        <f>'Biểu 25'!C53</f>
        <v>9927</v>
      </c>
      <c r="E67" s="334"/>
      <c r="F67" s="334"/>
      <c r="G67" s="334"/>
      <c r="H67" s="334"/>
      <c r="I67" s="334"/>
      <c r="J67" s="334"/>
      <c r="K67" s="334"/>
    </row>
    <row r="68" spans="1:11" s="1163" customFormat="1" ht="12.75" x14ac:dyDescent="0.25">
      <c r="A68" s="326">
        <v>59</v>
      </c>
      <c r="B68" s="337" t="s">
        <v>1415</v>
      </c>
      <c r="C68" s="334">
        <f t="shared" si="3"/>
        <v>950</v>
      </c>
      <c r="D68" s="334">
        <f>'Biểu 25'!C54</f>
        <v>950</v>
      </c>
      <c r="E68" s="334"/>
      <c r="F68" s="334"/>
      <c r="G68" s="334"/>
      <c r="H68" s="334"/>
      <c r="I68" s="334"/>
      <c r="J68" s="334"/>
      <c r="K68" s="334"/>
    </row>
    <row r="69" spans="1:11" s="1163" customFormat="1" ht="12.75" x14ac:dyDescent="0.25">
      <c r="A69" s="326">
        <v>60</v>
      </c>
      <c r="B69" s="337" t="s">
        <v>1404</v>
      </c>
      <c r="C69" s="334">
        <f t="shared" si="3"/>
        <v>14640</v>
      </c>
      <c r="D69" s="334">
        <f>'Biểu 25'!C55</f>
        <v>14640</v>
      </c>
      <c r="E69" s="334"/>
      <c r="F69" s="334"/>
      <c r="G69" s="334"/>
      <c r="H69" s="334"/>
      <c r="I69" s="334"/>
      <c r="J69" s="334"/>
      <c r="K69" s="334"/>
    </row>
    <row r="70" spans="1:11" s="1163" customFormat="1" ht="12.75" x14ac:dyDescent="0.25">
      <c r="A70" s="326">
        <v>61</v>
      </c>
      <c r="B70" s="337" t="s">
        <v>1036</v>
      </c>
      <c r="C70" s="334">
        <f t="shared" si="3"/>
        <v>5500</v>
      </c>
      <c r="D70" s="334">
        <f>'Biểu 25'!C56</f>
        <v>5500</v>
      </c>
      <c r="E70" s="334"/>
      <c r="F70" s="334"/>
      <c r="G70" s="334"/>
      <c r="H70" s="334"/>
      <c r="I70" s="334"/>
      <c r="J70" s="334"/>
      <c r="K70" s="334"/>
    </row>
    <row r="71" spans="1:11" s="1163" customFormat="1" ht="12.75" x14ac:dyDescent="0.25">
      <c r="A71" s="326">
        <v>62</v>
      </c>
      <c r="B71" s="337" t="s">
        <v>1405</v>
      </c>
      <c r="C71" s="334">
        <f t="shared" si="3"/>
        <v>7000</v>
      </c>
      <c r="D71" s="334">
        <f>'Biểu 25'!C57</f>
        <v>7000</v>
      </c>
      <c r="E71" s="334"/>
      <c r="F71" s="334"/>
      <c r="G71" s="334"/>
      <c r="H71" s="334"/>
      <c r="I71" s="334"/>
      <c r="J71" s="334"/>
      <c r="K71" s="334"/>
    </row>
    <row r="72" spans="1:11" s="1163" customFormat="1" ht="12.75" x14ac:dyDescent="0.25">
      <c r="A72" s="329" t="s">
        <v>3</v>
      </c>
      <c r="B72" s="330" t="s">
        <v>184</v>
      </c>
      <c r="C72" s="330">
        <f>SUM(C73:C74)</f>
        <v>73593</v>
      </c>
      <c r="D72" s="330">
        <f>SUM(D73:D74)</f>
        <v>5579</v>
      </c>
      <c r="E72" s="330">
        <f t="shared" ref="E72:K72" si="4">SUM(E73:E74)</f>
        <v>68014</v>
      </c>
      <c r="F72" s="330">
        <f t="shared" si="4"/>
        <v>0</v>
      </c>
      <c r="G72" s="330">
        <f t="shared" si="4"/>
        <v>0</v>
      </c>
      <c r="H72" s="330">
        <f t="shared" si="4"/>
        <v>0</v>
      </c>
      <c r="I72" s="330">
        <f t="shared" si="4"/>
        <v>0</v>
      </c>
      <c r="J72" s="330">
        <f t="shared" si="4"/>
        <v>0</v>
      </c>
      <c r="K72" s="330">
        <f t="shared" si="4"/>
        <v>0</v>
      </c>
    </row>
    <row r="73" spans="1:11" s="1163" customFormat="1" ht="12.75" x14ac:dyDescent="0.25">
      <c r="A73" s="326">
        <v>1</v>
      </c>
      <c r="B73" s="327" t="s">
        <v>185</v>
      </c>
      <c r="C73" s="334">
        <f t="shared" ref="C73:C124" si="5">D73+E73+F73+G73</f>
        <v>65530</v>
      </c>
      <c r="D73" s="334">
        <f>'Biểu 25'!C59</f>
        <v>5408</v>
      </c>
      <c r="E73" s="334">
        <f>'Biểu 26'!G38</f>
        <v>60122</v>
      </c>
      <c r="F73" s="334"/>
      <c r="G73" s="334"/>
      <c r="H73" s="334"/>
      <c r="I73" s="334"/>
      <c r="J73" s="334"/>
      <c r="K73" s="334"/>
    </row>
    <row r="74" spans="1:11" s="1163" customFormat="1" ht="12.75" x14ac:dyDescent="0.25">
      <c r="A74" s="326">
        <v>2</v>
      </c>
      <c r="B74" s="327" t="s">
        <v>186</v>
      </c>
      <c r="C74" s="334">
        <f t="shared" si="5"/>
        <v>8063</v>
      </c>
      <c r="D74" s="334">
        <f>'Biểu 25'!C13</f>
        <v>171</v>
      </c>
      <c r="E74" s="334">
        <f>'Biểu 26'!G39</f>
        <v>7892</v>
      </c>
      <c r="F74" s="334"/>
      <c r="G74" s="334"/>
      <c r="H74" s="334"/>
      <c r="I74" s="334"/>
      <c r="J74" s="334"/>
      <c r="K74" s="334"/>
    </row>
    <row r="75" spans="1:11" s="1163" customFormat="1" ht="12.75" x14ac:dyDescent="0.25">
      <c r="A75" s="329" t="s">
        <v>4</v>
      </c>
      <c r="B75" s="331" t="s">
        <v>187</v>
      </c>
      <c r="C75" s="330">
        <f>SUM(C76:C80)</f>
        <v>23361</v>
      </c>
      <c r="D75" s="330">
        <f t="shared" ref="D75:K75" si="6">SUM(D76:D80)</f>
        <v>4325</v>
      </c>
      <c r="E75" s="330">
        <f t="shared" si="6"/>
        <v>19036</v>
      </c>
      <c r="F75" s="330">
        <f t="shared" si="6"/>
        <v>0</v>
      </c>
      <c r="G75" s="330">
        <f t="shared" si="6"/>
        <v>0</v>
      </c>
      <c r="H75" s="330">
        <f t="shared" si="6"/>
        <v>0</v>
      </c>
      <c r="I75" s="330">
        <f t="shared" si="6"/>
        <v>0</v>
      </c>
      <c r="J75" s="330">
        <f t="shared" si="6"/>
        <v>0</v>
      </c>
      <c r="K75" s="330">
        <f t="shared" si="6"/>
        <v>0</v>
      </c>
    </row>
    <row r="76" spans="1:11" s="1163" customFormat="1" ht="12.75" x14ac:dyDescent="0.25">
      <c r="A76" s="326">
        <v>1</v>
      </c>
      <c r="B76" s="327" t="s">
        <v>188</v>
      </c>
      <c r="C76" s="334">
        <f t="shared" si="5"/>
        <v>7826</v>
      </c>
      <c r="D76" s="334">
        <f>'Biểu 25'!C10</f>
        <v>4325</v>
      </c>
      <c r="E76" s="334">
        <f>'Biểu 26'!G41</f>
        <v>3501</v>
      </c>
      <c r="F76" s="334"/>
      <c r="G76" s="334"/>
      <c r="H76" s="334"/>
      <c r="I76" s="334"/>
      <c r="J76" s="334"/>
      <c r="K76" s="334"/>
    </row>
    <row r="77" spans="1:11" s="1163" customFormat="1" ht="12.75" x14ac:dyDescent="0.25">
      <c r="A77" s="326">
        <v>2</v>
      </c>
      <c r="B77" s="327" t="s">
        <v>189</v>
      </c>
      <c r="C77" s="334">
        <f t="shared" si="5"/>
        <v>3955</v>
      </c>
      <c r="D77" s="334"/>
      <c r="E77" s="334">
        <f>'Biểu 26'!G42</f>
        <v>3955</v>
      </c>
      <c r="F77" s="334"/>
      <c r="G77" s="334"/>
      <c r="H77" s="334"/>
      <c r="I77" s="334"/>
      <c r="J77" s="334"/>
      <c r="K77" s="334"/>
    </row>
    <row r="78" spans="1:11" s="1163" customFormat="1" ht="12.75" x14ac:dyDescent="0.25">
      <c r="A78" s="326">
        <v>3</v>
      </c>
      <c r="B78" s="327" t="s">
        <v>190</v>
      </c>
      <c r="C78" s="334">
        <f t="shared" si="5"/>
        <v>4634</v>
      </c>
      <c r="D78" s="334"/>
      <c r="E78" s="334">
        <f>'Biểu 26'!G43</f>
        <v>4634</v>
      </c>
      <c r="F78" s="334"/>
      <c r="G78" s="334"/>
      <c r="H78" s="334"/>
      <c r="I78" s="334"/>
      <c r="J78" s="334"/>
      <c r="K78" s="334"/>
    </row>
    <row r="79" spans="1:11" s="1163" customFormat="1" ht="12.75" x14ac:dyDescent="0.25">
      <c r="A79" s="326">
        <v>4</v>
      </c>
      <c r="B79" s="327" t="s">
        <v>191</v>
      </c>
      <c r="C79" s="334">
        <f t="shared" si="5"/>
        <v>4773</v>
      </c>
      <c r="D79" s="334"/>
      <c r="E79" s="334">
        <f>'Biểu 26'!G44</f>
        <v>4773</v>
      </c>
      <c r="F79" s="334"/>
      <c r="G79" s="334"/>
      <c r="H79" s="334"/>
      <c r="I79" s="334"/>
      <c r="J79" s="334"/>
      <c r="K79" s="334"/>
    </row>
    <row r="80" spans="1:11" s="1163" customFormat="1" ht="12.75" x14ac:dyDescent="0.25">
      <c r="A80" s="326">
        <v>5</v>
      </c>
      <c r="B80" s="327" t="s">
        <v>192</v>
      </c>
      <c r="C80" s="334">
        <f t="shared" si="5"/>
        <v>2173</v>
      </c>
      <c r="D80" s="334"/>
      <c r="E80" s="334">
        <f>'Biểu 26'!G45</f>
        <v>2173</v>
      </c>
      <c r="F80" s="334"/>
      <c r="G80" s="334"/>
      <c r="H80" s="334"/>
      <c r="I80" s="334"/>
      <c r="J80" s="334"/>
      <c r="K80" s="334"/>
    </row>
    <row r="81" spans="1:11" s="1163" customFormat="1" ht="25.5" x14ac:dyDescent="0.25">
      <c r="A81" s="329" t="s">
        <v>193</v>
      </c>
      <c r="B81" s="332" t="s">
        <v>194</v>
      </c>
      <c r="C81" s="330">
        <f t="shared" ref="C81:D81" si="7">SUM(C82:C95)</f>
        <v>11729</v>
      </c>
      <c r="D81" s="330">
        <f t="shared" si="7"/>
        <v>0</v>
      </c>
      <c r="E81" s="330">
        <f>SUM(E82:E95)</f>
        <v>10676</v>
      </c>
      <c r="F81" s="330">
        <f t="shared" ref="F81:K81" si="8">SUM(F82:F93)</f>
        <v>0</v>
      </c>
      <c r="G81" s="330">
        <f t="shared" si="8"/>
        <v>0</v>
      </c>
      <c r="H81" s="330">
        <f t="shared" si="8"/>
        <v>1053</v>
      </c>
      <c r="I81" s="330">
        <f t="shared" si="8"/>
        <v>0</v>
      </c>
      <c r="J81" s="330">
        <f t="shared" si="8"/>
        <v>1053</v>
      </c>
      <c r="K81" s="330">
        <f t="shared" si="8"/>
        <v>0</v>
      </c>
    </row>
    <row r="82" spans="1:11" s="1163" customFormat="1" ht="12.75" x14ac:dyDescent="0.25">
      <c r="A82" s="333">
        <v>1</v>
      </c>
      <c r="B82" s="337" t="s">
        <v>195</v>
      </c>
      <c r="C82" s="334">
        <f t="shared" si="5"/>
        <v>1122</v>
      </c>
      <c r="D82" s="334"/>
      <c r="E82" s="334">
        <f>'Biểu 26'!G47</f>
        <v>1122</v>
      </c>
      <c r="F82" s="334"/>
      <c r="G82" s="334"/>
      <c r="H82" s="334"/>
      <c r="I82" s="334"/>
      <c r="J82" s="334"/>
      <c r="K82" s="334"/>
    </row>
    <row r="83" spans="1:11" s="1163" customFormat="1" ht="12.75" x14ac:dyDescent="0.2">
      <c r="A83" s="326">
        <v>2</v>
      </c>
      <c r="B83" s="658" t="s">
        <v>196</v>
      </c>
      <c r="C83" s="334">
        <f t="shared" si="5"/>
        <v>646</v>
      </c>
      <c r="D83" s="334"/>
      <c r="E83" s="334">
        <f>'Biểu 26'!G48</f>
        <v>646</v>
      </c>
      <c r="F83" s="334"/>
      <c r="G83" s="334"/>
      <c r="H83" s="334"/>
      <c r="I83" s="334"/>
      <c r="J83" s="334"/>
      <c r="K83" s="334"/>
    </row>
    <row r="84" spans="1:11" s="1163" customFormat="1" ht="12.75" x14ac:dyDescent="0.2">
      <c r="A84" s="333">
        <v>3</v>
      </c>
      <c r="B84" s="658" t="s">
        <v>197</v>
      </c>
      <c r="C84" s="334">
        <f>D84+E84+F84+G84+H84</f>
        <v>4215</v>
      </c>
      <c r="D84" s="334"/>
      <c r="E84" s="334">
        <f>'Biểu 26'!G49-H84</f>
        <v>3162</v>
      </c>
      <c r="F84" s="334"/>
      <c r="G84" s="334"/>
      <c r="H84" s="334">
        <f>J84</f>
        <v>1053</v>
      </c>
      <c r="I84" s="334"/>
      <c r="J84" s="334">
        <v>1053</v>
      </c>
      <c r="K84" s="334"/>
    </row>
    <row r="85" spans="1:11" s="1163" customFormat="1" ht="12.75" x14ac:dyDescent="0.2">
      <c r="A85" s="326">
        <v>4</v>
      </c>
      <c r="B85" s="658" t="s">
        <v>198</v>
      </c>
      <c r="C85" s="334">
        <f t="shared" si="5"/>
        <v>1853</v>
      </c>
      <c r="D85" s="334"/>
      <c r="E85" s="334">
        <f>'Biểu 26'!G50</f>
        <v>1853</v>
      </c>
      <c r="F85" s="334"/>
      <c r="G85" s="334"/>
      <c r="H85" s="334"/>
      <c r="I85" s="334"/>
      <c r="J85" s="334"/>
      <c r="K85" s="334"/>
    </row>
    <row r="86" spans="1:11" s="1163" customFormat="1" ht="12.75" x14ac:dyDescent="0.2">
      <c r="A86" s="333">
        <v>5</v>
      </c>
      <c r="B86" s="658" t="s">
        <v>199</v>
      </c>
      <c r="C86" s="334">
        <f t="shared" si="5"/>
        <v>873</v>
      </c>
      <c r="D86" s="334"/>
      <c r="E86" s="334">
        <f>'Biểu 26'!G51</f>
        <v>873</v>
      </c>
      <c r="F86" s="334"/>
      <c r="G86" s="334"/>
      <c r="H86" s="334"/>
      <c r="I86" s="334"/>
      <c r="J86" s="334"/>
      <c r="K86" s="334"/>
    </row>
    <row r="87" spans="1:11" s="1163" customFormat="1" ht="12.75" x14ac:dyDescent="0.2">
      <c r="A87" s="326">
        <v>6</v>
      </c>
      <c r="B87" s="658" t="s">
        <v>200</v>
      </c>
      <c r="C87" s="334">
        <f t="shared" si="5"/>
        <v>378</v>
      </c>
      <c r="D87" s="334"/>
      <c r="E87" s="334">
        <f>'Biểu 26'!G52</f>
        <v>378</v>
      </c>
      <c r="F87" s="334"/>
      <c r="G87" s="334"/>
      <c r="H87" s="334"/>
      <c r="I87" s="334"/>
      <c r="J87" s="334"/>
      <c r="K87" s="334"/>
    </row>
    <row r="88" spans="1:11" s="1163" customFormat="1" ht="12.75" x14ac:dyDescent="0.2">
      <c r="A88" s="333">
        <v>7</v>
      </c>
      <c r="B88" s="658" t="s">
        <v>201</v>
      </c>
      <c r="C88" s="334">
        <f t="shared" si="5"/>
        <v>431</v>
      </c>
      <c r="D88" s="334"/>
      <c r="E88" s="334">
        <f>'Biểu 26'!G53</f>
        <v>431</v>
      </c>
      <c r="F88" s="334"/>
      <c r="G88" s="334"/>
      <c r="H88" s="334"/>
      <c r="I88" s="334"/>
      <c r="J88" s="334"/>
      <c r="K88" s="334"/>
    </row>
    <row r="89" spans="1:11" s="1163" customFormat="1" ht="12.75" x14ac:dyDescent="0.2">
      <c r="A89" s="326">
        <v>8</v>
      </c>
      <c r="B89" s="658" t="s">
        <v>202</v>
      </c>
      <c r="C89" s="334">
        <f t="shared" si="5"/>
        <v>392</v>
      </c>
      <c r="D89" s="334"/>
      <c r="E89" s="334">
        <f>'Biểu 26'!G54</f>
        <v>392</v>
      </c>
      <c r="F89" s="334"/>
      <c r="G89" s="334"/>
      <c r="H89" s="334"/>
      <c r="I89" s="334"/>
      <c r="J89" s="334"/>
      <c r="K89" s="334"/>
    </row>
    <row r="90" spans="1:11" s="1163" customFormat="1" ht="12.75" x14ac:dyDescent="0.2">
      <c r="A90" s="333">
        <v>9</v>
      </c>
      <c r="B90" s="658" t="s">
        <v>203</v>
      </c>
      <c r="C90" s="334">
        <f t="shared" si="5"/>
        <v>382</v>
      </c>
      <c r="D90" s="334"/>
      <c r="E90" s="334">
        <f>'Biểu 26'!G55</f>
        <v>382</v>
      </c>
      <c r="F90" s="334"/>
      <c r="G90" s="334"/>
      <c r="H90" s="334"/>
      <c r="I90" s="334"/>
      <c r="J90" s="334"/>
      <c r="K90" s="334"/>
    </row>
    <row r="91" spans="1:11" s="1163" customFormat="1" ht="12.75" x14ac:dyDescent="0.2">
      <c r="A91" s="326">
        <v>10</v>
      </c>
      <c r="B91" s="658" t="s">
        <v>204</v>
      </c>
      <c r="C91" s="334">
        <f t="shared" si="5"/>
        <v>532</v>
      </c>
      <c r="D91" s="334"/>
      <c r="E91" s="334">
        <f>'Biểu 26'!G56</f>
        <v>532</v>
      </c>
      <c r="F91" s="334"/>
      <c r="G91" s="334"/>
      <c r="H91" s="334"/>
      <c r="I91" s="334"/>
      <c r="J91" s="334"/>
      <c r="K91" s="334"/>
    </row>
    <row r="92" spans="1:11" s="1163" customFormat="1" ht="12.75" x14ac:dyDescent="0.2">
      <c r="A92" s="333">
        <v>11</v>
      </c>
      <c r="B92" s="96" t="s">
        <v>205</v>
      </c>
      <c r="C92" s="334">
        <f t="shared" si="5"/>
        <v>424</v>
      </c>
      <c r="D92" s="334"/>
      <c r="E92" s="334">
        <f>'Biểu 26'!G57</f>
        <v>424</v>
      </c>
      <c r="F92" s="334"/>
      <c r="G92" s="334"/>
      <c r="H92" s="334"/>
      <c r="I92" s="334"/>
      <c r="J92" s="334"/>
      <c r="K92" s="334"/>
    </row>
    <row r="93" spans="1:11" s="1163" customFormat="1" ht="12.75" x14ac:dyDescent="0.25">
      <c r="A93" s="326">
        <v>12</v>
      </c>
      <c r="B93" s="337" t="s">
        <v>206</v>
      </c>
      <c r="C93" s="334">
        <f t="shared" si="5"/>
        <v>351</v>
      </c>
      <c r="D93" s="334"/>
      <c r="E93" s="334">
        <f>'Biểu 26'!G58</f>
        <v>351</v>
      </c>
      <c r="F93" s="334"/>
      <c r="G93" s="334"/>
      <c r="H93" s="334"/>
      <c r="I93" s="334"/>
      <c r="J93" s="334"/>
      <c r="K93" s="334"/>
    </row>
    <row r="94" spans="1:11" s="1163" customFormat="1" ht="12.75" x14ac:dyDescent="0.25">
      <c r="A94" s="333">
        <v>13</v>
      </c>
      <c r="B94" s="672" t="s">
        <v>927</v>
      </c>
      <c r="C94" s="334">
        <f t="shared" si="5"/>
        <v>50</v>
      </c>
      <c r="D94" s="334"/>
      <c r="E94" s="334">
        <f>'Biểu 26'!G59</f>
        <v>50</v>
      </c>
      <c r="F94" s="334"/>
      <c r="G94" s="334"/>
      <c r="H94" s="334"/>
      <c r="I94" s="334"/>
      <c r="J94" s="334"/>
      <c r="K94" s="334"/>
    </row>
    <row r="95" spans="1:11" s="1163" customFormat="1" ht="12.75" x14ac:dyDescent="0.25">
      <c r="A95" s="326">
        <v>14</v>
      </c>
      <c r="B95" s="672" t="s">
        <v>928</v>
      </c>
      <c r="C95" s="334">
        <f t="shared" si="5"/>
        <v>80</v>
      </c>
      <c r="D95" s="334"/>
      <c r="E95" s="334">
        <f>'Biểu 26'!G60</f>
        <v>80</v>
      </c>
      <c r="F95" s="334"/>
      <c r="G95" s="334"/>
      <c r="H95" s="334"/>
      <c r="I95" s="334"/>
      <c r="J95" s="334"/>
      <c r="K95" s="334"/>
    </row>
    <row r="96" spans="1:11" s="1163" customFormat="1" ht="12.75" x14ac:dyDescent="0.25">
      <c r="A96" s="329" t="s">
        <v>207</v>
      </c>
      <c r="B96" s="330" t="s">
        <v>208</v>
      </c>
      <c r="C96" s="330">
        <f>SUM(C97:C98)</f>
        <v>53847</v>
      </c>
      <c r="D96" s="330">
        <f t="shared" ref="D96:K96" si="9">SUM(D97:D98)</f>
        <v>13317</v>
      </c>
      <c r="E96" s="330">
        <f t="shared" si="9"/>
        <v>40450</v>
      </c>
      <c r="F96" s="330">
        <f t="shared" si="9"/>
        <v>0</v>
      </c>
      <c r="G96" s="330">
        <f t="shared" si="9"/>
        <v>0</v>
      </c>
      <c r="H96" s="330">
        <f t="shared" si="9"/>
        <v>80</v>
      </c>
      <c r="I96" s="330">
        <f t="shared" si="9"/>
        <v>0</v>
      </c>
      <c r="J96" s="330">
        <f t="shared" si="9"/>
        <v>80</v>
      </c>
      <c r="K96" s="330">
        <f t="shared" si="9"/>
        <v>0</v>
      </c>
    </row>
    <row r="97" spans="1:11" s="1163" customFormat="1" ht="12.75" x14ac:dyDescent="0.25">
      <c r="A97" s="326">
        <v>1</v>
      </c>
      <c r="B97" s="327" t="s">
        <v>209</v>
      </c>
      <c r="C97" s="334">
        <f t="shared" si="5"/>
        <v>38822</v>
      </c>
      <c r="D97" s="334">
        <f>'Biểu 25'!C61</f>
        <v>13317</v>
      </c>
      <c r="E97" s="334">
        <f>'Biểu 26'!G62</f>
        <v>25505</v>
      </c>
      <c r="F97" s="334"/>
      <c r="G97" s="334"/>
      <c r="H97" s="334"/>
      <c r="I97" s="334"/>
      <c r="J97" s="334"/>
      <c r="K97" s="334"/>
    </row>
    <row r="98" spans="1:11" s="1163" customFormat="1" ht="12.75" x14ac:dyDescent="0.25">
      <c r="A98" s="326">
        <v>2</v>
      </c>
      <c r="B98" s="327" t="s">
        <v>210</v>
      </c>
      <c r="C98" s="334">
        <f>D98+E98+F98+G98+H98</f>
        <v>15025</v>
      </c>
      <c r="D98" s="334"/>
      <c r="E98" s="334">
        <f>'Biểu 26'!G63-H98</f>
        <v>14945</v>
      </c>
      <c r="F98" s="334"/>
      <c r="G98" s="334"/>
      <c r="H98" s="334">
        <f>J98</f>
        <v>80</v>
      </c>
      <c r="I98" s="334"/>
      <c r="J98" s="334">
        <v>80</v>
      </c>
      <c r="K98" s="334"/>
    </row>
    <row r="99" spans="1:11" s="1163" customFormat="1" ht="12.75" x14ac:dyDescent="0.25">
      <c r="A99" s="335" t="s">
        <v>211</v>
      </c>
      <c r="B99" s="336" t="s">
        <v>212</v>
      </c>
      <c r="C99" s="330">
        <f t="shared" ref="C99:D99" si="10">SUM(C100:C122)</f>
        <v>252913</v>
      </c>
      <c r="D99" s="330">
        <f t="shared" si="10"/>
        <v>0</v>
      </c>
      <c r="E99" s="330">
        <f>SUM(E100:E122)</f>
        <v>252913</v>
      </c>
      <c r="F99" s="330">
        <f t="shared" ref="F99:K99" si="11">SUM(F100:F122)</f>
        <v>0</v>
      </c>
      <c r="G99" s="330">
        <f t="shared" si="11"/>
        <v>0</v>
      </c>
      <c r="H99" s="330">
        <f t="shared" si="11"/>
        <v>0</v>
      </c>
      <c r="I99" s="330">
        <f t="shared" si="11"/>
        <v>0</v>
      </c>
      <c r="J99" s="330">
        <f t="shared" si="11"/>
        <v>0</v>
      </c>
      <c r="K99" s="330">
        <f t="shared" si="11"/>
        <v>0</v>
      </c>
    </row>
    <row r="100" spans="1:11" s="1163" customFormat="1" ht="25.5" x14ac:dyDescent="0.2">
      <c r="A100" s="95">
        <v>1</v>
      </c>
      <c r="B100" s="337" t="s">
        <v>213</v>
      </c>
      <c r="C100" s="334">
        <f t="shared" si="5"/>
        <v>3000</v>
      </c>
      <c r="D100" s="330"/>
      <c r="E100" s="334">
        <f>'Biểu 26'!G65</f>
        <v>3000</v>
      </c>
      <c r="F100" s="330"/>
      <c r="G100" s="330"/>
      <c r="H100" s="330"/>
      <c r="I100" s="330"/>
      <c r="J100" s="330"/>
      <c r="K100" s="330"/>
    </row>
    <row r="101" spans="1:11" s="1163" customFormat="1" ht="12.75" x14ac:dyDescent="0.2">
      <c r="A101" s="95">
        <v>2</v>
      </c>
      <c r="B101" s="337" t="s">
        <v>214</v>
      </c>
      <c r="C101" s="334">
        <f t="shared" si="5"/>
        <v>220608</v>
      </c>
      <c r="D101" s="330"/>
      <c r="E101" s="334">
        <f>'Biểu 26'!G66</f>
        <v>220608</v>
      </c>
      <c r="F101" s="330"/>
      <c r="G101" s="330"/>
      <c r="H101" s="330"/>
      <c r="I101" s="330"/>
      <c r="J101" s="330"/>
      <c r="K101" s="330"/>
    </row>
    <row r="102" spans="1:11" s="1163" customFormat="1" ht="38.25" x14ac:dyDescent="0.2">
      <c r="A102" s="95">
        <v>3</v>
      </c>
      <c r="B102" s="337" t="s">
        <v>215</v>
      </c>
      <c r="C102" s="334">
        <f t="shared" si="5"/>
        <v>7967</v>
      </c>
      <c r="D102" s="330"/>
      <c r="E102" s="334">
        <f>'Biểu 26'!G67</f>
        <v>7967</v>
      </c>
      <c r="F102" s="330"/>
      <c r="G102" s="330"/>
      <c r="H102" s="330"/>
      <c r="I102" s="330"/>
      <c r="J102" s="330"/>
      <c r="K102" s="330"/>
    </row>
    <row r="103" spans="1:11" s="1163" customFormat="1" ht="25.5" x14ac:dyDescent="0.2">
      <c r="A103" s="95">
        <v>4</v>
      </c>
      <c r="B103" s="334" t="s">
        <v>526</v>
      </c>
      <c r="C103" s="334">
        <f t="shared" si="5"/>
        <v>0</v>
      </c>
      <c r="D103" s="330"/>
      <c r="E103" s="334">
        <f>'Biểu 26'!G68</f>
        <v>0</v>
      </c>
      <c r="F103" s="330"/>
      <c r="G103" s="330"/>
      <c r="H103" s="330"/>
      <c r="I103" s="330"/>
      <c r="J103" s="330"/>
      <c r="K103" s="330"/>
    </row>
    <row r="104" spans="1:11" s="1163" customFormat="1" ht="25.5" x14ac:dyDescent="0.2">
      <c r="A104" s="95">
        <v>5</v>
      </c>
      <c r="B104" s="334" t="s">
        <v>527</v>
      </c>
      <c r="C104" s="334">
        <f t="shared" si="5"/>
        <v>0</v>
      </c>
      <c r="D104" s="330"/>
      <c r="E104" s="334">
        <f>'Biểu 26'!G69</f>
        <v>0</v>
      </c>
      <c r="F104" s="330"/>
      <c r="G104" s="330"/>
      <c r="H104" s="330"/>
      <c r="I104" s="330"/>
      <c r="J104" s="330"/>
      <c r="K104" s="330"/>
    </row>
    <row r="105" spans="1:11" s="1163" customFormat="1" ht="12.75" x14ac:dyDescent="0.2">
      <c r="A105" s="95">
        <v>6</v>
      </c>
      <c r="B105" s="334" t="s">
        <v>528</v>
      </c>
      <c r="C105" s="334">
        <f t="shared" si="5"/>
        <v>0</v>
      </c>
      <c r="D105" s="330"/>
      <c r="E105" s="334">
        <f>'Biểu 26'!G70</f>
        <v>0</v>
      </c>
      <c r="F105" s="330"/>
      <c r="G105" s="330"/>
      <c r="H105" s="330"/>
      <c r="I105" s="330"/>
      <c r="J105" s="330"/>
      <c r="K105" s="330"/>
    </row>
    <row r="106" spans="1:11" s="1163" customFormat="1" ht="25.5" x14ac:dyDescent="0.2">
      <c r="A106" s="95">
        <v>7</v>
      </c>
      <c r="B106" s="337" t="s">
        <v>521</v>
      </c>
      <c r="C106" s="334">
        <f t="shared" si="5"/>
        <v>200</v>
      </c>
      <c r="D106" s="330"/>
      <c r="E106" s="334">
        <f>'Biểu 26'!G71</f>
        <v>200</v>
      </c>
      <c r="F106" s="330"/>
      <c r="G106" s="330"/>
      <c r="H106" s="330"/>
      <c r="I106" s="330"/>
      <c r="J106" s="330"/>
      <c r="K106" s="330"/>
    </row>
    <row r="107" spans="1:11" s="1163" customFormat="1" ht="12.75" x14ac:dyDescent="0.2">
      <c r="A107" s="95">
        <v>8</v>
      </c>
      <c r="B107" s="337" t="s">
        <v>522</v>
      </c>
      <c r="C107" s="334">
        <f t="shared" si="5"/>
        <v>28</v>
      </c>
      <c r="D107" s="330"/>
      <c r="E107" s="334">
        <f>'Biểu 26'!G72</f>
        <v>28</v>
      </c>
      <c r="F107" s="330"/>
      <c r="G107" s="330"/>
      <c r="H107" s="330"/>
      <c r="I107" s="330"/>
      <c r="J107" s="330"/>
      <c r="K107" s="330"/>
    </row>
    <row r="108" spans="1:11" s="1163" customFormat="1" ht="12.75" x14ac:dyDescent="0.2">
      <c r="A108" s="95">
        <v>9</v>
      </c>
      <c r="B108" s="337" t="s">
        <v>523</v>
      </c>
      <c r="C108" s="334">
        <f t="shared" si="5"/>
        <v>73</v>
      </c>
      <c r="D108" s="330"/>
      <c r="E108" s="334">
        <f>'Biểu 26'!G73</f>
        <v>73</v>
      </c>
      <c r="F108" s="330"/>
      <c r="G108" s="330"/>
      <c r="H108" s="330"/>
      <c r="I108" s="330"/>
      <c r="J108" s="330"/>
      <c r="K108" s="330"/>
    </row>
    <row r="109" spans="1:11" s="1163" customFormat="1" ht="25.5" x14ac:dyDescent="0.2">
      <c r="A109" s="95">
        <v>10</v>
      </c>
      <c r="B109" s="337" t="s">
        <v>524</v>
      </c>
      <c r="C109" s="334">
        <f t="shared" si="5"/>
        <v>51</v>
      </c>
      <c r="D109" s="330"/>
      <c r="E109" s="334">
        <f>'Biểu 26'!G74</f>
        <v>51</v>
      </c>
      <c r="F109" s="330"/>
      <c r="G109" s="330"/>
      <c r="H109" s="330"/>
      <c r="I109" s="330"/>
      <c r="J109" s="330"/>
      <c r="K109" s="330"/>
    </row>
    <row r="110" spans="1:11" s="1163" customFormat="1" ht="12.75" x14ac:dyDescent="0.2">
      <c r="A110" s="95">
        <v>11</v>
      </c>
      <c r="B110" s="337" t="s">
        <v>1386</v>
      </c>
      <c r="C110" s="334">
        <f t="shared" si="5"/>
        <v>22</v>
      </c>
      <c r="D110" s="330"/>
      <c r="E110" s="334">
        <f>'Biểu 26'!G75</f>
        <v>22</v>
      </c>
      <c r="F110" s="330"/>
      <c r="G110" s="330"/>
      <c r="H110" s="330"/>
      <c r="I110" s="330"/>
      <c r="J110" s="330"/>
      <c r="K110" s="330"/>
    </row>
    <row r="111" spans="1:11" s="1163" customFormat="1" ht="12.75" x14ac:dyDescent="0.2">
      <c r="A111" s="95">
        <v>12</v>
      </c>
      <c r="B111" s="337" t="s">
        <v>525</v>
      </c>
      <c r="C111" s="334">
        <f t="shared" si="5"/>
        <v>17024</v>
      </c>
      <c r="D111" s="330"/>
      <c r="E111" s="334">
        <f>'Biểu 26'!G76</f>
        <v>17024</v>
      </c>
      <c r="F111" s="330"/>
      <c r="G111" s="330"/>
      <c r="H111" s="330"/>
      <c r="I111" s="330"/>
      <c r="J111" s="330"/>
      <c r="K111" s="330"/>
    </row>
    <row r="112" spans="1:11" s="1163" customFormat="1" ht="25.5" x14ac:dyDescent="0.2">
      <c r="A112" s="95">
        <v>13</v>
      </c>
      <c r="B112" s="337" t="s">
        <v>519</v>
      </c>
      <c r="C112" s="334">
        <f t="shared" si="5"/>
        <v>2670</v>
      </c>
      <c r="D112" s="330"/>
      <c r="E112" s="334">
        <f>'Biểu 26'!G77</f>
        <v>2670</v>
      </c>
      <c r="F112" s="330"/>
      <c r="G112" s="330"/>
      <c r="H112" s="330"/>
      <c r="I112" s="330"/>
      <c r="J112" s="330"/>
      <c r="K112" s="330"/>
    </row>
    <row r="113" spans="1:11" s="1163" customFormat="1" ht="12.75" x14ac:dyDescent="0.2">
      <c r="A113" s="95">
        <v>14</v>
      </c>
      <c r="B113" s="337" t="s">
        <v>520</v>
      </c>
      <c r="C113" s="334">
        <f t="shared" si="5"/>
        <v>100</v>
      </c>
      <c r="D113" s="330"/>
      <c r="E113" s="334">
        <f>'Biểu 26'!G78</f>
        <v>100</v>
      </c>
      <c r="F113" s="330"/>
      <c r="G113" s="330"/>
      <c r="H113" s="330"/>
      <c r="I113" s="330"/>
      <c r="J113" s="330"/>
      <c r="K113" s="330"/>
    </row>
    <row r="114" spans="1:11" s="1163" customFormat="1" ht="12.75" x14ac:dyDescent="0.2">
      <c r="A114" s="95">
        <v>15</v>
      </c>
      <c r="B114" s="337" t="s">
        <v>1385</v>
      </c>
      <c r="C114" s="334">
        <f t="shared" si="5"/>
        <v>101</v>
      </c>
      <c r="D114" s="330"/>
      <c r="E114" s="334">
        <f>'Biểu 26'!G79</f>
        <v>101</v>
      </c>
      <c r="F114" s="330"/>
      <c r="G114" s="330"/>
      <c r="H114" s="330"/>
      <c r="I114" s="330"/>
      <c r="J114" s="330"/>
      <c r="K114" s="330"/>
    </row>
    <row r="115" spans="1:11" s="1163" customFormat="1" ht="12.75" x14ac:dyDescent="0.2">
      <c r="A115" s="95">
        <v>16</v>
      </c>
      <c r="B115" s="337" t="s">
        <v>939</v>
      </c>
      <c r="C115" s="334">
        <f t="shared" si="5"/>
        <v>590</v>
      </c>
      <c r="D115" s="330"/>
      <c r="E115" s="334">
        <f>'Biểu 26'!G80</f>
        <v>590</v>
      </c>
      <c r="F115" s="330"/>
      <c r="G115" s="330"/>
      <c r="H115" s="330"/>
      <c r="I115" s="330"/>
      <c r="J115" s="330"/>
      <c r="K115" s="330"/>
    </row>
    <row r="116" spans="1:11" s="1163" customFormat="1" ht="12.75" x14ac:dyDescent="0.2">
      <c r="A116" s="95">
        <v>17</v>
      </c>
      <c r="B116" s="337" t="s">
        <v>1390</v>
      </c>
      <c r="C116" s="334">
        <f t="shared" si="5"/>
        <v>62</v>
      </c>
      <c r="D116" s="330"/>
      <c r="E116" s="334">
        <f>'Biểu 26'!G81</f>
        <v>62</v>
      </c>
      <c r="F116" s="330"/>
      <c r="G116" s="330"/>
      <c r="H116" s="330"/>
      <c r="I116" s="330"/>
      <c r="J116" s="330"/>
      <c r="K116" s="330"/>
    </row>
    <row r="117" spans="1:11" s="1163" customFormat="1" ht="12.75" x14ac:dyDescent="0.2">
      <c r="A117" s="95">
        <v>18</v>
      </c>
      <c r="B117" s="337" t="s">
        <v>1389</v>
      </c>
      <c r="C117" s="334">
        <f t="shared" si="5"/>
        <v>1</v>
      </c>
      <c r="D117" s="330"/>
      <c r="E117" s="334">
        <f>'Biểu 26'!G82</f>
        <v>1</v>
      </c>
      <c r="F117" s="330"/>
      <c r="G117" s="330"/>
      <c r="H117" s="330"/>
      <c r="I117" s="330"/>
      <c r="J117" s="330"/>
      <c r="K117" s="330"/>
    </row>
    <row r="118" spans="1:11" s="1163" customFormat="1" ht="12.75" x14ac:dyDescent="0.2">
      <c r="A118" s="95">
        <v>19</v>
      </c>
      <c r="B118" s="337" t="s">
        <v>936</v>
      </c>
      <c r="C118" s="334">
        <f t="shared" si="5"/>
        <v>46</v>
      </c>
      <c r="D118" s="330"/>
      <c r="E118" s="334">
        <f>'Biểu 26'!G83</f>
        <v>46</v>
      </c>
      <c r="F118" s="330"/>
      <c r="G118" s="330"/>
      <c r="H118" s="330"/>
      <c r="I118" s="330"/>
      <c r="J118" s="330"/>
      <c r="K118" s="330"/>
    </row>
    <row r="119" spans="1:11" s="1163" customFormat="1" ht="12.75" x14ac:dyDescent="0.2">
      <c r="A119" s="95">
        <v>20</v>
      </c>
      <c r="B119" s="337" t="s">
        <v>216</v>
      </c>
      <c r="C119" s="334">
        <f t="shared" si="5"/>
        <v>30</v>
      </c>
      <c r="D119" s="330"/>
      <c r="E119" s="334">
        <f>'Biểu 26'!G84</f>
        <v>30</v>
      </c>
      <c r="F119" s="330"/>
      <c r="G119" s="330"/>
      <c r="H119" s="330"/>
      <c r="I119" s="330"/>
      <c r="J119" s="330"/>
      <c r="K119" s="330"/>
    </row>
    <row r="120" spans="1:11" s="1163" customFormat="1" ht="12.75" x14ac:dyDescent="0.2">
      <c r="A120" s="95">
        <v>21</v>
      </c>
      <c r="B120" s="337" t="s">
        <v>937</v>
      </c>
      <c r="C120" s="334">
        <f t="shared" si="5"/>
        <v>19</v>
      </c>
      <c r="D120" s="330"/>
      <c r="E120" s="334">
        <f>'Biểu 26'!G85</f>
        <v>19</v>
      </c>
      <c r="F120" s="330"/>
      <c r="G120" s="330"/>
      <c r="H120" s="330"/>
      <c r="I120" s="330"/>
      <c r="J120" s="330"/>
      <c r="K120" s="330"/>
    </row>
    <row r="121" spans="1:11" s="1163" customFormat="1" ht="12.75" x14ac:dyDescent="0.2">
      <c r="A121" s="95">
        <v>22</v>
      </c>
      <c r="B121" s="337" t="s">
        <v>217</v>
      </c>
      <c r="C121" s="334">
        <f t="shared" si="5"/>
        <v>310</v>
      </c>
      <c r="D121" s="330"/>
      <c r="E121" s="334">
        <f>'Biểu 26'!G86</f>
        <v>310</v>
      </c>
      <c r="F121" s="330"/>
      <c r="G121" s="330"/>
      <c r="H121" s="330"/>
      <c r="I121" s="330"/>
      <c r="J121" s="330"/>
      <c r="K121" s="330"/>
    </row>
    <row r="122" spans="1:11" s="1163" customFormat="1" ht="12.75" x14ac:dyDescent="0.2">
      <c r="A122" s="674">
        <v>23</v>
      </c>
      <c r="B122" s="675" t="s">
        <v>218</v>
      </c>
      <c r="C122" s="334">
        <f t="shared" si="5"/>
        <v>11</v>
      </c>
      <c r="D122" s="330"/>
      <c r="E122" s="334">
        <f>'Biểu 26'!G87</f>
        <v>11</v>
      </c>
      <c r="F122" s="330"/>
      <c r="G122" s="330"/>
      <c r="H122" s="330"/>
      <c r="I122" s="330"/>
      <c r="J122" s="330"/>
      <c r="K122" s="330"/>
    </row>
    <row r="123" spans="1:11" s="1163" customFormat="1" ht="44.25" customHeight="1" x14ac:dyDescent="0.25">
      <c r="A123" s="617" t="s">
        <v>11</v>
      </c>
      <c r="B123" s="330" t="s">
        <v>93</v>
      </c>
      <c r="C123" s="334">
        <f t="shared" si="5"/>
        <v>498</v>
      </c>
      <c r="D123" s="334"/>
      <c r="E123" s="334"/>
      <c r="F123" s="334">
        <v>498</v>
      </c>
      <c r="G123" s="334"/>
      <c r="H123" s="334"/>
      <c r="I123" s="334"/>
      <c r="J123" s="334"/>
      <c r="K123" s="334"/>
    </row>
    <row r="124" spans="1:11" s="1163" customFormat="1" ht="28.5" customHeight="1" x14ac:dyDescent="0.25">
      <c r="A124" s="617" t="s">
        <v>14</v>
      </c>
      <c r="B124" s="330" t="s">
        <v>94</v>
      </c>
      <c r="C124" s="330">
        <f t="shared" si="5"/>
        <v>1000</v>
      </c>
      <c r="D124" s="330"/>
      <c r="E124" s="330"/>
      <c r="F124" s="330"/>
      <c r="G124" s="330">
        <v>1000</v>
      </c>
      <c r="H124" s="334"/>
      <c r="I124" s="334"/>
      <c r="J124" s="334"/>
      <c r="K124" s="334"/>
    </row>
    <row r="125" spans="1:11" s="1163" customFormat="1" ht="30" customHeight="1" x14ac:dyDescent="0.25">
      <c r="A125" s="1278" t="s">
        <v>15</v>
      </c>
      <c r="B125" s="1279" t="s">
        <v>1236</v>
      </c>
      <c r="C125" s="1279">
        <f>K125</f>
        <v>2243717</v>
      </c>
      <c r="D125" s="1279"/>
      <c r="E125" s="1279"/>
      <c r="F125" s="1279"/>
      <c r="G125" s="1279"/>
      <c r="H125" s="1279"/>
      <c r="I125" s="1279"/>
      <c r="J125" s="1279"/>
      <c r="K125" s="1279">
        <f>'Biểu 23'!D8</f>
        <v>2243717</v>
      </c>
    </row>
    <row r="126" spans="1:11" ht="42" customHeight="1" x14ac:dyDescent="0.25">
      <c r="A126" s="1280" t="s">
        <v>17</v>
      </c>
      <c r="B126" s="1281" t="s">
        <v>95</v>
      </c>
      <c r="C126" s="1281">
        <f>D126+E126</f>
        <v>650680</v>
      </c>
      <c r="D126" s="1281">
        <f>365650+100000+90000</f>
        <v>555650</v>
      </c>
      <c r="E126" s="1281">
        <v>95030</v>
      </c>
      <c r="F126" s="1282"/>
      <c r="G126" s="1282"/>
      <c r="H126" s="1282"/>
      <c r="I126" s="1282"/>
      <c r="J126" s="1282"/>
      <c r="K126" s="1282"/>
    </row>
    <row r="127" spans="1:11" x14ac:dyDescent="0.25">
      <c r="A127" s="1165"/>
    </row>
    <row r="128" spans="1:11" x14ac:dyDescent="0.25">
      <c r="A128" s="1166"/>
      <c r="B128" s="1166"/>
      <c r="C128" s="1166"/>
      <c r="D128" s="1166"/>
      <c r="F128" s="1166"/>
      <c r="G128" s="1166"/>
      <c r="H128" s="1166"/>
      <c r="I128" s="1166"/>
      <c r="J128" s="1166"/>
      <c r="K128" s="1166"/>
    </row>
    <row r="129" spans="1:11" x14ac:dyDescent="0.25">
      <c r="A129" s="1167"/>
      <c r="B129" s="1167"/>
      <c r="C129" s="1167"/>
      <c r="D129" s="1167"/>
      <c r="E129" s="1167"/>
      <c r="F129" s="1167"/>
      <c r="G129" s="1167"/>
      <c r="H129" s="1167"/>
      <c r="I129" s="1167"/>
      <c r="J129" s="1167"/>
      <c r="K129" s="1167"/>
    </row>
  </sheetData>
  <mergeCells count="11">
    <mergeCell ref="K4:K5"/>
    <mergeCell ref="A1:K1"/>
    <mergeCell ref="A2:K2"/>
    <mergeCell ref="A4:A5"/>
    <mergeCell ref="B4:B5"/>
    <mergeCell ref="C4:C5"/>
    <mergeCell ref="D4:D5"/>
    <mergeCell ref="E4:E5"/>
    <mergeCell ref="F4:F5"/>
    <mergeCell ref="G4:G5"/>
    <mergeCell ref="H4:J4"/>
  </mergeCells>
  <pageMargins left="0.7" right="0.2" top="0.75" bottom="0.6" header="0.49" footer="0.3"/>
  <pageSetup paperSize="9" firstPageNumber="97" orientation="portrait" useFirstPageNumber="1" r:id="rId1"/>
  <headerFooter>
    <oddHeader>&amp;RBiểu mẫu số 24</oddHeader>
    <oddFooter>&amp;C&amp;P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R74"/>
  <sheetViews>
    <sheetView zoomScaleNormal="100" workbookViewId="0">
      <pane xSplit="2" ySplit="8" topLeftCell="C9" activePane="bottomRight" state="frozen"/>
      <selection pane="topRight" activeCell="C1" sqref="C1"/>
      <selection pane="bottomLeft" activeCell="A10" sqref="A10"/>
      <selection pane="bottomRight" activeCell="D76" sqref="D76"/>
    </sheetView>
  </sheetViews>
  <sheetFormatPr defaultColWidth="9" defaultRowHeight="12.75" x14ac:dyDescent="0.2"/>
  <cols>
    <col min="1" max="1" width="3.375" style="461" customWidth="1"/>
    <col min="2" max="2" width="27.625" style="460" customWidth="1"/>
    <col min="3" max="3" width="8.75" style="460" customWidth="1"/>
    <col min="4" max="4" width="7" style="460" customWidth="1"/>
    <col min="5" max="7" width="6.375" style="460" customWidth="1"/>
    <col min="8" max="8" width="5.75" style="460" customWidth="1"/>
    <col min="9" max="9" width="5.375" style="460" customWidth="1"/>
    <col min="10" max="10" width="5.875" style="460" customWidth="1"/>
    <col min="11" max="11" width="5.5" style="460" customWidth="1"/>
    <col min="12" max="12" width="7.5" style="460" customWidth="1"/>
    <col min="13" max="14" width="7.375" style="460" customWidth="1"/>
    <col min="15" max="15" width="7.25" style="460" customWidth="1"/>
    <col min="16" max="16" width="6.5" style="460" customWidth="1"/>
    <col min="17" max="17" width="6.375" style="460" customWidth="1"/>
    <col min="18" max="18" width="9.25" style="460" hidden="1" customWidth="1"/>
    <col min="19" max="19" width="9" style="460" customWidth="1"/>
    <col min="20" max="16384" width="9" style="460"/>
  </cols>
  <sheetData>
    <row r="1" spans="1:18" ht="23.25" customHeight="1" x14ac:dyDescent="0.2">
      <c r="A1" s="2052" t="s">
        <v>1395</v>
      </c>
      <c r="B1" s="2052"/>
      <c r="C1" s="2052"/>
      <c r="D1" s="2052"/>
      <c r="E1" s="2052"/>
      <c r="F1" s="2052"/>
      <c r="G1" s="2052"/>
      <c r="H1" s="2052"/>
      <c r="I1" s="2052"/>
      <c r="J1" s="2052"/>
      <c r="K1" s="2052"/>
      <c r="L1" s="2052"/>
      <c r="M1" s="2052"/>
      <c r="N1" s="2052"/>
      <c r="O1" s="2052"/>
      <c r="P1" s="2052"/>
      <c r="Q1" s="2052"/>
    </row>
    <row r="2" spans="1:18" ht="15.75" x14ac:dyDescent="0.2">
      <c r="A2" s="2050" t="str">
        <f>'Biểu 03'!A2:AA2</f>
        <v>(Kèm theo Báo cáo số              /BC-UBND ngày       tháng 11 năm 2018 của UBND tỉnh Bắc Kạn)</v>
      </c>
      <c r="B2" s="2053"/>
      <c r="C2" s="2053"/>
      <c r="D2" s="2053"/>
      <c r="E2" s="2053"/>
      <c r="F2" s="2053"/>
      <c r="G2" s="2053"/>
      <c r="H2" s="2053"/>
      <c r="I2" s="2053"/>
      <c r="J2" s="2053"/>
      <c r="K2" s="2053"/>
      <c r="L2" s="2053"/>
      <c r="M2" s="2053"/>
      <c r="N2" s="2053"/>
      <c r="O2" s="2053"/>
      <c r="P2" s="2053"/>
      <c r="Q2" s="2053"/>
    </row>
    <row r="3" spans="1:18" ht="15.75" x14ac:dyDescent="0.2">
      <c r="Q3" s="462" t="s">
        <v>6</v>
      </c>
    </row>
    <row r="4" spans="1:18" ht="15.75" customHeight="1" x14ac:dyDescent="0.2">
      <c r="A4" s="2051" t="s">
        <v>0</v>
      </c>
      <c r="B4" s="2051" t="s">
        <v>63</v>
      </c>
      <c r="C4" s="2051" t="s">
        <v>61</v>
      </c>
      <c r="D4" s="2051" t="s">
        <v>28</v>
      </c>
      <c r="E4" s="2051" t="s">
        <v>29</v>
      </c>
      <c r="F4" s="2051" t="s">
        <v>75</v>
      </c>
      <c r="G4" s="2051" t="s">
        <v>77</v>
      </c>
      <c r="H4" s="2051" t="s">
        <v>78</v>
      </c>
      <c r="I4" s="2051" t="s">
        <v>79</v>
      </c>
      <c r="J4" s="2058" t="s">
        <v>1396</v>
      </c>
      <c r="K4" s="2051" t="s">
        <v>81</v>
      </c>
      <c r="L4" s="2051" t="s">
        <v>82</v>
      </c>
      <c r="M4" s="2054" t="s">
        <v>96</v>
      </c>
      <c r="N4" s="2055"/>
      <c r="O4" s="2056"/>
      <c r="P4" s="2057" t="s">
        <v>83</v>
      </c>
      <c r="Q4" s="2051" t="s">
        <v>85</v>
      </c>
    </row>
    <row r="5" spans="1:18" ht="97.5" customHeight="1" x14ac:dyDescent="0.2">
      <c r="A5" s="2051"/>
      <c r="B5" s="2051"/>
      <c r="C5" s="2051"/>
      <c r="D5" s="2051"/>
      <c r="E5" s="2051"/>
      <c r="F5" s="2051"/>
      <c r="G5" s="2051"/>
      <c r="H5" s="2051"/>
      <c r="I5" s="2051"/>
      <c r="J5" s="2059"/>
      <c r="K5" s="2051"/>
      <c r="L5" s="2051"/>
      <c r="M5" s="1025" t="s">
        <v>97</v>
      </c>
      <c r="N5" s="1169" t="s">
        <v>98</v>
      </c>
      <c r="O5" s="1025" t="s">
        <v>287</v>
      </c>
      <c r="P5" s="2057"/>
      <c r="Q5" s="2051"/>
      <c r="R5" s="465">
        <v>1191691.9999999998</v>
      </c>
    </row>
    <row r="6" spans="1:18" ht="17.25" customHeight="1" x14ac:dyDescent="0.2">
      <c r="A6" s="1168" t="s">
        <v>2</v>
      </c>
      <c r="B6" s="1168" t="s">
        <v>3</v>
      </c>
      <c r="C6" s="1168">
        <v>1</v>
      </c>
      <c r="D6" s="1168">
        <v>2</v>
      </c>
      <c r="E6" s="1168">
        <v>3</v>
      </c>
      <c r="F6" s="1168">
        <v>4</v>
      </c>
      <c r="G6" s="1168">
        <v>5</v>
      </c>
      <c r="H6" s="1168">
        <v>6</v>
      </c>
      <c r="I6" s="1168">
        <v>7</v>
      </c>
      <c r="J6" s="1168">
        <v>8</v>
      </c>
      <c r="K6" s="1168">
        <v>9</v>
      </c>
      <c r="L6" s="1168">
        <v>10</v>
      </c>
      <c r="M6" s="1168">
        <v>11</v>
      </c>
      <c r="N6" s="1168">
        <v>12</v>
      </c>
      <c r="O6" s="1168">
        <v>13</v>
      </c>
      <c r="P6" s="1168">
        <v>14</v>
      </c>
      <c r="Q6" s="1168">
        <v>15</v>
      </c>
      <c r="R6" s="465">
        <v>52124</v>
      </c>
    </row>
    <row r="7" spans="1:18" s="467" customFormat="1" ht="18.75" customHeight="1" x14ac:dyDescent="0.2">
      <c r="A7" s="463"/>
      <c r="B7" s="464" t="s">
        <v>89</v>
      </c>
      <c r="C7" s="465">
        <f>C8+C58+C60</f>
        <v>1073588</v>
      </c>
      <c r="D7" s="465">
        <f t="shared" ref="D7:Q7" si="0">D8+D58+D60</f>
        <v>84719</v>
      </c>
      <c r="E7" s="465">
        <f>E8+E58+E60</f>
        <v>8132</v>
      </c>
      <c r="F7" s="465">
        <f t="shared" si="0"/>
        <v>24047</v>
      </c>
      <c r="G7" s="465">
        <f t="shared" si="0"/>
        <v>18831</v>
      </c>
      <c r="H7" s="465">
        <f t="shared" si="0"/>
        <v>3253</v>
      </c>
      <c r="I7" s="465">
        <f t="shared" si="0"/>
        <v>228</v>
      </c>
      <c r="J7" s="465">
        <f t="shared" si="0"/>
        <v>7530</v>
      </c>
      <c r="K7" s="465">
        <f t="shared" si="0"/>
        <v>7144</v>
      </c>
      <c r="L7" s="465">
        <f t="shared" si="0"/>
        <v>861946</v>
      </c>
      <c r="M7" s="465">
        <f t="shared" si="0"/>
        <v>469862</v>
      </c>
      <c r="N7" s="465">
        <f t="shared" si="0"/>
        <v>187385.99999999994</v>
      </c>
      <c r="O7" s="465">
        <f t="shared" si="0"/>
        <v>204698</v>
      </c>
      <c r="P7" s="465">
        <f t="shared" si="0"/>
        <v>45258</v>
      </c>
      <c r="Q7" s="465">
        <f t="shared" si="0"/>
        <v>12500</v>
      </c>
      <c r="R7" s="466">
        <f>R5+R6</f>
        <v>1243815.9999999998</v>
      </c>
    </row>
    <row r="8" spans="1:18" s="467" customFormat="1" ht="18.75" customHeight="1" x14ac:dyDescent="0.2">
      <c r="A8" s="468" t="s">
        <v>2</v>
      </c>
      <c r="B8" s="469" t="s">
        <v>1047</v>
      </c>
      <c r="C8" s="470">
        <f>SUM(C9:C57)</f>
        <v>1054863</v>
      </c>
      <c r="D8" s="470">
        <f t="shared" ref="D8:Q8" si="1">SUM(D9:D57)</f>
        <v>84719</v>
      </c>
      <c r="E8" s="470">
        <f t="shared" si="1"/>
        <v>2724</v>
      </c>
      <c r="F8" s="470">
        <f t="shared" si="1"/>
        <v>10730</v>
      </c>
      <c r="G8" s="470">
        <f t="shared" si="1"/>
        <v>18831</v>
      </c>
      <c r="H8" s="470">
        <f t="shared" si="1"/>
        <v>3253</v>
      </c>
      <c r="I8" s="470">
        <f t="shared" si="1"/>
        <v>228</v>
      </c>
      <c r="J8" s="470">
        <f t="shared" si="1"/>
        <v>7530</v>
      </c>
      <c r="K8" s="470">
        <f t="shared" si="1"/>
        <v>7144</v>
      </c>
      <c r="L8" s="470">
        <f t="shared" si="1"/>
        <v>861946</v>
      </c>
      <c r="M8" s="470">
        <f t="shared" si="1"/>
        <v>469862</v>
      </c>
      <c r="N8" s="470">
        <f t="shared" si="1"/>
        <v>187385.99999999994</v>
      </c>
      <c r="O8" s="470">
        <f t="shared" si="1"/>
        <v>204698</v>
      </c>
      <c r="P8" s="470">
        <f t="shared" si="1"/>
        <v>45258</v>
      </c>
      <c r="Q8" s="470">
        <f t="shared" si="1"/>
        <v>12500</v>
      </c>
      <c r="R8" s="466"/>
    </row>
    <row r="9" spans="1:18" ht="18.75" customHeight="1" x14ac:dyDescent="0.2">
      <c r="A9" s="471">
        <v>1</v>
      </c>
      <c r="B9" s="472" t="s">
        <v>161</v>
      </c>
      <c r="C9" s="984">
        <f>SUM(D9:L9,P9:Q9)</f>
        <v>3000</v>
      </c>
      <c r="D9" s="473"/>
      <c r="E9" s="473"/>
      <c r="F9" s="473"/>
      <c r="G9" s="473"/>
      <c r="H9" s="473"/>
      <c r="I9" s="473"/>
      <c r="J9" s="473"/>
      <c r="K9" s="473"/>
      <c r="L9" s="473">
        <f>SUM(M9:O9)</f>
        <v>3000</v>
      </c>
      <c r="M9" s="473"/>
      <c r="N9" s="473"/>
      <c r="O9" s="473">
        <v>3000</v>
      </c>
      <c r="P9" s="473"/>
      <c r="Q9" s="473"/>
    </row>
    <row r="10" spans="1:18" ht="18.75" customHeight="1" x14ac:dyDescent="0.2">
      <c r="A10" s="471">
        <v>2</v>
      </c>
      <c r="B10" s="472" t="s">
        <v>1397</v>
      </c>
      <c r="C10" s="984">
        <f t="shared" ref="C10:C61" si="2">SUM(D10:L10,P10:Q10)</f>
        <v>4325</v>
      </c>
      <c r="D10" s="473"/>
      <c r="E10" s="473"/>
      <c r="F10" s="473"/>
      <c r="G10" s="473"/>
      <c r="H10" s="473"/>
      <c r="I10" s="473"/>
      <c r="J10" s="473">
        <v>1530</v>
      </c>
      <c r="K10" s="473"/>
      <c r="L10" s="473">
        <f t="shared" ref="L10:L61" si="3">SUM(M10:O10)</f>
        <v>2795</v>
      </c>
      <c r="M10" s="473"/>
      <c r="N10" s="473"/>
      <c r="O10" s="473">
        <v>2795</v>
      </c>
      <c r="P10" s="473"/>
      <c r="Q10" s="473"/>
    </row>
    <row r="11" spans="1:18" ht="18.75" customHeight="1" x14ac:dyDescent="0.2">
      <c r="A11" s="471">
        <v>3</v>
      </c>
      <c r="B11" s="472" t="s">
        <v>1398</v>
      </c>
      <c r="C11" s="984">
        <f t="shared" si="2"/>
        <v>115121</v>
      </c>
      <c r="D11" s="473">
        <f>19653</f>
        <v>19653</v>
      </c>
      <c r="E11" s="473"/>
      <c r="F11" s="473"/>
      <c r="G11" s="473"/>
      <c r="H11" s="473"/>
      <c r="I11" s="473"/>
      <c r="J11" s="473"/>
      <c r="K11" s="473"/>
      <c r="L11" s="473">
        <f t="shared" si="3"/>
        <v>95468</v>
      </c>
      <c r="M11" s="473">
        <f>87818+500-2650</f>
        <v>85668</v>
      </c>
      <c r="N11" s="473"/>
      <c r="O11" s="473">
        <f>10000-200</f>
        <v>9800</v>
      </c>
      <c r="P11" s="473"/>
      <c r="Q11" s="473"/>
    </row>
    <row r="12" spans="1:18" ht="18.75" customHeight="1" x14ac:dyDescent="0.2">
      <c r="A12" s="471">
        <v>4</v>
      </c>
      <c r="B12" s="472" t="s">
        <v>1399</v>
      </c>
      <c r="C12" s="984">
        <f t="shared" si="2"/>
        <v>2887</v>
      </c>
      <c r="D12" s="473"/>
      <c r="E12" s="473">
        <v>1800</v>
      </c>
      <c r="F12" s="473"/>
      <c r="G12" s="473"/>
      <c r="H12" s="473"/>
      <c r="I12" s="473"/>
      <c r="J12" s="473"/>
      <c r="K12" s="473"/>
      <c r="L12" s="473">
        <f t="shared" si="3"/>
        <v>0</v>
      </c>
      <c r="M12" s="473"/>
      <c r="N12" s="473"/>
      <c r="O12" s="473"/>
      <c r="P12" s="473">
        <v>1087</v>
      </c>
      <c r="Q12" s="473"/>
    </row>
    <row r="13" spans="1:18" ht="18.75" customHeight="1" x14ac:dyDescent="0.2">
      <c r="A13" s="471">
        <v>5</v>
      </c>
      <c r="B13" s="472" t="s">
        <v>924</v>
      </c>
      <c r="C13" s="984">
        <f t="shared" si="2"/>
        <v>171</v>
      </c>
      <c r="D13" s="473">
        <v>171</v>
      </c>
      <c r="E13" s="473"/>
      <c r="F13" s="473"/>
      <c r="G13" s="473"/>
      <c r="H13" s="473"/>
      <c r="I13" s="473"/>
      <c r="J13" s="473"/>
      <c r="K13" s="473"/>
      <c r="L13" s="473">
        <f t="shared" si="3"/>
        <v>0</v>
      </c>
      <c r="M13" s="473"/>
      <c r="N13" s="473"/>
      <c r="O13" s="473"/>
      <c r="P13" s="473"/>
      <c r="Q13" s="473"/>
    </row>
    <row r="14" spans="1:18" ht="18.75" customHeight="1" x14ac:dyDescent="0.2">
      <c r="A14" s="471">
        <v>6</v>
      </c>
      <c r="B14" s="472" t="s">
        <v>165</v>
      </c>
      <c r="C14" s="984">
        <f t="shared" si="2"/>
        <v>53032</v>
      </c>
      <c r="D14" s="473"/>
      <c r="E14" s="473"/>
      <c r="F14" s="473"/>
      <c r="G14" s="473"/>
      <c r="H14" s="473"/>
      <c r="I14" s="473"/>
      <c r="J14" s="473"/>
      <c r="K14" s="473"/>
      <c r="L14" s="473">
        <f t="shared" si="3"/>
        <v>53032</v>
      </c>
      <c r="M14" s="473"/>
      <c r="N14" s="473">
        <f>53079-1062</f>
        <v>52017</v>
      </c>
      <c r="O14" s="473">
        <v>1015</v>
      </c>
      <c r="P14" s="473"/>
      <c r="Q14" s="473"/>
    </row>
    <row r="15" spans="1:18" ht="18.75" customHeight="1" x14ac:dyDescent="0.2">
      <c r="A15" s="471">
        <v>7</v>
      </c>
      <c r="B15" s="472" t="s">
        <v>169</v>
      </c>
      <c r="C15" s="984">
        <f t="shared" si="2"/>
        <v>3188</v>
      </c>
      <c r="D15" s="473"/>
      <c r="E15" s="473">
        <f>100+500</f>
        <v>600</v>
      </c>
      <c r="F15" s="473"/>
      <c r="G15" s="473"/>
      <c r="H15" s="473"/>
      <c r="I15" s="473"/>
      <c r="J15" s="473"/>
      <c r="K15" s="473"/>
      <c r="L15" s="473">
        <f t="shared" si="3"/>
        <v>2588</v>
      </c>
      <c r="M15" s="473"/>
      <c r="N15" s="473"/>
      <c r="O15" s="473">
        <v>2588</v>
      </c>
      <c r="P15" s="473"/>
      <c r="Q15" s="473"/>
    </row>
    <row r="16" spans="1:18" ht="18.75" customHeight="1" x14ac:dyDescent="0.2">
      <c r="A16" s="471">
        <v>8</v>
      </c>
      <c r="B16" s="472" t="s">
        <v>170</v>
      </c>
      <c r="C16" s="984">
        <f t="shared" si="2"/>
        <v>10353</v>
      </c>
      <c r="D16" s="473"/>
      <c r="E16" s="473"/>
      <c r="F16" s="473"/>
      <c r="G16" s="473"/>
      <c r="H16" s="473"/>
      <c r="I16" s="473"/>
      <c r="J16" s="473"/>
      <c r="K16" s="473"/>
      <c r="L16" s="473">
        <f>SUM(M16:O16)</f>
        <v>10353</v>
      </c>
      <c r="M16" s="473"/>
      <c r="N16" s="473">
        <f>10673-320</f>
        <v>10353</v>
      </c>
      <c r="O16" s="473"/>
      <c r="P16" s="473"/>
      <c r="Q16" s="473"/>
    </row>
    <row r="17" spans="1:18" ht="18.75" customHeight="1" x14ac:dyDescent="0.2">
      <c r="A17" s="471">
        <v>9</v>
      </c>
      <c r="B17" s="472" t="s">
        <v>172</v>
      </c>
      <c r="C17" s="984">
        <f t="shared" si="2"/>
        <v>2688</v>
      </c>
      <c r="D17" s="473"/>
      <c r="E17" s="473"/>
      <c r="F17" s="473"/>
      <c r="G17" s="473">
        <v>336</v>
      </c>
      <c r="H17" s="473"/>
      <c r="I17" s="473"/>
      <c r="J17" s="473"/>
      <c r="K17" s="473">
        <v>752</v>
      </c>
      <c r="L17" s="473">
        <f t="shared" si="3"/>
        <v>1600</v>
      </c>
      <c r="M17" s="473"/>
      <c r="N17" s="473">
        <v>1600</v>
      </c>
      <c r="O17" s="473"/>
      <c r="P17" s="473"/>
      <c r="Q17" s="473"/>
    </row>
    <row r="18" spans="1:18" ht="18.75" customHeight="1" x14ac:dyDescent="0.2">
      <c r="A18" s="471">
        <v>10</v>
      </c>
      <c r="B18" s="472" t="s">
        <v>173</v>
      </c>
      <c r="C18" s="984">
        <f t="shared" si="2"/>
        <v>6000</v>
      </c>
      <c r="D18" s="473">
        <v>2000</v>
      </c>
      <c r="E18" s="473"/>
      <c r="F18" s="473"/>
      <c r="G18" s="473"/>
      <c r="H18" s="473"/>
      <c r="I18" s="473"/>
      <c r="J18" s="473"/>
      <c r="K18" s="473"/>
      <c r="L18" s="473">
        <f t="shared" si="3"/>
        <v>4000</v>
      </c>
      <c r="M18" s="473"/>
      <c r="N18" s="473">
        <v>4000</v>
      </c>
      <c r="O18" s="473"/>
      <c r="P18" s="473"/>
      <c r="Q18" s="473"/>
    </row>
    <row r="19" spans="1:18" ht="18.75" customHeight="1" x14ac:dyDescent="0.2">
      <c r="A19" s="471">
        <v>11</v>
      </c>
      <c r="B19" s="472" t="s">
        <v>1400</v>
      </c>
      <c r="C19" s="984">
        <f t="shared" si="2"/>
        <v>797</v>
      </c>
      <c r="D19" s="473"/>
      <c r="E19" s="473"/>
      <c r="F19" s="473"/>
      <c r="G19" s="473"/>
      <c r="H19" s="473"/>
      <c r="I19" s="473"/>
      <c r="J19" s="473"/>
      <c r="K19" s="473"/>
      <c r="L19" s="473">
        <f t="shared" si="3"/>
        <v>797</v>
      </c>
      <c r="M19" s="473"/>
      <c r="N19" s="473"/>
      <c r="O19" s="473">
        <v>797</v>
      </c>
      <c r="P19" s="473"/>
      <c r="Q19" s="473"/>
    </row>
    <row r="20" spans="1:18" ht="18.75" customHeight="1" x14ac:dyDescent="0.2">
      <c r="A20" s="471">
        <v>12</v>
      </c>
      <c r="B20" s="472" t="s">
        <v>177</v>
      </c>
      <c r="C20" s="984">
        <f t="shared" si="2"/>
        <v>5166</v>
      </c>
      <c r="D20" s="473"/>
      <c r="E20" s="473"/>
      <c r="F20" s="473"/>
      <c r="G20" s="473"/>
      <c r="H20" s="473"/>
      <c r="I20" s="473">
        <v>228</v>
      </c>
      <c r="J20" s="473"/>
      <c r="K20" s="473"/>
      <c r="L20" s="473">
        <f t="shared" si="3"/>
        <v>0</v>
      </c>
      <c r="M20" s="473"/>
      <c r="N20" s="473"/>
      <c r="O20" s="473"/>
      <c r="P20" s="473">
        <v>4938</v>
      </c>
      <c r="Q20" s="473"/>
    </row>
    <row r="21" spans="1:18" ht="18.75" customHeight="1" x14ac:dyDescent="0.2">
      <c r="A21" s="471">
        <v>13</v>
      </c>
      <c r="B21" s="472" t="s">
        <v>178</v>
      </c>
      <c r="C21" s="984">
        <f t="shared" si="2"/>
        <v>148</v>
      </c>
      <c r="D21" s="473"/>
      <c r="E21" s="473"/>
      <c r="F21" s="473"/>
      <c r="G21" s="473"/>
      <c r="H21" s="473"/>
      <c r="I21" s="473"/>
      <c r="J21" s="473"/>
      <c r="K21" s="473"/>
      <c r="L21" s="473">
        <f t="shared" si="3"/>
        <v>148</v>
      </c>
      <c r="M21" s="473">
        <v>65</v>
      </c>
      <c r="N21" s="473"/>
      <c r="O21" s="473">
        <v>83</v>
      </c>
      <c r="P21" s="473"/>
      <c r="Q21" s="473"/>
    </row>
    <row r="22" spans="1:18" ht="18.75" customHeight="1" x14ac:dyDescent="0.2">
      <c r="A22" s="471">
        <v>14</v>
      </c>
      <c r="B22" s="337" t="s">
        <v>1042</v>
      </c>
      <c r="C22" s="984">
        <f t="shared" si="2"/>
        <v>4163</v>
      </c>
      <c r="D22" s="473">
        <f>163+4000</f>
        <v>4163</v>
      </c>
      <c r="E22" s="473"/>
      <c r="F22" s="473"/>
      <c r="G22" s="473"/>
      <c r="H22" s="473"/>
      <c r="I22" s="473"/>
      <c r="J22" s="473"/>
      <c r="K22" s="473"/>
      <c r="L22" s="473">
        <f t="shared" si="3"/>
        <v>0</v>
      </c>
      <c r="M22" s="473"/>
      <c r="N22" s="473"/>
      <c r="O22" s="473"/>
      <c r="P22" s="473"/>
      <c r="Q22" s="473"/>
    </row>
    <row r="23" spans="1:18" ht="18.75" customHeight="1" x14ac:dyDescent="0.2">
      <c r="A23" s="471">
        <v>15</v>
      </c>
      <c r="B23" s="337" t="s">
        <v>419</v>
      </c>
      <c r="C23" s="984">
        <f t="shared" si="2"/>
        <v>447204</v>
      </c>
      <c r="D23" s="473">
        <f>7671+4058-2780</f>
        <v>8949</v>
      </c>
      <c r="E23" s="473"/>
      <c r="F23" s="473"/>
      <c r="G23" s="473">
        <v>4000</v>
      </c>
      <c r="H23" s="473">
        <v>34</v>
      </c>
      <c r="I23" s="473"/>
      <c r="J23" s="473">
        <v>6000</v>
      </c>
      <c r="K23" s="473"/>
      <c r="L23" s="473">
        <f t="shared" si="3"/>
        <v>416581</v>
      </c>
      <c r="M23" s="473">
        <f>516738-488000+317192</f>
        <v>345930</v>
      </c>
      <c r="N23" s="473">
        <f>18900+21794-2035</f>
        <v>38659</v>
      </c>
      <c r="O23" s="473">
        <f>19583+13048+1045-1684</f>
        <v>31992</v>
      </c>
      <c r="P23" s="473">
        <f>12000-360</f>
        <v>11640</v>
      </c>
      <c r="Q23" s="473"/>
    </row>
    <row r="24" spans="1:18" ht="18.75" customHeight="1" x14ac:dyDescent="0.2">
      <c r="A24" s="471">
        <v>16</v>
      </c>
      <c r="B24" s="337" t="s">
        <v>1041</v>
      </c>
      <c r="C24" s="984">
        <f t="shared" si="2"/>
        <v>810</v>
      </c>
      <c r="D24" s="473"/>
      <c r="E24" s="473"/>
      <c r="F24" s="473"/>
      <c r="G24" s="473">
        <v>810</v>
      </c>
      <c r="H24" s="473"/>
      <c r="I24" s="473"/>
      <c r="J24" s="473"/>
      <c r="K24" s="473"/>
      <c r="L24" s="473">
        <f t="shared" si="3"/>
        <v>0</v>
      </c>
      <c r="M24" s="473"/>
      <c r="N24" s="473"/>
      <c r="O24" s="473"/>
      <c r="P24" s="473"/>
      <c r="Q24" s="473"/>
    </row>
    <row r="25" spans="1:18" ht="18.75" customHeight="1" x14ac:dyDescent="0.2">
      <c r="A25" s="471">
        <v>17</v>
      </c>
      <c r="B25" s="337" t="s">
        <v>420</v>
      </c>
      <c r="C25" s="984">
        <f t="shared" si="2"/>
        <v>24137</v>
      </c>
      <c r="D25" s="473">
        <f>4556+3771-2680</f>
        <v>5647</v>
      </c>
      <c r="E25" s="473"/>
      <c r="F25" s="473"/>
      <c r="G25" s="473"/>
      <c r="H25" s="473">
        <f>300+448</f>
        <v>748</v>
      </c>
      <c r="I25" s="473"/>
      <c r="J25" s="473"/>
      <c r="K25" s="473"/>
      <c r="L25" s="473">
        <f t="shared" si="3"/>
        <v>13642</v>
      </c>
      <c r="M25" s="473"/>
      <c r="N25" s="473">
        <v>2967</v>
      </c>
      <c r="O25" s="473">
        <f>11225-550</f>
        <v>10675</v>
      </c>
      <c r="P25" s="473">
        <f>4000+100</f>
        <v>4100</v>
      </c>
      <c r="Q25" s="473"/>
    </row>
    <row r="26" spans="1:18" ht="18.75" customHeight="1" x14ac:dyDescent="0.2">
      <c r="A26" s="471">
        <v>18</v>
      </c>
      <c r="B26" s="337" t="s">
        <v>421</v>
      </c>
      <c r="C26" s="984">
        <f t="shared" si="2"/>
        <v>8795</v>
      </c>
      <c r="D26" s="473">
        <v>1500</v>
      </c>
      <c r="E26" s="473"/>
      <c r="F26" s="473"/>
      <c r="G26" s="473">
        <f>2400+642</f>
        <v>3042</v>
      </c>
      <c r="H26" s="473">
        <f>300</f>
        <v>300</v>
      </c>
      <c r="I26" s="473"/>
      <c r="J26" s="473"/>
      <c r="K26" s="473"/>
      <c r="L26" s="473">
        <f t="shared" si="3"/>
        <v>987</v>
      </c>
      <c r="M26" s="473"/>
      <c r="N26" s="473">
        <f>775</f>
        <v>775</v>
      </c>
      <c r="O26" s="473">
        <v>212</v>
      </c>
      <c r="P26" s="473">
        <v>2966</v>
      </c>
      <c r="Q26" s="473"/>
    </row>
    <row r="27" spans="1:18" ht="18.75" customHeight="1" x14ac:dyDescent="0.2">
      <c r="A27" s="471">
        <v>19</v>
      </c>
      <c r="B27" s="337" t="s">
        <v>422</v>
      </c>
      <c r="C27" s="984">
        <f t="shared" si="2"/>
        <v>4729</v>
      </c>
      <c r="D27" s="473">
        <f>4000+3104-2500</f>
        <v>4604</v>
      </c>
      <c r="E27" s="473"/>
      <c r="F27" s="473"/>
      <c r="G27" s="473"/>
      <c r="H27" s="473"/>
      <c r="I27" s="473"/>
      <c r="J27" s="473"/>
      <c r="K27" s="473"/>
      <c r="L27" s="473">
        <f t="shared" si="3"/>
        <v>125</v>
      </c>
      <c r="M27" s="473">
        <v>89</v>
      </c>
      <c r="N27" s="473">
        <v>36</v>
      </c>
      <c r="O27" s="473"/>
      <c r="P27" s="473"/>
      <c r="Q27" s="473"/>
    </row>
    <row r="28" spans="1:18" ht="18.75" customHeight="1" x14ac:dyDescent="0.2">
      <c r="A28" s="471">
        <v>20</v>
      </c>
      <c r="B28" s="337" t="s">
        <v>424</v>
      </c>
      <c r="C28" s="984">
        <f t="shared" si="2"/>
        <v>15743</v>
      </c>
      <c r="D28" s="473">
        <f>3100+976-520</f>
        <v>3556</v>
      </c>
      <c r="E28" s="473"/>
      <c r="F28" s="473">
        <v>650</v>
      </c>
      <c r="G28" s="473"/>
      <c r="H28" s="473">
        <v>800</v>
      </c>
      <c r="I28" s="473"/>
      <c r="J28" s="473"/>
      <c r="K28" s="473"/>
      <c r="L28" s="473">
        <f t="shared" si="3"/>
        <v>10492</v>
      </c>
      <c r="M28" s="473">
        <v>2384</v>
      </c>
      <c r="N28" s="473">
        <v>8108</v>
      </c>
      <c r="O28" s="473"/>
      <c r="P28" s="473">
        <v>245</v>
      </c>
      <c r="Q28" s="473"/>
    </row>
    <row r="29" spans="1:18" ht="18.75" customHeight="1" x14ac:dyDescent="0.2">
      <c r="A29" s="471">
        <v>21</v>
      </c>
      <c r="B29" s="337" t="s">
        <v>423</v>
      </c>
      <c r="C29" s="984">
        <f t="shared" si="2"/>
        <v>30326</v>
      </c>
      <c r="D29" s="473">
        <f>10083+4971+729-500</f>
        <v>15283</v>
      </c>
      <c r="E29" s="473"/>
      <c r="F29" s="473"/>
      <c r="G29" s="473"/>
      <c r="H29" s="473"/>
      <c r="I29" s="473"/>
      <c r="J29" s="473"/>
      <c r="K29" s="473"/>
      <c r="L29" s="473">
        <f t="shared" si="3"/>
        <v>7729</v>
      </c>
      <c r="M29" s="473">
        <v>130</v>
      </c>
      <c r="N29" s="473">
        <v>6451</v>
      </c>
      <c r="O29" s="473">
        <f>551+597</f>
        <v>1148</v>
      </c>
      <c r="P29" s="473">
        <v>7314</v>
      </c>
      <c r="Q29" s="473"/>
      <c r="R29" s="465">
        <f>3771+4058+303+1626+976+729+3105+5040+19653+1045+212+893+150+2588+1015+1934+1458+324+100+80+128+448+71+642+1035+143+597</f>
        <v>52124</v>
      </c>
    </row>
    <row r="30" spans="1:18" ht="18.75" customHeight="1" x14ac:dyDescent="0.2">
      <c r="A30" s="471">
        <v>22</v>
      </c>
      <c r="B30" s="337" t="s">
        <v>425</v>
      </c>
      <c r="C30" s="984">
        <f t="shared" si="2"/>
        <v>8371</v>
      </c>
      <c r="D30" s="473">
        <f>1400+1626-300</f>
        <v>2726</v>
      </c>
      <c r="E30" s="473"/>
      <c r="F30" s="473"/>
      <c r="G30" s="473"/>
      <c r="H30" s="473">
        <f>1300+71</f>
        <v>1371</v>
      </c>
      <c r="I30" s="473"/>
      <c r="J30" s="473"/>
      <c r="K30" s="473"/>
      <c r="L30" s="473">
        <f t="shared" si="3"/>
        <v>4274</v>
      </c>
      <c r="M30" s="473">
        <v>723</v>
      </c>
      <c r="N30" s="473">
        <v>3551</v>
      </c>
      <c r="O30" s="473"/>
      <c r="P30" s="473"/>
      <c r="Q30" s="473"/>
      <c r="R30" s="593">
        <f>R6-R29</f>
        <v>0</v>
      </c>
    </row>
    <row r="31" spans="1:18" ht="18.75" customHeight="1" x14ac:dyDescent="0.2">
      <c r="A31" s="471">
        <v>23</v>
      </c>
      <c r="B31" s="337" t="s">
        <v>426</v>
      </c>
      <c r="C31" s="984">
        <f t="shared" si="2"/>
        <v>16999</v>
      </c>
      <c r="D31" s="473">
        <f>5129+303-550</f>
        <v>4882</v>
      </c>
      <c r="E31" s="473"/>
      <c r="F31" s="473">
        <f>10000+80</f>
        <v>10080</v>
      </c>
      <c r="G31" s="473"/>
      <c r="H31" s="473"/>
      <c r="I31" s="473"/>
      <c r="J31" s="473"/>
      <c r="K31" s="473"/>
      <c r="L31" s="473">
        <f t="shared" si="3"/>
        <v>1683</v>
      </c>
      <c r="M31" s="473">
        <v>1325</v>
      </c>
      <c r="N31" s="473">
        <f>215</f>
        <v>215</v>
      </c>
      <c r="O31" s="473">
        <v>143</v>
      </c>
      <c r="P31" s="473">
        <v>354</v>
      </c>
      <c r="Q31" s="473"/>
    </row>
    <row r="32" spans="1:18" ht="18.75" customHeight="1" x14ac:dyDescent="0.2">
      <c r="A32" s="471">
        <v>24</v>
      </c>
      <c r="B32" s="337" t="s">
        <v>427</v>
      </c>
      <c r="C32" s="984">
        <f t="shared" si="2"/>
        <v>133820</v>
      </c>
      <c r="D32" s="473">
        <f>11045+5040-4500</f>
        <v>11585</v>
      </c>
      <c r="E32" s="473">
        <v>324</v>
      </c>
      <c r="F32" s="473"/>
      <c r="G32" s="473">
        <f>2850+1035</f>
        <v>3885</v>
      </c>
      <c r="H32" s="473"/>
      <c r="I32" s="473"/>
      <c r="J32" s="473"/>
      <c r="K32" s="473">
        <v>6392</v>
      </c>
      <c r="L32" s="473">
        <f t="shared" si="3"/>
        <v>102034</v>
      </c>
      <c r="M32" s="473">
        <f>10621-319</f>
        <v>10302</v>
      </c>
      <c r="N32" s="473">
        <v>6648</v>
      </c>
      <c r="O32" s="473">
        <f>85781+1935-2632</f>
        <v>85084</v>
      </c>
      <c r="P32" s="473">
        <f>10000-400</f>
        <v>9600</v>
      </c>
      <c r="Q32" s="473"/>
    </row>
    <row r="33" spans="1:18" ht="32.25" customHeight="1" x14ac:dyDescent="0.2">
      <c r="A33" s="471">
        <v>25</v>
      </c>
      <c r="B33" s="337" t="s">
        <v>1401</v>
      </c>
      <c r="C33" s="984">
        <f t="shared" si="2"/>
        <v>220</v>
      </c>
      <c r="D33" s="473"/>
      <c r="E33" s="473"/>
      <c r="F33" s="473"/>
      <c r="G33" s="473"/>
      <c r="H33" s="473"/>
      <c r="I33" s="473"/>
      <c r="J33" s="473"/>
      <c r="K33" s="473"/>
      <c r="L33" s="473">
        <f t="shared" si="3"/>
        <v>220</v>
      </c>
      <c r="M33" s="473"/>
      <c r="N33" s="473">
        <v>220</v>
      </c>
      <c r="O33" s="473"/>
      <c r="P33" s="473"/>
      <c r="Q33" s="473"/>
      <c r="R33" s="460">
        <f>1035+642</f>
        <v>1677</v>
      </c>
    </row>
    <row r="34" spans="1:18" ht="29.25" customHeight="1" x14ac:dyDescent="0.2">
      <c r="A34" s="471">
        <v>26</v>
      </c>
      <c r="B34" s="337" t="s">
        <v>428</v>
      </c>
      <c r="C34" s="984">
        <f t="shared" si="2"/>
        <v>10000</v>
      </c>
      <c r="D34" s="473"/>
      <c r="E34" s="473"/>
      <c r="F34" s="473"/>
      <c r="G34" s="473"/>
      <c r="H34" s="473"/>
      <c r="I34" s="473"/>
      <c r="J34" s="473"/>
      <c r="K34" s="473"/>
      <c r="L34" s="473">
        <f t="shared" si="3"/>
        <v>10000</v>
      </c>
      <c r="M34" s="473"/>
      <c r="N34" s="473"/>
      <c r="O34" s="473">
        <f>10000</f>
        <v>10000</v>
      </c>
      <c r="P34" s="473"/>
      <c r="Q34" s="473"/>
    </row>
    <row r="35" spans="1:18" ht="26.25" customHeight="1" x14ac:dyDescent="0.2">
      <c r="A35" s="471">
        <v>27</v>
      </c>
      <c r="B35" s="337" t="s">
        <v>429</v>
      </c>
      <c r="C35" s="984">
        <f t="shared" si="2"/>
        <v>6758</v>
      </c>
      <c r="D35" s="473"/>
      <c r="E35" s="473"/>
      <c r="F35" s="473"/>
      <c r="G35" s="473">
        <v>6758</v>
      </c>
      <c r="H35" s="473"/>
      <c r="I35" s="473"/>
      <c r="J35" s="473"/>
      <c r="K35" s="473"/>
      <c r="L35" s="473">
        <f t="shared" si="3"/>
        <v>0</v>
      </c>
      <c r="M35" s="473"/>
      <c r="N35" s="473"/>
      <c r="O35" s="473"/>
      <c r="P35" s="473"/>
      <c r="Q35" s="473"/>
    </row>
    <row r="36" spans="1:18" ht="18.75" customHeight="1" x14ac:dyDescent="0.2">
      <c r="A36" s="471">
        <v>28</v>
      </c>
      <c r="B36" s="337" t="s">
        <v>430</v>
      </c>
      <c r="C36" s="984">
        <f t="shared" si="2"/>
        <v>7265</v>
      </c>
      <c r="D36" s="473"/>
      <c r="E36" s="473"/>
      <c r="F36" s="473"/>
      <c r="G36" s="473"/>
      <c r="H36" s="473"/>
      <c r="I36" s="473"/>
      <c r="J36" s="473"/>
      <c r="K36" s="473"/>
      <c r="L36" s="473">
        <f t="shared" si="3"/>
        <v>7265</v>
      </c>
      <c r="M36" s="473"/>
      <c r="N36" s="473"/>
      <c r="O36" s="473">
        <v>7265</v>
      </c>
      <c r="P36" s="473"/>
      <c r="Q36" s="473"/>
    </row>
    <row r="37" spans="1:18" ht="25.5" customHeight="1" x14ac:dyDescent="0.2">
      <c r="A37" s="471">
        <v>29</v>
      </c>
      <c r="B37" s="337" t="s">
        <v>431</v>
      </c>
      <c r="C37" s="984">
        <f t="shared" si="2"/>
        <v>621</v>
      </c>
      <c r="D37" s="473"/>
      <c r="E37" s="473"/>
      <c r="F37" s="473"/>
      <c r="G37" s="473"/>
      <c r="H37" s="473"/>
      <c r="I37" s="473"/>
      <c r="J37" s="473"/>
      <c r="K37" s="473"/>
      <c r="L37" s="473">
        <f t="shared" si="3"/>
        <v>621</v>
      </c>
      <c r="M37" s="473"/>
      <c r="N37" s="473">
        <v>621</v>
      </c>
      <c r="O37" s="473"/>
      <c r="P37" s="473"/>
      <c r="Q37" s="473"/>
    </row>
    <row r="38" spans="1:18" ht="29.25" customHeight="1" x14ac:dyDescent="0.2">
      <c r="A38" s="471">
        <v>30</v>
      </c>
      <c r="B38" s="337" t="s">
        <v>989</v>
      </c>
      <c r="C38" s="984">
        <f t="shared" si="2"/>
        <v>12584</v>
      </c>
      <c r="D38" s="473"/>
      <c r="E38" s="473"/>
      <c r="F38" s="473"/>
      <c r="G38" s="473"/>
      <c r="H38" s="473"/>
      <c r="I38" s="473"/>
      <c r="J38" s="473"/>
      <c r="K38" s="473"/>
      <c r="L38" s="473">
        <f t="shared" si="3"/>
        <v>12584</v>
      </c>
      <c r="M38" s="473"/>
      <c r="N38" s="473"/>
      <c r="O38" s="473">
        <f>13109-525</f>
        <v>12584</v>
      </c>
      <c r="P38" s="473"/>
      <c r="Q38" s="473"/>
    </row>
    <row r="39" spans="1:18" ht="27" customHeight="1" x14ac:dyDescent="0.2">
      <c r="A39" s="471">
        <v>31</v>
      </c>
      <c r="B39" s="337" t="s">
        <v>432</v>
      </c>
      <c r="C39" s="984">
        <f t="shared" si="2"/>
        <v>27383</v>
      </c>
      <c r="D39" s="473"/>
      <c r="E39" s="473"/>
      <c r="F39" s="473"/>
      <c r="G39" s="473"/>
      <c r="H39" s="473"/>
      <c r="I39" s="473"/>
      <c r="J39" s="473"/>
      <c r="K39" s="473"/>
      <c r="L39" s="473">
        <f t="shared" si="3"/>
        <v>27383</v>
      </c>
      <c r="M39" s="473"/>
      <c r="N39" s="473">
        <f>28230-847</f>
        <v>27383</v>
      </c>
      <c r="O39" s="473"/>
      <c r="P39" s="473"/>
      <c r="Q39" s="473"/>
    </row>
    <row r="40" spans="1:18" ht="18.75" customHeight="1" x14ac:dyDescent="0.2">
      <c r="A40" s="471">
        <v>32</v>
      </c>
      <c r="B40" s="337" t="s">
        <v>164</v>
      </c>
      <c r="C40" s="984">
        <f t="shared" si="2"/>
        <v>23260</v>
      </c>
      <c r="D40" s="473"/>
      <c r="E40" s="473"/>
      <c r="F40" s="473"/>
      <c r="G40" s="473"/>
      <c r="H40" s="473"/>
      <c r="I40" s="473"/>
      <c r="J40" s="473"/>
      <c r="K40" s="473"/>
      <c r="L40" s="473">
        <f t="shared" si="3"/>
        <v>23246</v>
      </c>
      <c r="M40" s="473">
        <v>23246</v>
      </c>
      <c r="N40" s="473"/>
      <c r="O40" s="473"/>
      <c r="P40" s="473">
        <v>14</v>
      </c>
      <c r="Q40" s="473"/>
    </row>
    <row r="41" spans="1:18" ht="35.25" customHeight="1" x14ac:dyDescent="0.2">
      <c r="A41" s="471">
        <v>33</v>
      </c>
      <c r="B41" s="337" t="s">
        <v>1416</v>
      </c>
      <c r="C41" s="984">
        <f t="shared" si="2"/>
        <v>1047.857</v>
      </c>
      <c r="D41" s="473"/>
      <c r="E41" s="473"/>
      <c r="F41" s="473"/>
      <c r="G41" s="473"/>
      <c r="H41" s="473"/>
      <c r="I41" s="473"/>
      <c r="J41" s="473"/>
      <c r="K41" s="473"/>
      <c r="L41" s="473">
        <f t="shared" si="3"/>
        <v>1047.857</v>
      </c>
      <c r="M41" s="473"/>
      <c r="N41" s="473">
        <v>1047.857</v>
      </c>
      <c r="O41" s="473"/>
      <c r="P41" s="473"/>
      <c r="Q41" s="473"/>
    </row>
    <row r="42" spans="1:18" ht="32.25" customHeight="1" x14ac:dyDescent="0.2">
      <c r="A42" s="471">
        <v>34</v>
      </c>
      <c r="B42" s="337" t="s">
        <v>1417</v>
      </c>
      <c r="C42" s="984">
        <f t="shared" si="2"/>
        <v>743.30200000000002</v>
      </c>
      <c r="D42" s="473"/>
      <c r="E42" s="473"/>
      <c r="F42" s="473"/>
      <c r="G42" s="473"/>
      <c r="H42" s="473"/>
      <c r="I42" s="473"/>
      <c r="J42" s="473"/>
      <c r="K42" s="473"/>
      <c r="L42" s="473">
        <f t="shared" si="3"/>
        <v>743.30200000000002</v>
      </c>
      <c r="M42" s="473"/>
      <c r="N42" s="473">
        <f>574.302+169</f>
        <v>743.30200000000002</v>
      </c>
      <c r="O42" s="473"/>
      <c r="P42" s="473"/>
      <c r="Q42" s="473"/>
    </row>
    <row r="43" spans="1:18" ht="27" customHeight="1" x14ac:dyDescent="0.2">
      <c r="A43" s="471">
        <v>35</v>
      </c>
      <c r="B43" s="337" t="s">
        <v>433</v>
      </c>
      <c r="C43" s="984">
        <f t="shared" si="2"/>
        <v>6903.1180000000004</v>
      </c>
      <c r="D43" s="473"/>
      <c r="E43" s="473"/>
      <c r="F43" s="473"/>
      <c r="G43" s="473"/>
      <c r="H43" s="473"/>
      <c r="I43" s="473"/>
      <c r="J43" s="473"/>
      <c r="K43" s="473"/>
      <c r="L43" s="473">
        <f t="shared" si="3"/>
        <v>6903.1180000000004</v>
      </c>
      <c r="M43" s="473"/>
      <c r="N43" s="473">
        <v>6903.1180000000004</v>
      </c>
      <c r="O43" s="473"/>
      <c r="P43" s="473"/>
      <c r="Q43" s="473"/>
    </row>
    <row r="44" spans="1:18" ht="27.75" customHeight="1" x14ac:dyDescent="0.2">
      <c r="A44" s="471">
        <v>36</v>
      </c>
      <c r="B44" s="337" t="s">
        <v>1418</v>
      </c>
      <c r="C44" s="984">
        <f t="shared" si="2"/>
        <v>568.57100000000003</v>
      </c>
      <c r="D44" s="473"/>
      <c r="E44" s="473"/>
      <c r="F44" s="473"/>
      <c r="G44" s="473"/>
      <c r="H44" s="473"/>
      <c r="I44" s="473"/>
      <c r="J44" s="473"/>
      <c r="K44" s="473"/>
      <c r="L44" s="473">
        <f t="shared" si="3"/>
        <v>568.57100000000003</v>
      </c>
      <c r="M44" s="473"/>
      <c r="N44" s="473">
        <v>568.57100000000003</v>
      </c>
      <c r="O44" s="473"/>
      <c r="P44" s="473"/>
      <c r="Q44" s="473"/>
    </row>
    <row r="45" spans="1:18" ht="28.5" customHeight="1" x14ac:dyDescent="0.2">
      <c r="A45" s="471">
        <v>37</v>
      </c>
      <c r="B45" s="337" t="s">
        <v>1419</v>
      </c>
      <c r="C45" s="984">
        <f t="shared" si="2"/>
        <v>2174.7579999999998</v>
      </c>
      <c r="D45" s="473"/>
      <c r="E45" s="473"/>
      <c r="F45" s="473"/>
      <c r="G45" s="473"/>
      <c r="H45" s="473"/>
      <c r="I45" s="473"/>
      <c r="J45" s="473"/>
      <c r="K45" s="473"/>
      <c r="L45" s="473">
        <f t="shared" si="3"/>
        <v>2174.7579999999998</v>
      </c>
      <c r="M45" s="473"/>
      <c r="N45" s="473">
        <v>2174.7579999999998</v>
      </c>
      <c r="O45" s="473"/>
      <c r="P45" s="473"/>
      <c r="Q45" s="473"/>
    </row>
    <row r="46" spans="1:18" ht="29.25" customHeight="1" x14ac:dyDescent="0.2">
      <c r="A46" s="471">
        <v>38</v>
      </c>
      <c r="B46" s="337" t="s">
        <v>1420</v>
      </c>
      <c r="C46" s="984">
        <f t="shared" si="2"/>
        <v>4713.5370000000003</v>
      </c>
      <c r="D46" s="473"/>
      <c r="E46" s="473"/>
      <c r="F46" s="473"/>
      <c r="G46" s="473"/>
      <c r="H46" s="473"/>
      <c r="I46" s="473"/>
      <c r="J46" s="473"/>
      <c r="K46" s="473"/>
      <c r="L46" s="473">
        <f t="shared" si="3"/>
        <v>4713.5370000000003</v>
      </c>
      <c r="M46" s="473"/>
      <c r="N46" s="473">
        <v>4713.5370000000003</v>
      </c>
      <c r="O46" s="473"/>
      <c r="P46" s="473"/>
      <c r="Q46" s="473"/>
    </row>
    <row r="47" spans="1:18" ht="28.5" customHeight="1" x14ac:dyDescent="0.2">
      <c r="A47" s="471">
        <v>39</v>
      </c>
      <c r="B47" s="337" t="s">
        <v>1421</v>
      </c>
      <c r="C47" s="984">
        <f t="shared" si="2"/>
        <v>1013.726</v>
      </c>
      <c r="D47" s="473"/>
      <c r="E47" s="473"/>
      <c r="F47" s="473"/>
      <c r="G47" s="473"/>
      <c r="H47" s="473"/>
      <c r="I47" s="473"/>
      <c r="J47" s="473"/>
      <c r="K47" s="473"/>
      <c r="L47" s="473">
        <f t="shared" si="3"/>
        <v>1013.726</v>
      </c>
      <c r="M47" s="473"/>
      <c r="N47" s="473">
        <f>1011.726+2</f>
        <v>1013.726</v>
      </c>
      <c r="O47" s="473"/>
      <c r="P47" s="473"/>
      <c r="Q47" s="473"/>
    </row>
    <row r="48" spans="1:18" ht="30" customHeight="1" x14ac:dyDescent="0.2">
      <c r="A48" s="471">
        <v>40</v>
      </c>
      <c r="B48" s="337" t="s">
        <v>1422</v>
      </c>
      <c r="C48" s="984">
        <f t="shared" si="2"/>
        <v>519.90599999999995</v>
      </c>
      <c r="D48" s="473"/>
      <c r="E48" s="473"/>
      <c r="F48" s="473"/>
      <c r="G48" s="473"/>
      <c r="H48" s="473"/>
      <c r="I48" s="473"/>
      <c r="J48" s="473"/>
      <c r="K48" s="473"/>
      <c r="L48" s="473">
        <f t="shared" si="3"/>
        <v>519.90599999999995</v>
      </c>
      <c r="M48" s="473"/>
      <c r="N48" s="473">
        <v>519.90599999999995</v>
      </c>
      <c r="O48" s="473"/>
      <c r="P48" s="473"/>
      <c r="Q48" s="473"/>
    </row>
    <row r="49" spans="1:17" ht="26.25" customHeight="1" x14ac:dyDescent="0.2">
      <c r="A49" s="471">
        <v>41</v>
      </c>
      <c r="B49" s="337" t="s">
        <v>1423</v>
      </c>
      <c r="C49" s="984">
        <f t="shared" si="2"/>
        <v>73.292000000000002</v>
      </c>
      <c r="D49" s="473"/>
      <c r="E49" s="473"/>
      <c r="F49" s="473"/>
      <c r="G49" s="473"/>
      <c r="H49" s="473"/>
      <c r="I49" s="473"/>
      <c r="J49" s="473"/>
      <c r="K49" s="473"/>
      <c r="L49" s="473">
        <f t="shared" si="3"/>
        <v>73.292000000000002</v>
      </c>
      <c r="M49" s="473"/>
      <c r="N49" s="473">
        <f>69.292+4</f>
        <v>73.292000000000002</v>
      </c>
      <c r="O49" s="473"/>
      <c r="P49" s="473"/>
      <c r="Q49" s="473"/>
    </row>
    <row r="50" spans="1:17" ht="42" customHeight="1" x14ac:dyDescent="0.2">
      <c r="A50" s="471">
        <v>42</v>
      </c>
      <c r="B50" s="337" t="s">
        <v>1424</v>
      </c>
      <c r="C50" s="984">
        <f t="shared" si="2"/>
        <v>2454.933</v>
      </c>
      <c r="D50" s="473"/>
      <c r="E50" s="473"/>
      <c r="F50" s="473"/>
      <c r="G50" s="473"/>
      <c r="H50" s="473"/>
      <c r="I50" s="473"/>
      <c r="J50" s="473"/>
      <c r="K50" s="473"/>
      <c r="L50" s="473">
        <f t="shared" si="3"/>
        <v>2454.933</v>
      </c>
      <c r="M50" s="473"/>
      <c r="N50" s="473">
        <f>2416.933+38</f>
        <v>2454.933</v>
      </c>
      <c r="O50" s="473"/>
      <c r="P50" s="473"/>
      <c r="Q50" s="473"/>
    </row>
    <row r="51" spans="1:17" ht="30.75" customHeight="1" x14ac:dyDescent="0.2">
      <c r="A51" s="471">
        <v>43</v>
      </c>
      <c r="B51" s="337" t="s">
        <v>1402</v>
      </c>
      <c r="C51" s="984">
        <f t="shared" si="2"/>
        <v>2056</v>
      </c>
      <c r="D51" s="473"/>
      <c r="E51" s="473"/>
      <c r="F51" s="473"/>
      <c r="G51" s="473"/>
      <c r="H51" s="473"/>
      <c r="I51" s="473"/>
      <c r="J51" s="473"/>
      <c r="K51" s="473"/>
      <c r="L51" s="473">
        <f t="shared" si="3"/>
        <v>2056</v>
      </c>
      <c r="M51" s="473"/>
      <c r="N51" s="473">
        <f>1800+106+150</f>
        <v>2056</v>
      </c>
      <c r="O51" s="473"/>
      <c r="P51" s="473"/>
      <c r="Q51" s="473"/>
    </row>
    <row r="52" spans="1:17" ht="16.5" customHeight="1" x14ac:dyDescent="0.2">
      <c r="A52" s="471">
        <v>44</v>
      </c>
      <c r="B52" s="337" t="s">
        <v>434</v>
      </c>
      <c r="C52" s="984">
        <f t="shared" si="2"/>
        <v>4513</v>
      </c>
      <c r="D52" s="473"/>
      <c r="E52" s="473"/>
      <c r="F52" s="473"/>
      <c r="G52" s="473"/>
      <c r="H52" s="473"/>
      <c r="I52" s="473"/>
      <c r="J52" s="473"/>
      <c r="K52" s="473"/>
      <c r="L52" s="473">
        <f t="shared" si="3"/>
        <v>1513</v>
      </c>
      <c r="M52" s="473"/>
      <c r="N52" s="473">
        <v>1513</v>
      </c>
      <c r="O52" s="473"/>
      <c r="P52" s="473">
        <v>3000</v>
      </c>
      <c r="Q52" s="473"/>
    </row>
    <row r="53" spans="1:17" ht="27" customHeight="1" x14ac:dyDescent="0.2">
      <c r="A53" s="471">
        <v>45</v>
      </c>
      <c r="B53" s="337" t="s">
        <v>1403</v>
      </c>
      <c r="C53" s="984">
        <f t="shared" si="2"/>
        <v>9927</v>
      </c>
      <c r="D53" s="473"/>
      <c r="E53" s="473"/>
      <c r="F53" s="473"/>
      <c r="G53" s="473"/>
      <c r="H53" s="473"/>
      <c r="I53" s="473"/>
      <c r="J53" s="473"/>
      <c r="K53" s="473"/>
      <c r="L53" s="473">
        <f t="shared" si="3"/>
        <v>9927</v>
      </c>
      <c r="M53" s="473"/>
      <c r="N53" s="473"/>
      <c r="O53" s="473">
        <f>9448+893-414</f>
        <v>9927</v>
      </c>
      <c r="P53" s="473"/>
      <c r="Q53" s="473"/>
    </row>
    <row r="54" spans="1:17" ht="27" customHeight="1" x14ac:dyDescent="0.2">
      <c r="A54" s="471">
        <v>46</v>
      </c>
      <c r="B54" s="337" t="s">
        <v>1415</v>
      </c>
      <c r="C54" s="984">
        <f>SUM(D54:L54,P54:Q54)</f>
        <v>950</v>
      </c>
      <c r="D54" s="473"/>
      <c r="E54" s="473"/>
      <c r="F54" s="473"/>
      <c r="G54" s="473"/>
      <c r="H54" s="473"/>
      <c r="I54" s="473"/>
      <c r="J54" s="473"/>
      <c r="K54" s="473"/>
      <c r="L54" s="473">
        <f t="shared" si="3"/>
        <v>950</v>
      </c>
      <c r="M54" s="473"/>
      <c r="N54" s="473"/>
      <c r="O54" s="473">
        <v>950</v>
      </c>
      <c r="P54" s="473"/>
      <c r="Q54" s="473"/>
    </row>
    <row r="55" spans="1:17" ht="18.75" customHeight="1" x14ac:dyDescent="0.2">
      <c r="A55" s="471">
        <v>47</v>
      </c>
      <c r="B55" s="337" t="s">
        <v>1404</v>
      </c>
      <c r="C55" s="984">
        <f>SUM(D55:L55,P55:Q55)</f>
        <v>14640</v>
      </c>
      <c r="D55" s="473"/>
      <c r="E55" s="473"/>
      <c r="F55" s="473"/>
      <c r="G55" s="473"/>
      <c r="H55" s="473"/>
      <c r="I55" s="473"/>
      <c r="J55" s="473"/>
      <c r="K55" s="473"/>
      <c r="L55" s="473">
        <f t="shared" si="3"/>
        <v>14640</v>
      </c>
      <c r="M55" s="473"/>
      <c r="N55" s="473"/>
      <c r="O55" s="473">
        <v>14640</v>
      </c>
      <c r="P55" s="473"/>
      <c r="Q55" s="473"/>
    </row>
    <row r="56" spans="1:17" ht="18.75" customHeight="1" x14ac:dyDescent="0.2">
      <c r="A56" s="471">
        <v>48</v>
      </c>
      <c r="B56" s="337" t="s">
        <v>1036</v>
      </c>
      <c r="C56" s="984">
        <f>SUM(D56:L56,P56:Q56)</f>
        <v>5500</v>
      </c>
      <c r="D56" s="473"/>
      <c r="E56" s="473"/>
      <c r="F56" s="473"/>
      <c r="G56" s="473"/>
      <c r="H56" s="473"/>
      <c r="I56" s="473"/>
      <c r="J56" s="473"/>
      <c r="K56" s="473"/>
      <c r="L56" s="473"/>
      <c r="M56" s="473"/>
      <c r="N56" s="473"/>
      <c r="O56" s="473"/>
      <c r="P56" s="473"/>
      <c r="Q56" s="473">
        <v>5500</v>
      </c>
    </row>
    <row r="57" spans="1:17" ht="18.75" customHeight="1" x14ac:dyDescent="0.2">
      <c r="A57" s="471">
        <v>49</v>
      </c>
      <c r="B57" s="337" t="s">
        <v>1405</v>
      </c>
      <c r="C57" s="984">
        <f>SUM(D57:L57,P57:Q57)</f>
        <v>7000</v>
      </c>
      <c r="D57" s="473"/>
      <c r="E57" s="473"/>
      <c r="F57" s="473"/>
      <c r="G57" s="473"/>
      <c r="H57" s="473"/>
      <c r="I57" s="473"/>
      <c r="J57" s="473"/>
      <c r="K57" s="473"/>
      <c r="L57" s="473"/>
      <c r="M57" s="473"/>
      <c r="N57" s="473"/>
      <c r="O57" s="473"/>
      <c r="P57" s="473"/>
      <c r="Q57" s="473">
        <f>8000-1000</f>
        <v>7000</v>
      </c>
    </row>
    <row r="58" spans="1:17" s="467" customFormat="1" ht="18.75" customHeight="1" x14ac:dyDescent="0.2">
      <c r="A58" s="468" t="s">
        <v>3</v>
      </c>
      <c r="B58" s="97" t="s">
        <v>184</v>
      </c>
      <c r="C58" s="470">
        <f>C59</f>
        <v>5408</v>
      </c>
      <c r="D58" s="470">
        <f t="shared" ref="D58:Q58" si="4">D59</f>
        <v>0</v>
      </c>
      <c r="E58" s="470">
        <f t="shared" si="4"/>
        <v>5408</v>
      </c>
      <c r="F58" s="470">
        <f t="shared" si="4"/>
        <v>0</v>
      </c>
      <c r="G58" s="470">
        <f t="shared" si="4"/>
        <v>0</v>
      </c>
      <c r="H58" s="470">
        <f t="shared" si="4"/>
        <v>0</v>
      </c>
      <c r="I58" s="470">
        <f t="shared" si="4"/>
        <v>0</v>
      </c>
      <c r="J58" s="470">
        <f t="shared" si="4"/>
        <v>0</v>
      </c>
      <c r="K58" s="470">
        <f t="shared" si="4"/>
        <v>0</v>
      </c>
      <c r="L58" s="470">
        <f t="shared" si="4"/>
        <v>0</v>
      </c>
      <c r="M58" s="470">
        <f t="shared" si="4"/>
        <v>0</v>
      </c>
      <c r="N58" s="470">
        <f t="shared" si="4"/>
        <v>0</v>
      </c>
      <c r="O58" s="470">
        <f t="shared" si="4"/>
        <v>0</v>
      </c>
      <c r="P58" s="470">
        <f t="shared" si="4"/>
        <v>0</v>
      </c>
      <c r="Q58" s="470">
        <f t="shared" si="4"/>
        <v>0</v>
      </c>
    </row>
    <row r="59" spans="1:17" ht="18.75" customHeight="1" x14ac:dyDescent="0.2">
      <c r="A59" s="471"/>
      <c r="B59" s="472" t="s">
        <v>185</v>
      </c>
      <c r="C59" s="984">
        <f t="shared" si="2"/>
        <v>5408</v>
      </c>
      <c r="D59" s="473"/>
      <c r="E59" s="473">
        <f>4700+1458-750</f>
        <v>5408</v>
      </c>
      <c r="F59" s="473"/>
      <c r="G59" s="473"/>
      <c r="H59" s="473"/>
      <c r="I59" s="473"/>
      <c r="J59" s="473"/>
      <c r="K59" s="473"/>
      <c r="L59" s="473">
        <f t="shared" si="3"/>
        <v>0</v>
      </c>
      <c r="M59" s="473"/>
      <c r="N59" s="473"/>
      <c r="O59" s="473"/>
      <c r="P59" s="473"/>
      <c r="Q59" s="473"/>
    </row>
    <row r="60" spans="1:17" s="475" customFormat="1" ht="14.25" customHeight="1" x14ac:dyDescent="0.25">
      <c r="A60" s="468" t="s">
        <v>4</v>
      </c>
      <c r="B60" s="474" t="s">
        <v>208</v>
      </c>
      <c r="C60" s="470">
        <f>C61</f>
        <v>13317</v>
      </c>
      <c r="D60" s="470">
        <f t="shared" ref="D60:Q60" si="5">D61</f>
        <v>0</v>
      </c>
      <c r="E60" s="470">
        <f t="shared" si="5"/>
        <v>0</v>
      </c>
      <c r="F60" s="470">
        <f t="shared" si="5"/>
        <v>13317</v>
      </c>
      <c r="G60" s="470">
        <f t="shared" si="5"/>
        <v>0</v>
      </c>
      <c r="H60" s="470">
        <f t="shared" si="5"/>
        <v>0</v>
      </c>
      <c r="I60" s="470">
        <f t="shared" si="5"/>
        <v>0</v>
      </c>
      <c r="J60" s="470">
        <f t="shared" si="5"/>
        <v>0</v>
      </c>
      <c r="K60" s="470">
        <f t="shared" si="5"/>
        <v>0</v>
      </c>
      <c r="L60" s="470">
        <f t="shared" si="5"/>
        <v>0</v>
      </c>
      <c r="M60" s="470">
        <f t="shared" si="5"/>
        <v>0</v>
      </c>
      <c r="N60" s="470">
        <f t="shared" si="5"/>
        <v>0</v>
      </c>
      <c r="O60" s="470">
        <f t="shared" si="5"/>
        <v>0</v>
      </c>
      <c r="P60" s="470">
        <f t="shared" si="5"/>
        <v>0</v>
      </c>
      <c r="Q60" s="470">
        <f t="shared" si="5"/>
        <v>0</v>
      </c>
    </row>
    <row r="61" spans="1:17" ht="14.25" customHeight="1" x14ac:dyDescent="0.2">
      <c r="A61" s="471"/>
      <c r="B61" s="472" t="s">
        <v>209</v>
      </c>
      <c r="C61" s="984">
        <f t="shared" si="2"/>
        <v>13317</v>
      </c>
      <c r="D61" s="473"/>
      <c r="E61" s="473"/>
      <c r="F61" s="473">
        <f>13339+128-150</f>
        <v>13317</v>
      </c>
      <c r="G61" s="473"/>
      <c r="H61" s="473"/>
      <c r="I61" s="473"/>
      <c r="J61" s="473"/>
      <c r="K61" s="473"/>
      <c r="L61" s="473">
        <f t="shared" si="3"/>
        <v>0</v>
      </c>
      <c r="M61" s="473"/>
      <c r="N61" s="473"/>
      <c r="O61" s="473"/>
      <c r="P61" s="473"/>
      <c r="Q61" s="473"/>
    </row>
    <row r="62" spans="1:17" ht="12.75" hidden="1" customHeight="1" x14ac:dyDescent="0.2"/>
    <row r="63" spans="1:17" ht="12.75" hidden="1" customHeight="1" x14ac:dyDescent="0.2"/>
    <row r="64" spans="1:17" ht="12.75" hidden="1" customHeight="1" x14ac:dyDescent="0.2"/>
    <row r="66" spans="3:3" ht="22.5" hidden="1" customHeight="1" x14ac:dyDescent="0.2">
      <c r="C66" s="465">
        <v>1243816</v>
      </c>
    </row>
    <row r="67" spans="3:3" hidden="1" x14ac:dyDescent="0.2">
      <c r="C67" s="593">
        <f>C66-C7</f>
        <v>170228</v>
      </c>
    </row>
    <row r="68" spans="3:3" hidden="1" x14ac:dyDescent="0.2"/>
    <row r="69" spans="3:3" hidden="1" x14ac:dyDescent="0.2"/>
    <row r="70" spans="3:3" hidden="1" x14ac:dyDescent="0.2">
      <c r="C70" s="460">
        <f>2650+200+1062+320+2035+1684+360+550+319+2632+400+350+525+847+414+150</f>
        <v>14498</v>
      </c>
    </row>
    <row r="71" spans="3:3" hidden="1" x14ac:dyDescent="0.2">
      <c r="C71" s="460">
        <f>2780+2680+2500+520+500+300+550+4500</f>
        <v>14330</v>
      </c>
    </row>
    <row r="72" spans="3:3" hidden="1" x14ac:dyDescent="0.2">
      <c r="C72" s="460">
        <v>3000</v>
      </c>
    </row>
    <row r="73" spans="3:3" hidden="1" x14ac:dyDescent="0.2">
      <c r="C73" s="460">
        <f>C70+C71+C72</f>
        <v>31828</v>
      </c>
    </row>
    <row r="74" spans="3:3" hidden="1" x14ac:dyDescent="0.2"/>
  </sheetData>
  <mergeCells count="17">
    <mergeCell ref="D4:D5"/>
    <mergeCell ref="E4:E5"/>
    <mergeCell ref="F4:F5"/>
    <mergeCell ref="G4:G5"/>
    <mergeCell ref="A1:Q1"/>
    <mergeCell ref="A2:Q2"/>
    <mergeCell ref="L4:L5"/>
    <mergeCell ref="M4:O4"/>
    <mergeCell ref="Q4:Q5"/>
    <mergeCell ref="H4:H5"/>
    <mergeCell ref="I4:I5"/>
    <mergeCell ref="P4:P5"/>
    <mergeCell ref="J4:J5"/>
    <mergeCell ref="K4:K5"/>
    <mergeCell ref="A4:A5"/>
    <mergeCell ref="B4:B5"/>
    <mergeCell ref="C4:C5"/>
  </mergeCells>
  <pageMargins left="0.53" right="0.24" top="0.7" bottom="0.55000000000000004" header="0.42" footer="0.3"/>
  <pageSetup paperSize="9" firstPageNumber="101" orientation="landscape" useFirstPageNumber="1" r:id="rId1"/>
  <headerFooter>
    <oddHeader>&amp;RBiểu mẫu số 25</oddHeader>
    <oddFooter>&amp;C&amp;P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X87"/>
  <sheetViews>
    <sheetView workbookViewId="0">
      <selection activeCell="W5" sqref="W5"/>
    </sheetView>
  </sheetViews>
  <sheetFormatPr defaultRowHeight="15" x14ac:dyDescent="0.25"/>
  <cols>
    <col min="1" max="1" width="3.25" style="651" customWidth="1"/>
    <col min="2" max="2" width="24.875" style="651" customWidth="1"/>
    <col min="3" max="3" width="7.875" style="651" hidden="1" customWidth="1"/>
    <col min="4" max="4" width="8.25" style="677" hidden="1" customWidth="1"/>
    <col min="5" max="5" width="8.125" style="651" hidden="1" customWidth="1"/>
    <col min="6" max="6" width="2.625" style="677" hidden="1" customWidth="1"/>
    <col min="7" max="7" width="7.125" style="651" customWidth="1"/>
    <col min="8" max="8" width="7" style="651" customWidth="1"/>
    <col min="9" max="9" width="6.25" style="651" customWidth="1"/>
    <col min="10" max="10" width="5.625" style="651" customWidth="1"/>
    <col min="11" max="11" width="5.5" style="651" customWidth="1"/>
    <col min="12" max="12" width="6.5" style="651" customWidth="1"/>
    <col min="13" max="13" width="6.125" style="651" customWidth="1"/>
    <col min="14" max="14" width="5.75" style="651" customWidth="1"/>
    <col min="15" max="15" width="4.75" style="651" customWidth="1"/>
    <col min="16" max="16" width="6" style="651" customWidth="1"/>
    <col min="17" max="17" width="6.875" style="651" customWidth="1"/>
    <col min="18" max="18" width="6.5" style="651" customWidth="1"/>
    <col min="19" max="19" width="7" style="651" customWidth="1"/>
    <col min="20" max="20" width="7.5" style="651" customWidth="1"/>
    <col min="21" max="21" width="5.875" style="651" customWidth="1"/>
    <col min="22" max="22" width="4.875" style="651" customWidth="1"/>
    <col min="23" max="23" width="8.125" style="649" customWidth="1"/>
    <col min="24" max="24" width="9" style="650"/>
    <col min="25" max="16384" width="9" style="651"/>
  </cols>
  <sheetData>
    <row r="1" spans="1:24" ht="38.25" customHeight="1" x14ac:dyDescent="0.25">
      <c r="A1" s="2061" t="s">
        <v>1384</v>
      </c>
      <c r="B1" s="2061"/>
      <c r="C1" s="2061"/>
      <c r="D1" s="2061"/>
      <c r="E1" s="2061"/>
      <c r="F1" s="2061"/>
      <c r="G1" s="2061"/>
      <c r="H1" s="2061"/>
      <c r="I1" s="2061"/>
      <c r="J1" s="2061"/>
      <c r="K1" s="2061"/>
      <c r="L1" s="2061"/>
      <c r="M1" s="2061"/>
      <c r="N1" s="2061"/>
      <c r="O1" s="2061"/>
      <c r="P1" s="2061"/>
      <c r="Q1" s="2061"/>
      <c r="R1" s="2061"/>
      <c r="S1" s="2061"/>
      <c r="T1" s="2061"/>
      <c r="U1" s="2061"/>
      <c r="V1" s="2061"/>
    </row>
    <row r="2" spans="1:24" ht="14.25" customHeight="1" x14ac:dyDescent="0.25">
      <c r="A2" s="2050" t="str">
        <f>'Biểu 25'!A2:P2</f>
        <v>(Kèm theo Báo cáo số              /BC-UBND ngày       tháng 11 năm 2018 của UBND tỉnh Bắc Kạn)</v>
      </c>
      <c r="B2" s="2053"/>
      <c r="C2" s="2053"/>
      <c r="D2" s="2053"/>
      <c r="E2" s="2053"/>
      <c r="F2" s="2053"/>
      <c r="G2" s="2053"/>
      <c r="H2" s="2053"/>
      <c r="I2" s="2053"/>
      <c r="J2" s="2053"/>
      <c r="K2" s="2053"/>
      <c r="L2" s="2053"/>
      <c r="M2" s="2053"/>
      <c r="N2" s="2053"/>
      <c r="O2" s="2053"/>
      <c r="P2" s="2053"/>
      <c r="Q2" s="2053"/>
      <c r="R2" s="2053"/>
      <c r="S2" s="2053"/>
      <c r="T2" s="2053"/>
      <c r="U2" s="2053"/>
      <c r="V2" s="2053"/>
    </row>
    <row r="3" spans="1:24" ht="18" customHeight="1" x14ac:dyDescent="0.25">
      <c r="A3" s="652"/>
      <c r="B3" s="652"/>
      <c r="C3" s="652"/>
      <c r="D3" s="652"/>
      <c r="E3" s="652"/>
      <c r="F3" s="652"/>
      <c r="G3" s="652"/>
      <c r="H3" s="652"/>
      <c r="I3" s="652"/>
      <c r="J3" s="652"/>
      <c r="K3" s="652"/>
      <c r="L3" s="652"/>
      <c r="M3" s="652"/>
      <c r="N3" s="652"/>
      <c r="O3" s="652"/>
      <c r="P3" s="652"/>
      <c r="Q3" s="652"/>
      <c r="R3" s="652"/>
      <c r="S3" s="2060" t="s">
        <v>6</v>
      </c>
      <c r="T3" s="2060"/>
      <c r="U3" s="2060"/>
      <c r="V3" s="2060"/>
    </row>
    <row r="4" spans="1:24" s="460" customFormat="1" ht="12.75" x14ac:dyDescent="0.2">
      <c r="A4" s="2051" t="s">
        <v>0</v>
      </c>
      <c r="B4" s="2051" t="s">
        <v>63</v>
      </c>
      <c r="C4" s="1026"/>
      <c r="D4" s="1028"/>
      <c r="E4" s="2058" t="s">
        <v>413</v>
      </c>
      <c r="F4" s="2062" t="s">
        <v>414</v>
      </c>
      <c r="G4" s="2051" t="s">
        <v>1104</v>
      </c>
      <c r="H4" s="2051" t="s">
        <v>28</v>
      </c>
      <c r="I4" s="2051" t="s">
        <v>29</v>
      </c>
      <c r="J4" s="2051" t="s">
        <v>75</v>
      </c>
      <c r="K4" s="2051" t="s">
        <v>76</v>
      </c>
      <c r="L4" s="2051" t="s">
        <v>77</v>
      </c>
      <c r="M4" s="2051" t="s">
        <v>78</v>
      </c>
      <c r="N4" s="2051" t="s">
        <v>79</v>
      </c>
      <c r="O4" s="2051" t="s">
        <v>80</v>
      </c>
      <c r="P4" s="2051" t="s">
        <v>81</v>
      </c>
      <c r="Q4" s="2051" t="s">
        <v>82</v>
      </c>
      <c r="R4" s="2051" t="s">
        <v>96</v>
      </c>
      <c r="S4" s="2051"/>
      <c r="T4" s="2051" t="s">
        <v>83</v>
      </c>
      <c r="U4" s="2051" t="s">
        <v>84</v>
      </c>
      <c r="V4" s="2051" t="s">
        <v>464</v>
      </c>
      <c r="W4" s="606"/>
      <c r="X4" s="461"/>
    </row>
    <row r="5" spans="1:24" s="460" customFormat="1" ht="93.75" customHeight="1" x14ac:dyDescent="0.2">
      <c r="A5" s="2051"/>
      <c r="B5" s="2051"/>
      <c r="C5" s="1027" t="s">
        <v>415</v>
      </c>
      <c r="D5" s="1029" t="s">
        <v>416</v>
      </c>
      <c r="E5" s="2059"/>
      <c r="F5" s="2063"/>
      <c r="G5" s="2051"/>
      <c r="H5" s="2051"/>
      <c r="I5" s="2051"/>
      <c r="J5" s="2051"/>
      <c r="K5" s="2051"/>
      <c r="L5" s="2051"/>
      <c r="M5" s="2051"/>
      <c r="N5" s="2051"/>
      <c r="O5" s="2051"/>
      <c r="P5" s="2051"/>
      <c r="Q5" s="2051"/>
      <c r="R5" s="1025" t="s">
        <v>97</v>
      </c>
      <c r="S5" s="1025" t="s">
        <v>98</v>
      </c>
      <c r="T5" s="2051"/>
      <c r="U5" s="2051"/>
      <c r="V5" s="2051"/>
      <c r="W5" s="606"/>
      <c r="X5" s="461"/>
    </row>
    <row r="6" spans="1:24" s="460" customFormat="1" ht="16.5" customHeight="1" x14ac:dyDescent="0.2">
      <c r="A6" s="1025" t="s">
        <v>2</v>
      </c>
      <c r="B6" s="1025" t="s">
        <v>3</v>
      </c>
      <c r="C6" s="482"/>
      <c r="D6" s="653"/>
      <c r="E6" s="482"/>
      <c r="F6" s="653"/>
      <c r="G6" s="482">
        <v>1</v>
      </c>
      <c r="H6" s="482">
        <v>2</v>
      </c>
      <c r="I6" s="482">
        <v>3</v>
      </c>
      <c r="J6" s="482">
        <v>4</v>
      </c>
      <c r="K6" s="482">
        <v>5</v>
      </c>
      <c r="L6" s="482">
        <v>6</v>
      </c>
      <c r="M6" s="482">
        <v>7</v>
      </c>
      <c r="N6" s="482">
        <v>8</v>
      </c>
      <c r="O6" s="482">
        <v>9</v>
      </c>
      <c r="P6" s="482">
        <v>10</v>
      </c>
      <c r="Q6" s="482">
        <v>11</v>
      </c>
      <c r="R6" s="482">
        <v>12</v>
      </c>
      <c r="S6" s="482">
        <v>13</v>
      </c>
      <c r="T6" s="482">
        <v>14</v>
      </c>
      <c r="U6" s="482">
        <v>15</v>
      </c>
      <c r="V6" s="482">
        <v>16</v>
      </c>
      <c r="W6" s="606"/>
      <c r="X6" s="461"/>
    </row>
    <row r="7" spans="1:24" s="460" customFormat="1" ht="12.75" x14ac:dyDescent="0.2">
      <c r="A7" s="463"/>
      <c r="B7" s="463" t="s">
        <v>89</v>
      </c>
      <c r="C7" s="654">
        <f>C8+C37+C40+C46+C61+C64</f>
        <v>963385.3885721002</v>
      </c>
      <c r="D7" s="654">
        <f>D8+D37+D40+D46+D61+D64</f>
        <v>53365.349572099993</v>
      </c>
      <c r="E7" s="654">
        <f>E8+E37+E40+E46+E61+E64</f>
        <v>849133</v>
      </c>
      <c r="F7" s="654">
        <f>F8+F37+F40+F46+F61+F64</f>
        <v>60887.039000000004</v>
      </c>
      <c r="G7" s="1170">
        <f>G8+G37+G40+G46+G61+G64</f>
        <v>1284616</v>
      </c>
      <c r="H7" s="1170">
        <f t="shared" ref="H7:V7" si="0">H8+H37+H40+H46+H61+H64</f>
        <v>238591</v>
      </c>
      <c r="I7" s="1170">
        <f t="shared" si="0"/>
        <v>11657</v>
      </c>
      <c r="J7" s="1170">
        <f t="shared" si="0"/>
        <v>22716</v>
      </c>
      <c r="K7" s="1170">
        <f t="shared" si="0"/>
        <v>15233</v>
      </c>
      <c r="L7" s="1170">
        <f t="shared" si="0"/>
        <v>434960</v>
      </c>
      <c r="M7" s="1170">
        <f t="shared" si="0"/>
        <v>23379</v>
      </c>
      <c r="N7" s="1170">
        <f t="shared" si="0"/>
        <v>16563</v>
      </c>
      <c r="O7" s="1170">
        <f t="shared" si="0"/>
        <v>6164</v>
      </c>
      <c r="P7" s="1170">
        <f t="shared" si="0"/>
        <v>16867</v>
      </c>
      <c r="Q7" s="1170">
        <f t="shared" si="0"/>
        <v>177303</v>
      </c>
      <c r="R7" s="1170">
        <f t="shared" si="0"/>
        <v>0</v>
      </c>
      <c r="S7" s="1170">
        <f t="shared" si="0"/>
        <v>35737</v>
      </c>
      <c r="T7" s="1170">
        <f t="shared" si="0"/>
        <v>292562</v>
      </c>
      <c r="U7" s="1170">
        <f t="shared" si="0"/>
        <v>27514</v>
      </c>
      <c r="V7" s="1170">
        <f t="shared" si="0"/>
        <v>1107</v>
      </c>
      <c r="W7" s="606"/>
      <c r="X7" s="461"/>
    </row>
    <row r="8" spans="1:24" s="460" customFormat="1" ht="12.75" x14ac:dyDescent="0.2">
      <c r="A8" s="655" t="s">
        <v>2</v>
      </c>
      <c r="B8" s="655" t="s">
        <v>1047</v>
      </c>
      <c r="C8" s="656">
        <f t="shared" ref="C8:V8" si="1">SUM(C9:C36)</f>
        <v>828449.61173710017</v>
      </c>
      <c r="D8" s="657">
        <f t="shared" si="1"/>
        <v>49211.726737099991</v>
      </c>
      <c r="E8" s="657">
        <f t="shared" si="1"/>
        <v>729081</v>
      </c>
      <c r="F8" s="657">
        <f t="shared" si="1"/>
        <v>50156.885000000002</v>
      </c>
      <c r="G8" s="1170">
        <f t="shared" si="1"/>
        <v>892394</v>
      </c>
      <c r="H8" s="1170">
        <f t="shared" si="1"/>
        <v>234812</v>
      </c>
      <c r="I8" s="1170">
        <f t="shared" si="1"/>
        <v>11306</v>
      </c>
      <c r="J8" s="1170">
        <f t="shared" si="1"/>
        <v>0</v>
      </c>
      <c r="K8" s="1170">
        <f t="shared" si="1"/>
        <v>1398</v>
      </c>
      <c r="L8" s="1170">
        <f t="shared" si="1"/>
        <v>214352</v>
      </c>
      <c r="M8" s="1170">
        <f t="shared" si="1"/>
        <v>23379</v>
      </c>
      <c r="N8" s="1170">
        <f t="shared" si="1"/>
        <v>16563</v>
      </c>
      <c r="O8" s="1170">
        <f t="shared" si="1"/>
        <v>6164</v>
      </c>
      <c r="P8" s="1170">
        <f t="shared" si="1"/>
        <v>16667</v>
      </c>
      <c r="Q8" s="1170">
        <f t="shared" si="1"/>
        <v>143165</v>
      </c>
      <c r="R8" s="1170">
        <f t="shared" si="1"/>
        <v>0</v>
      </c>
      <c r="S8" s="1170">
        <f t="shared" si="1"/>
        <v>35737</v>
      </c>
      <c r="T8" s="1170">
        <f t="shared" si="1"/>
        <v>197074</v>
      </c>
      <c r="U8" s="1170">
        <f t="shared" si="1"/>
        <v>27514</v>
      </c>
      <c r="V8" s="1171">
        <f t="shared" si="1"/>
        <v>0</v>
      </c>
      <c r="W8" s="606"/>
      <c r="X8" s="461"/>
    </row>
    <row r="9" spans="1:24" s="460" customFormat="1" ht="12.75" x14ac:dyDescent="0.2">
      <c r="A9" s="95">
        <v>1</v>
      </c>
      <c r="B9" s="658" t="s">
        <v>158</v>
      </c>
      <c r="C9" s="338">
        <f>D9+E9+F9</f>
        <v>9058</v>
      </c>
      <c r="D9" s="659"/>
      <c r="E9" s="659">
        <v>9058</v>
      </c>
      <c r="F9" s="659"/>
      <c r="G9" s="662">
        <f>SUM(H9:Q9)+SUM(T9:V9)</f>
        <v>9697</v>
      </c>
      <c r="H9" s="662"/>
      <c r="I9" s="662"/>
      <c r="J9" s="662"/>
      <c r="K9" s="662"/>
      <c r="L9" s="662"/>
      <c r="M9" s="662"/>
      <c r="N9" s="662"/>
      <c r="O9" s="662"/>
      <c r="P9" s="662"/>
      <c r="Q9" s="662"/>
      <c r="R9" s="662"/>
      <c r="S9" s="662"/>
      <c r="T9" s="662">
        <v>9697</v>
      </c>
      <c r="U9" s="662"/>
      <c r="V9" s="662"/>
      <c r="W9" s="606"/>
      <c r="X9" s="461"/>
    </row>
    <row r="10" spans="1:24" s="460" customFormat="1" ht="12.75" x14ac:dyDescent="0.2">
      <c r="A10" s="660">
        <v>2</v>
      </c>
      <c r="B10" s="338" t="s">
        <v>159</v>
      </c>
      <c r="C10" s="338">
        <f t="shared" ref="C10:C58" si="2">D10+E10+F10</f>
        <v>13688.3043311</v>
      </c>
      <c r="D10" s="659">
        <v>64.304331099999999</v>
      </c>
      <c r="E10" s="659">
        <v>13433</v>
      </c>
      <c r="F10" s="659">
        <v>191</v>
      </c>
      <c r="G10" s="662">
        <f t="shared" ref="G10:G63" si="3">SUM(H10:Q10)+SUM(T10:V10)</f>
        <v>15552</v>
      </c>
      <c r="H10" s="662"/>
      <c r="I10" s="662"/>
      <c r="J10" s="662"/>
      <c r="K10" s="662"/>
      <c r="L10" s="662"/>
      <c r="M10" s="662"/>
      <c r="N10" s="662"/>
      <c r="O10" s="662"/>
      <c r="P10" s="662"/>
      <c r="Q10" s="662">
        <v>2525</v>
      </c>
      <c r="R10" s="662"/>
      <c r="S10" s="662"/>
      <c r="T10" s="662">
        <v>13027</v>
      </c>
      <c r="U10" s="662"/>
      <c r="V10" s="662"/>
      <c r="W10" s="606"/>
      <c r="X10" s="461"/>
    </row>
    <row r="11" spans="1:24" s="460" customFormat="1" ht="12.75" x14ac:dyDescent="0.2">
      <c r="A11" s="95">
        <v>3</v>
      </c>
      <c r="B11" s="658" t="s">
        <v>160</v>
      </c>
      <c r="C11" s="338">
        <f t="shared" si="2"/>
        <v>15824.452939999999</v>
      </c>
      <c r="D11" s="659">
        <v>72.452939999999998</v>
      </c>
      <c r="E11" s="659">
        <v>11242</v>
      </c>
      <c r="F11" s="659">
        <f>2450+2000+60</f>
        <v>4510</v>
      </c>
      <c r="G11" s="662">
        <f t="shared" si="3"/>
        <v>14967</v>
      </c>
      <c r="H11" s="662">
        <v>1599</v>
      </c>
      <c r="I11" s="662"/>
      <c r="J11" s="662"/>
      <c r="K11" s="662"/>
      <c r="L11" s="662"/>
      <c r="M11" s="662">
        <v>647</v>
      </c>
      <c r="N11" s="662"/>
      <c r="O11" s="662"/>
      <c r="P11" s="662"/>
      <c r="Q11" s="662"/>
      <c r="R11" s="662"/>
      <c r="S11" s="662"/>
      <c r="T11" s="662">
        <v>12721</v>
      </c>
      <c r="U11" s="662"/>
      <c r="V11" s="662"/>
      <c r="W11" s="606"/>
      <c r="X11" s="461"/>
    </row>
    <row r="12" spans="1:24" s="460" customFormat="1" ht="12.75" x14ac:dyDescent="0.2">
      <c r="A12" s="660">
        <v>4</v>
      </c>
      <c r="B12" s="658" t="s">
        <v>161</v>
      </c>
      <c r="C12" s="338">
        <f t="shared" si="2"/>
        <v>6311.46</v>
      </c>
      <c r="D12" s="659">
        <v>267.41000000000003</v>
      </c>
      <c r="E12" s="659">
        <v>5750</v>
      </c>
      <c r="F12" s="659">
        <v>294.05</v>
      </c>
      <c r="G12" s="662">
        <f t="shared" si="3"/>
        <v>5259</v>
      </c>
      <c r="H12" s="662"/>
      <c r="I12" s="662"/>
      <c r="J12" s="662"/>
      <c r="K12" s="662"/>
      <c r="L12" s="662"/>
      <c r="M12" s="662"/>
      <c r="N12" s="662"/>
      <c r="O12" s="662"/>
      <c r="P12" s="662"/>
      <c r="Q12" s="662"/>
      <c r="R12" s="662"/>
      <c r="S12" s="662"/>
      <c r="T12" s="662">
        <v>5259</v>
      </c>
      <c r="U12" s="662"/>
      <c r="V12" s="662"/>
      <c r="W12" s="606"/>
      <c r="X12" s="461"/>
    </row>
    <row r="13" spans="1:24" s="460" customFormat="1" ht="12.75" x14ac:dyDescent="0.2">
      <c r="A13" s="95">
        <v>5</v>
      </c>
      <c r="B13" s="658" t="s">
        <v>162</v>
      </c>
      <c r="C13" s="338">
        <f t="shared" si="2"/>
        <v>7979</v>
      </c>
      <c r="D13" s="659"/>
      <c r="E13" s="659">
        <v>7979</v>
      </c>
      <c r="F13" s="659"/>
      <c r="G13" s="662">
        <f t="shared" si="3"/>
        <v>14778</v>
      </c>
      <c r="H13" s="662">
        <v>950</v>
      </c>
      <c r="I13" s="662"/>
      <c r="J13" s="662"/>
      <c r="K13" s="662"/>
      <c r="L13" s="662"/>
      <c r="M13" s="662"/>
      <c r="N13" s="662"/>
      <c r="O13" s="662"/>
      <c r="P13" s="662"/>
      <c r="Q13" s="662">
        <f>3626+820</f>
        <v>4446</v>
      </c>
      <c r="R13" s="662"/>
      <c r="S13" s="662"/>
      <c r="T13" s="662">
        <v>9382</v>
      </c>
      <c r="U13" s="662"/>
      <c r="V13" s="662"/>
      <c r="W13" s="606"/>
      <c r="X13" s="461"/>
    </row>
    <row r="14" spans="1:24" s="460" customFormat="1" ht="12.75" x14ac:dyDescent="0.2">
      <c r="A14" s="660">
        <v>6</v>
      </c>
      <c r="B14" s="658" t="s">
        <v>163</v>
      </c>
      <c r="C14" s="338">
        <f t="shared" si="2"/>
        <v>9400.6744180000005</v>
      </c>
      <c r="D14" s="659">
        <v>3.6744180000000002</v>
      </c>
      <c r="E14" s="659">
        <v>9287</v>
      </c>
      <c r="F14" s="659">
        <v>110</v>
      </c>
      <c r="G14" s="662">
        <f t="shared" si="3"/>
        <v>9835</v>
      </c>
      <c r="H14" s="662"/>
      <c r="I14" s="662"/>
      <c r="J14" s="662"/>
      <c r="K14" s="662"/>
      <c r="L14" s="662"/>
      <c r="M14" s="662"/>
      <c r="N14" s="662"/>
      <c r="O14" s="662"/>
      <c r="P14" s="662"/>
      <c r="Q14" s="662">
        <v>455</v>
      </c>
      <c r="R14" s="662"/>
      <c r="S14" s="662"/>
      <c r="T14" s="662">
        <v>9380</v>
      </c>
      <c r="U14" s="662"/>
      <c r="V14" s="662"/>
      <c r="W14" s="606"/>
      <c r="X14" s="461"/>
    </row>
    <row r="15" spans="1:24" s="460" customFormat="1" ht="12.75" x14ac:dyDescent="0.2">
      <c r="A15" s="95">
        <v>7</v>
      </c>
      <c r="B15" s="658" t="s">
        <v>164</v>
      </c>
      <c r="C15" s="338">
        <f>D15+E15+F15</f>
        <v>35068.090250000001</v>
      </c>
      <c r="D15" s="659">
        <v>148.09025</v>
      </c>
      <c r="E15" s="659">
        <v>31920</v>
      </c>
      <c r="F15" s="659">
        <v>3000</v>
      </c>
      <c r="G15" s="662">
        <f t="shared" si="3"/>
        <v>46789</v>
      </c>
      <c r="H15" s="662"/>
      <c r="I15" s="662"/>
      <c r="J15" s="662"/>
      <c r="K15" s="662"/>
      <c r="L15" s="662"/>
      <c r="M15" s="662"/>
      <c r="N15" s="662"/>
      <c r="O15" s="662"/>
      <c r="P15" s="662"/>
      <c r="Q15" s="662">
        <v>40105</v>
      </c>
      <c r="R15" s="662"/>
      <c r="S15" s="662"/>
      <c r="T15" s="662">
        <v>6684</v>
      </c>
      <c r="U15" s="662"/>
      <c r="V15" s="662"/>
      <c r="W15" s="606"/>
      <c r="X15" s="461"/>
    </row>
    <row r="16" spans="1:24" s="460" customFormat="1" ht="12.75" x14ac:dyDescent="0.2">
      <c r="A16" s="660">
        <v>8</v>
      </c>
      <c r="B16" s="658" t="s">
        <v>165</v>
      </c>
      <c r="C16" s="338">
        <f t="shared" si="2"/>
        <v>6819.143</v>
      </c>
      <c r="D16" s="659">
        <v>843.14300000000003</v>
      </c>
      <c r="E16" s="659">
        <v>5784</v>
      </c>
      <c r="F16" s="659">
        <v>192</v>
      </c>
      <c r="G16" s="662">
        <f t="shared" si="3"/>
        <v>6359</v>
      </c>
      <c r="H16" s="662"/>
      <c r="I16" s="662"/>
      <c r="J16" s="662"/>
      <c r="K16" s="662"/>
      <c r="L16" s="662"/>
      <c r="M16" s="662"/>
      <c r="N16" s="662"/>
      <c r="O16" s="662"/>
      <c r="P16" s="662"/>
      <c r="Q16" s="662">
        <v>1442</v>
      </c>
      <c r="R16" s="662"/>
      <c r="S16" s="662"/>
      <c r="T16" s="662">
        <v>4917</v>
      </c>
      <c r="U16" s="662"/>
      <c r="V16" s="662"/>
      <c r="W16" s="606"/>
      <c r="X16" s="461"/>
    </row>
    <row r="17" spans="1:24" s="460" customFormat="1" ht="12.75" x14ac:dyDescent="0.2">
      <c r="A17" s="95">
        <v>9</v>
      </c>
      <c r="B17" s="658" t="s">
        <v>166</v>
      </c>
      <c r="C17" s="338">
        <f t="shared" si="2"/>
        <v>7098</v>
      </c>
      <c r="D17" s="659"/>
      <c r="E17" s="659">
        <v>7033</v>
      </c>
      <c r="F17" s="659">
        <v>65</v>
      </c>
      <c r="G17" s="662">
        <f t="shared" si="3"/>
        <v>7133</v>
      </c>
      <c r="H17" s="662"/>
      <c r="I17" s="662"/>
      <c r="J17" s="662"/>
      <c r="K17" s="662"/>
      <c r="L17" s="662"/>
      <c r="M17" s="662"/>
      <c r="N17" s="662"/>
      <c r="O17" s="662"/>
      <c r="P17" s="662"/>
      <c r="Q17" s="662">
        <v>2575</v>
      </c>
      <c r="R17" s="662"/>
      <c r="S17" s="662"/>
      <c r="T17" s="662">
        <v>4558</v>
      </c>
      <c r="U17" s="662"/>
      <c r="V17" s="662"/>
      <c r="W17" s="606"/>
      <c r="X17" s="461"/>
    </row>
    <row r="18" spans="1:24" s="460" customFormat="1" ht="12.75" x14ac:dyDescent="0.2">
      <c r="A18" s="660">
        <v>10</v>
      </c>
      <c r="B18" s="658" t="s">
        <v>167</v>
      </c>
      <c r="C18" s="338">
        <f t="shared" si="2"/>
        <v>25379.910871</v>
      </c>
      <c r="D18" s="659">
        <v>283.91087099999999</v>
      </c>
      <c r="E18" s="659">
        <v>24489</v>
      </c>
      <c r="F18" s="659">
        <v>607</v>
      </c>
      <c r="G18" s="662">
        <f t="shared" si="3"/>
        <v>32259</v>
      </c>
      <c r="H18" s="662"/>
      <c r="I18" s="662"/>
      <c r="J18" s="662"/>
      <c r="K18" s="662">
        <v>40</v>
      </c>
      <c r="L18" s="662">
        <v>186</v>
      </c>
      <c r="M18" s="662">
        <f>18245+1030</f>
        <v>19275</v>
      </c>
      <c r="N18" s="662"/>
      <c r="O18" s="662">
        <v>6164</v>
      </c>
      <c r="P18" s="662"/>
      <c r="Q18" s="662">
        <v>1419</v>
      </c>
      <c r="R18" s="662"/>
      <c r="S18" s="662"/>
      <c r="T18" s="662">
        <v>5175</v>
      </c>
      <c r="U18" s="662"/>
      <c r="V18" s="662"/>
      <c r="W18" s="606"/>
      <c r="X18" s="461"/>
    </row>
    <row r="19" spans="1:24" s="460" customFormat="1" ht="12.75" x14ac:dyDescent="0.2">
      <c r="A19" s="95">
        <v>11</v>
      </c>
      <c r="B19" s="658" t="s">
        <v>168</v>
      </c>
      <c r="C19" s="338">
        <f t="shared" si="2"/>
        <v>22261.234796000001</v>
      </c>
      <c r="D19" s="659">
        <v>1876.234796</v>
      </c>
      <c r="E19" s="659">
        <v>17000</v>
      </c>
      <c r="F19" s="659">
        <v>3385</v>
      </c>
      <c r="G19" s="662">
        <f t="shared" si="3"/>
        <v>24664</v>
      </c>
      <c r="H19" s="662"/>
      <c r="I19" s="662"/>
      <c r="J19" s="662"/>
      <c r="K19" s="662"/>
      <c r="L19" s="662"/>
      <c r="M19" s="662"/>
      <c r="N19" s="662"/>
      <c r="O19" s="662"/>
      <c r="P19" s="662"/>
      <c r="Q19" s="662">
        <v>1008</v>
      </c>
      <c r="R19" s="662"/>
      <c r="S19" s="662"/>
      <c r="T19" s="662">
        <v>14142</v>
      </c>
      <c r="U19" s="662">
        <v>9514</v>
      </c>
      <c r="V19" s="662"/>
      <c r="W19" s="606"/>
      <c r="X19" s="461"/>
    </row>
    <row r="20" spans="1:24" s="460" customFormat="1" ht="14.25" customHeight="1" x14ac:dyDescent="0.2">
      <c r="A20" s="660">
        <v>12</v>
      </c>
      <c r="B20" s="658" t="s">
        <v>169</v>
      </c>
      <c r="C20" s="338">
        <f t="shared" si="2"/>
        <v>20531.7104</v>
      </c>
      <c r="D20" s="659">
        <v>6565.7103999999999</v>
      </c>
      <c r="E20" s="659">
        <v>11719</v>
      </c>
      <c r="F20" s="661">
        <v>2247</v>
      </c>
      <c r="G20" s="662">
        <f t="shared" si="3"/>
        <v>15037</v>
      </c>
      <c r="H20" s="662"/>
      <c r="I20" s="662">
        <f>10812</f>
        <v>10812</v>
      </c>
      <c r="J20" s="662"/>
      <c r="K20" s="662"/>
      <c r="L20" s="662"/>
      <c r="M20" s="662"/>
      <c r="N20" s="662"/>
      <c r="O20" s="662"/>
      <c r="P20" s="662"/>
      <c r="Q20" s="662"/>
      <c r="R20" s="662"/>
      <c r="S20" s="662"/>
      <c r="T20" s="662">
        <v>4225</v>
      </c>
      <c r="U20" s="662"/>
      <c r="V20" s="662"/>
      <c r="W20" s="606"/>
      <c r="X20" s="461"/>
    </row>
    <row r="21" spans="1:24" s="460" customFormat="1" ht="12.75" x14ac:dyDescent="0.2">
      <c r="A21" s="95">
        <v>13</v>
      </c>
      <c r="B21" s="658" t="s">
        <v>170</v>
      </c>
      <c r="C21" s="338">
        <f t="shared" si="2"/>
        <v>92762.557423999999</v>
      </c>
      <c r="D21" s="659">
        <v>8670.5574240000005</v>
      </c>
      <c r="E21" s="659">
        <v>76908</v>
      </c>
      <c r="F21" s="659">
        <f>4584+2600</f>
        <v>7184</v>
      </c>
      <c r="G21" s="662">
        <f>SUM(H21:Q21)+SUM(T21:V21)</f>
        <v>92225</v>
      </c>
      <c r="H21" s="662"/>
      <c r="I21" s="662"/>
      <c r="J21" s="662"/>
      <c r="K21" s="662"/>
      <c r="L21" s="662"/>
      <c r="M21" s="662"/>
      <c r="N21" s="662"/>
      <c r="O21" s="662"/>
      <c r="P21" s="662"/>
      <c r="Q21" s="662">
        <f>48306</f>
        <v>48306</v>
      </c>
      <c r="R21" s="662"/>
      <c r="S21" s="662">
        <v>35737</v>
      </c>
      <c r="T21" s="662">
        <v>43919</v>
      </c>
      <c r="U21" s="662"/>
      <c r="V21" s="662"/>
      <c r="W21" s="606"/>
      <c r="X21" s="461"/>
    </row>
    <row r="22" spans="1:24" s="460" customFormat="1" ht="15.75" customHeight="1" x14ac:dyDescent="0.2">
      <c r="A22" s="660">
        <v>14</v>
      </c>
      <c r="B22" s="658" t="s">
        <v>171</v>
      </c>
      <c r="C22" s="338">
        <f t="shared" si="2"/>
        <v>62688.677241999998</v>
      </c>
      <c r="D22" s="659">
        <v>11233.677242</v>
      </c>
      <c r="E22" s="659">
        <v>36955</v>
      </c>
      <c r="F22" s="659">
        <v>14500</v>
      </c>
      <c r="G22" s="662">
        <f t="shared" si="3"/>
        <v>40769</v>
      </c>
      <c r="H22" s="662"/>
      <c r="I22" s="662"/>
      <c r="J22" s="662"/>
      <c r="K22" s="662"/>
      <c r="L22" s="662"/>
      <c r="M22" s="662"/>
      <c r="N22" s="662"/>
      <c r="O22" s="662"/>
      <c r="P22" s="662">
        <v>4532</v>
      </c>
      <c r="Q22" s="662">
        <f>29169+960</f>
        <v>30129</v>
      </c>
      <c r="R22" s="662"/>
      <c r="S22" s="662"/>
      <c r="T22" s="662">
        <v>6108</v>
      </c>
      <c r="U22" s="662"/>
      <c r="V22" s="662"/>
      <c r="W22" s="606"/>
      <c r="X22" s="461"/>
    </row>
    <row r="23" spans="1:24" s="460" customFormat="1" ht="12.75" x14ac:dyDescent="0.2">
      <c r="A23" s="95">
        <v>15</v>
      </c>
      <c r="B23" s="658" t="s">
        <v>172</v>
      </c>
      <c r="C23" s="338">
        <f>D23+E23+F23</f>
        <v>203827.30189999999</v>
      </c>
      <c r="D23" s="659">
        <v>2340.3018999999999</v>
      </c>
      <c r="E23" s="659">
        <v>199695</v>
      </c>
      <c r="F23" s="659">
        <v>1792</v>
      </c>
      <c r="G23" s="662">
        <f t="shared" si="3"/>
        <v>215732</v>
      </c>
      <c r="H23" s="662">
        <v>3838</v>
      </c>
      <c r="I23" s="662"/>
      <c r="J23" s="662"/>
      <c r="K23" s="662"/>
      <c r="L23" s="662">
        <f>211545-7879</f>
        <v>203666</v>
      </c>
      <c r="M23" s="662"/>
      <c r="N23" s="662"/>
      <c r="O23" s="662"/>
      <c r="P23" s="662"/>
      <c r="Q23" s="662">
        <v>960</v>
      </c>
      <c r="R23" s="662"/>
      <c r="S23" s="662"/>
      <c r="T23" s="662">
        <v>7268</v>
      </c>
      <c r="U23" s="662"/>
      <c r="V23" s="662"/>
      <c r="W23" s="606"/>
      <c r="X23" s="461"/>
    </row>
    <row r="24" spans="1:24" s="460" customFormat="1" ht="12.75" x14ac:dyDescent="0.2">
      <c r="A24" s="660">
        <v>16</v>
      </c>
      <c r="B24" s="658" t="s">
        <v>173</v>
      </c>
      <c r="C24" s="338">
        <f t="shared" si="2"/>
        <v>194555.047295</v>
      </c>
      <c r="D24" s="659">
        <v>9563.0472950000003</v>
      </c>
      <c r="E24" s="659">
        <v>181443</v>
      </c>
      <c r="F24" s="659">
        <v>3549</v>
      </c>
      <c r="G24" s="662">
        <f t="shared" si="3"/>
        <v>199796</v>
      </c>
      <c r="H24" s="662">
        <v>193423</v>
      </c>
      <c r="I24" s="662"/>
      <c r="J24" s="662"/>
      <c r="K24" s="662"/>
      <c r="L24" s="662"/>
      <c r="M24" s="662"/>
      <c r="N24" s="662"/>
      <c r="O24" s="662"/>
      <c r="P24" s="662"/>
      <c r="Q24" s="662"/>
      <c r="R24" s="662"/>
      <c r="S24" s="662"/>
      <c r="T24" s="662">
        <v>6373</v>
      </c>
      <c r="U24" s="662"/>
      <c r="V24" s="662"/>
      <c r="W24" s="606"/>
      <c r="X24" s="461"/>
    </row>
    <row r="25" spans="1:24" s="460" customFormat="1" ht="12.75" x14ac:dyDescent="0.2">
      <c r="A25" s="95">
        <v>17</v>
      </c>
      <c r="B25" s="658" t="s">
        <v>174</v>
      </c>
      <c r="C25" s="338">
        <f t="shared" si="2"/>
        <v>12303.7839</v>
      </c>
      <c r="D25" s="659">
        <v>1319.3489</v>
      </c>
      <c r="E25" s="659">
        <v>8644</v>
      </c>
      <c r="F25" s="659">
        <v>2340.4349999999999</v>
      </c>
      <c r="G25" s="662">
        <f t="shared" si="3"/>
        <v>9610</v>
      </c>
      <c r="H25" s="662"/>
      <c r="I25" s="662">
        <v>494</v>
      </c>
      <c r="J25" s="662"/>
      <c r="K25" s="662"/>
      <c r="L25" s="662"/>
      <c r="M25" s="662">
        <v>2836</v>
      </c>
      <c r="N25" s="662"/>
      <c r="O25" s="662"/>
      <c r="P25" s="662"/>
      <c r="Q25" s="662">
        <v>1007</v>
      </c>
      <c r="R25" s="662"/>
      <c r="S25" s="662"/>
      <c r="T25" s="662">
        <v>5273</v>
      </c>
      <c r="U25" s="662"/>
      <c r="V25" s="662"/>
      <c r="W25" s="606"/>
      <c r="X25" s="461"/>
    </row>
    <row r="26" spans="1:24" s="460" customFormat="1" ht="12.75" x14ac:dyDescent="0.2">
      <c r="A26" s="660">
        <v>18</v>
      </c>
      <c r="B26" s="658" t="s">
        <v>175</v>
      </c>
      <c r="C26" s="338">
        <f t="shared" si="2"/>
        <v>5874</v>
      </c>
      <c r="D26" s="659"/>
      <c r="E26" s="659">
        <v>4426</v>
      </c>
      <c r="F26" s="659">
        <v>1448</v>
      </c>
      <c r="G26" s="662">
        <f t="shared" si="3"/>
        <v>4437</v>
      </c>
      <c r="H26" s="662"/>
      <c r="I26" s="662"/>
      <c r="J26" s="662"/>
      <c r="K26" s="662"/>
      <c r="L26" s="662"/>
      <c r="M26" s="662"/>
      <c r="N26" s="662"/>
      <c r="O26" s="662"/>
      <c r="P26" s="662"/>
      <c r="Q26" s="662"/>
      <c r="R26" s="662"/>
      <c r="S26" s="662"/>
      <c r="T26" s="662">
        <v>4437</v>
      </c>
      <c r="U26" s="662"/>
      <c r="V26" s="662"/>
      <c r="W26" s="606"/>
      <c r="X26" s="461"/>
    </row>
    <row r="27" spans="1:24" s="460" customFormat="1" ht="12.75" x14ac:dyDescent="0.2">
      <c r="A27" s="95">
        <v>19</v>
      </c>
      <c r="B27" s="658" t="s">
        <v>176</v>
      </c>
      <c r="C27" s="338">
        <f t="shared" si="2"/>
        <v>8230.1864029999997</v>
      </c>
      <c r="D27" s="659">
        <v>192.18640300000001</v>
      </c>
      <c r="E27" s="659">
        <v>8038</v>
      </c>
      <c r="F27" s="659"/>
      <c r="G27" s="662">
        <f t="shared" si="3"/>
        <v>8716</v>
      </c>
      <c r="H27" s="662"/>
      <c r="I27" s="662"/>
      <c r="J27" s="662"/>
      <c r="K27" s="662"/>
      <c r="L27" s="662"/>
      <c r="M27" s="662"/>
      <c r="N27" s="662"/>
      <c r="O27" s="662"/>
      <c r="P27" s="662"/>
      <c r="Q27" s="662">
        <v>160</v>
      </c>
      <c r="R27" s="662"/>
      <c r="S27" s="662"/>
      <c r="T27" s="662">
        <v>8556</v>
      </c>
      <c r="U27" s="662"/>
      <c r="V27" s="662"/>
      <c r="W27" s="606"/>
      <c r="X27" s="461"/>
    </row>
    <row r="28" spans="1:24" s="460" customFormat="1" ht="12.75" x14ac:dyDescent="0.2">
      <c r="A28" s="660">
        <v>20</v>
      </c>
      <c r="B28" s="658" t="s">
        <v>177</v>
      </c>
      <c r="C28" s="338">
        <f t="shared" si="2"/>
        <v>16578.400000000001</v>
      </c>
      <c r="D28" s="659"/>
      <c r="E28" s="659">
        <v>16556</v>
      </c>
      <c r="F28" s="659">
        <v>22.4</v>
      </c>
      <c r="G28" s="662">
        <f t="shared" si="3"/>
        <v>16563</v>
      </c>
      <c r="H28" s="662"/>
      <c r="I28" s="662"/>
      <c r="J28" s="662"/>
      <c r="K28" s="662"/>
      <c r="L28" s="662"/>
      <c r="M28" s="662"/>
      <c r="N28" s="662">
        <v>16563</v>
      </c>
      <c r="O28" s="662"/>
      <c r="P28" s="662"/>
      <c r="Q28" s="662"/>
      <c r="R28" s="662"/>
      <c r="S28" s="662"/>
      <c r="T28" s="662"/>
      <c r="U28" s="662"/>
      <c r="V28" s="662"/>
      <c r="W28" s="606"/>
      <c r="X28" s="461"/>
    </row>
    <row r="29" spans="1:24" s="460" customFormat="1" ht="12.75" x14ac:dyDescent="0.2">
      <c r="A29" s="95">
        <v>21</v>
      </c>
      <c r="B29" s="658" t="s">
        <v>178</v>
      </c>
      <c r="C29" s="338">
        <f t="shared" si="2"/>
        <v>14876.3</v>
      </c>
      <c r="D29" s="659">
        <f>1030-686.7</f>
        <v>343.29999999999995</v>
      </c>
      <c r="E29" s="659">
        <v>13462</v>
      </c>
      <c r="F29" s="659">
        <v>1071</v>
      </c>
      <c r="G29" s="662">
        <f t="shared" si="3"/>
        <v>14509</v>
      </c>
      <c r="H29" s="662"/>
      <c r="I29" s="662"/>
      <c r="J29" s="662"/>
      <c r="K29" s="662"/>
      <c r="L29" s="662"/>
      <c r="M29" s="662"/>
      <c r="N29" s="662"/>
      <c r="O29" s="662"/>
      <c r="P29" s="662">
        <v>12135</v>
      </c>
      <c r="Q29" s="662">
        <v>2374</v>
      </c>
      <c r="R29" s="662"/>
      <c r="S29" s="662"/>
      <c r="T29" s="662"/>
      <c r="U29" s="662"/>
      <c r="V29" s="662"/>
      <c r="W29" s="606"/>
      <c r="X29" s="461"/>
    </row>
    <row r="30" spans="1:24" s="460" customFormat="1" ht="12.75" x14ac:dyDescent="0.2">
      <c r="A30" s="660">
        <v>22</v>
      </c>
      <c r="B30" s="658" t="s">
        <v>179</v>
      </c>
      <c r="C30" s="338">
        <f t="shared" si="2"/>
        <v>13144.116910000001</v>
      </c>
      <c r="D30" s="659">
        <v>531.11690999999996</v>
      </c>
      <c r="E30" s="659">
        <v>12447</v>
      </c>
      <c r="F30" s="659">
        <v>166</v>
      </c>
      <c r="G30" s="662">
        <f t="shared" si="3"/>
        <v>13579</v>
      </c>
      <c r="H30" s="662">
        <v>13579</v>
      </c>
      <c r="I30" s="662"/>
      <c r="J30" s="662"/>
      <c r="K30" s="662"/>
      <c r="L30" s="662"/>
      <c r="M30" s="662"/>
      <c r="N30" s="662"/>
      <c r="O30" s="662"/>
      <c r="P30" s="662"/>
      <c r="Q30" s="662"/>
      <c r="R30" s="662"/>
      <c r="S30" s="662"/>
      <c r="T30" s="662"/>
      <c r="U30" s="662"/>
      <c r="V30" s="662"/>
      <c r="W30" s="606"/>
      <c r="X30" s="461"/>
    </row>
    <row r="31" spans="1:24" s="460" customFormat="1" ht="12.75" x14ac:dyDescent="0.2">
      <c r="A31" s="95">
        <v>23</v>
      </c>
      <c r="B31" s="658" t="s">
        <v>180</v>
      </c>
      <c r="C31" s="338">
        <f t="shared" si="2"/>
        <v>4055.9416000000001</v>
      </c>
      <c r="D31" s="659">
        <v>67.941599999999994</v>
      </c>
      <c r="E31" s="659">
        <v>3941</v>
      </c>
      <c r="F31" s="659">
        <v>47</v>
      </c>
      <c r="G31" s="662">
        <f t="shared" si="3"/>
        <v>9930</v>
      </c>
      <c r="H31" s="662"/>
      <c r="I31" s="662"/>
      <c r="J31" s="662"/>
      <c r="K31" s="662"/>
      <c r="L31" s="662"/>
      <c r="M31" s="662"/>
      <c r="N31" s="662"/>
      <c r="O31" s="662"/>
      <c r="P31" s="662"/>
      <c r="Q31" s="662"/>
      <c r="R31" s="662"/>
      <c r="S31" s="662"/>
      <c r="T31" s="662">
        <v>9930</v>
      </c>
      <c r="U31" s="662"/>
      <c r="V31" s="662"/>
      <c r="W31" s="606"/>
      <c r="X31" s="461"/>
    </row>
    <row r="32" spans="1:24" s="460" customFormat="1" ht="12.75" x14ac:dyDescent="0.2">
      <c r="A32" s="660">
        <v>24</v>
      </c>
      <c r="B32" s="658" t="s">
        <v>181</v>
      </c>
      <c r="C32" s="338">
        <f t="shared" si="2"/>
        <v>2602</v>
      </c>
      <c r="D32" s="659"/>
      <c r="E32" s="659">
        <v>2602</v>
      </c>
      <c r="F32" s="659"/>
      <c r="G32" s="662">
        <f t="shared" si="3"/>
        <v>2728</v>
      </c>
      <c r="H32" s="662"/>
      <c r="I32" s="662"/>
      <c r="J32" s="662"/>
      <c r="K32" s="662"/>
      <c r="L32" s="662"/>
      <c r="M32" s="662"/>
      <c r="N32" s="662"/>
      <c r="O32" s="662"/>
      <c r="P32" s="662"/>
      <c r="Q32" s="662">
        <v>1087</v>
      </c>
      <c r="R32" s="662"/>
      <c r="S32" s="662"/>
      <c r="T32" s="662">
        <v>1641</v>
      </c>
      <c r="U32" s="662"/>
      <c r="V32" s="662"/>
      <c r="W32" s="606"/>
      <c r="X32" s="461"/>
    </row>
    <row r="33" spans="1:24" s="460" customFormat="1" ht="12.75" x14ac:dyDescent="0.2">
      <c r="A33" s="95">
        <v>25</v>
      </c>
      <c r="B33" s="96" t="s">
        <v>182</v>
      </c>
      <c r="C33" s="338">
        <f t="shared" si="2"/>
        <v>1393</v>
      </c>
      <c r="D33" s="663"/>
      <c r="E33" s="663">
        <v>1393</v>
      </c>
      <c r="F33" s="663"/>
      <c r="G33" s="662">
        <f t="shared" si="3"/>
        <v>1358</v>
      </c>
      <c r="H33" s="662"/>
      <c r="I33" s="662"/>
      <c r="J33" s="662"/>
      <c r="K33" s="662">
        <v>1358</v>
      </c>
      <c r="L33" s="662"/>
      <c r="M33" s="662"/>
      <c r="N33" s="662"/>
      <c r="O33" s="662"/>
      <c r="P33" s="662"/>
      <c r="Q33" s="662"/>
      <c r="R33" s="662"/>
      <c r="S33" s="662"/>
      <c r="T33" s="662"/>
      <c r="U33" s="662"/>
      <c r="V33" s="662"/>
      <c r="W33" s="606"/>
      <c r="X33" s="461"/>
    </row>
    <row r="34" spans="1:24" s="460" customFormat="1" ht="12.75" x14ac:dyDescent="0.2">
      <c r="A34" s="660">
        <v>26</v>
      </c>
      <c r="B34" s="96" t="s">
        <v>1042</v>
      </c>
      <c r="C34" s="338">
        <f t="shared" si="2"/>
        <v>9944.1724589999994</v>
      </c>
      <c r="D34" s="663">
        <v>2067.1724589999999</v>
      </c>
      <c r="E34" s="663">
        <v>7877</v>
      </c>
      <c r="F34" s="663"/>
      <c r="G34" s="662">
        <f t="shared" si="3"/>
        <v>21423</v>
      </c>
      <c r="H34" s="662">
        <v>21423</v>
      </c>
      <c r="I34" s="662"/>
      <c r="J34" s="662"/>
      <c r="K34" s="662"/>
      <c r="L34" s="662"/>
      <c r="M34" s="662"/>
      <c r="N34" s="662"/>
      <c r="O34" s="662"/>
      <c r="P34" s="662"/>
      <c r="Q34" s="662"/>
      <c r="R34" s="662"/>
      <c r="S34" s="662"/>
      <c r="T34" s="662"/>
      <c r="U34" s="662"/>
      <c r="V34" s="662"/>
      <c r="W34" s="606"/>
      <c r="X34" s="461"/>
    </row>
    <row r="35" spans="1:24" s="460" customFormat="1" ht="25.5" x14ac:dyDescent="0.2">
      <c r="A35" s="95">
        <v>27</v>
      </c>
      <c r="B35" s="96" t="s">
        <v>417</v>
      </c>
      <c r="C35" s="338">
        <f t="shared" si="2"/>
        <v>3436</v>
      </c>
      <c r="D35" s="663"/>
      <c r="E35" s="663"/>
      <c r="F35" s="663">
        <v>3436</v>
      </c>
      <c r="G35" s="662">
        <f>SUM(H35:Q35)+SUM(T35:V35)</f>
        <v>4402</v>
      </c>
      <c r="H35" s="662"/>
      <c r="I35" s="662"/>
      <c r="J35" s="662"/>
      <c r="K35" s="662"/>
      <c r="L35" s="662"/>
      <c r="M35" s="662"/>
      <c r="N35" s="662"/>
      <c r="O35" s="662"/>
      <c r="P35" s="662"/>
      <c r="Q35" s="662"/>
      <c r="R35" s="662"/>
      <c r="S35" s="662"/>
      <c r="T35" s="662">
        <v>4402</v>
      </c>
      <c r="U35" s="662"/>
      <c r="V35" s="662"/>
      <c r="W35" s="606"/>
      <c r="X35" s="461"/>
    </row>
    <row r="36" spans="1:24" s="460" customFormat="1" ht="18.75" customHeight="1" x14ac:dyDescent="0.2">
      <c r="A36" s="660">
        <v>28</v>
      </c>
      <c r="B36" s="96" t="s">
        <v>418</v>
      </c>
      <c r="C36" s="338">
        <f t="shared" si="2"/>
        <v>2758.1455980000001</v>
      </c>
      <c r="D36" s="663">
        <v>2758.1455980000001</v>
      </c>
      <c r="E36" s="663"/>
      <c r="F36" s="663"/>
      <c r="G36" s="662">
        <f t="shared" si="3"/>
        <v>34288</v>
      </c>
      <c r="H36" s="662"/>
      <c r="I36" s="662"/>
      <c r="J36" s="662"/>
      <c r="K36" s="662"/>
      <c r="L36" s="662">
        <v>10500</v>
      </c>
      <c r="M36" s="662">
        <v>621</v>
      </c>
      <c r="N36" s="662"/>
      <c r="O36" s="662"/>
      <c r="P36" s="662"/>
      <c r="Q36" s="662">
        <f>400+4767</f>
        <v>5167</v>
      </c>
      <c r="R36" s="662"/>
      <c r="S36" s="662"/>
      <c r="T36" s="662"/>
      <c r="U36" s="662">
        <v>18000</v>
      </c>
      <c r="V36" s="662"/>
      <c r="W36" s="606"/>
      <c r="X36" s="461"/>
    </row>
    <row r="37" spans="1:24" s="460" customFormat="1" ht="12.75" x14ac:dyDescent="0.2">
      <c r="A37" s="655" t="s">
        <v>3</v>
      </c>
      <c r="B37" s="664" t="s">
        <v>184</v>
      </c>
      <c r="C37" s="665">
        <f>SUM(C38:C39)</f>
        <v>69397.358945</v>
      </c>
      <c r="D37" s="665">
        <f t="shared" ref="D37:F37" si="4">SUM(D38:D39)</f>
        <v>3459.604945</v>
      </c>
      <c r="E37" s="665">
        <f t="shared" si="4"/>
        <v>60754</v>
      </c>
      <c r="F37" s="665">
        <f t="shared" si="4"/>
        <v>5183.7539999999999</v>
      </c>
      <c r="G37" s="662">
        <f>SUM(G38:G39)</f>
        <v>68014</v>
      </c>
      <c r="H37" s="662">
        <f t="shared" ref="H37:V37" si="5">SUM(H38:H39)</f>
        <v>0</v>
      </c>
      <c r="I37" s="662">
        <f t="shared" si="5"/>
        <v>0</v>
      </c>
      <c r="J37" s="662">
        <f t="shared" si="5"/>
        <v>0</v>
      </c>
      <c r="K37" s="662">
        <f t="shared" si="5"/>
        <v>0</v>
      </c>
      <c r="L37" s="662">
        <f t="shared" si="5"/>
        <v>0</v>
      </c>
      <c r="M37" s="662">
        <f t="shared" si="5"/>
        <v>0</v>
      </c>
      <c r="N37" s="662">
        <f t="shared" si="5"/>
        <v>0</v>
      </c>
      <c r="O37" s="662">
        <f t="shared" si="5"/>
        <v>0</v>
      </c>
      <c r="P37" s="662">
        <f t="shared" si="5"/>
        <v>0</v>
      </c>
      <c r="Q37" s="662">
        <f t="shared" si="5"/>
        <v>1200</v>
      </c>
      <c r="R37" s="662">
        <f t="shared" si="5"/>
        <v>0</v>
      </c>
      <c r="S37" s="662">
        <f t="shared" si="5"/>
        <v>0</v>
      </c>
      <c r="T37" s="662">
        <f t="shared" si="5"/>
        <v>66814</v>
      </c>
      <c r="U37" s="662">
        <f t="shared" si="5"/>
        <v>0</v>
      </c>
      <c r="V37" s="662">
        <f t="shared" si="5"/>
        <v>0</v>
      </c>
      <c r="W37" s="606"/>
      <c r="X37" s="461"/>
    </row>
    <row r="38" spans="1:24" s="460" customFormat="1" ht="12.75" x14ac:dyDescent="0.2">
      <c r="A38" s="95">
        <v>1</v>
      </c>
      <c r="B38" s="658" t="s">
        <v>185</v>
      </c>
      <c r="C38" s="338">
        <f t="shared" si="2"/>
        <v>58101.112000000001</v>
      </c>
      <c r="D38" s="659">
        <v>87.111999999999995</v>
      </c>
      <c r="E38" s="659">
        <v>55001</v>
      </c>
      <c r="F38" s="659">
        <v>3013</v>
      </c>
      <c r="G38" s="662">
        <f t="shared" si="3"/>
        <v>60122</v>
      </c>
      <c r="H38" s="662"/>
      <c r="I38" s="662"/>
      <c r="J38" s="662"/>
      <c r="K38" s="662"/>
      <c r="L38" s="662"/>
      <c r="M38" s="662"/>
      <c r="N38" s="662"/>
      <c r="O38" s="662"/>
      <c r="P38" s="662"/>
      <c r="Q38" s="662"/>
      <c r="R38" s="662"/>
      <c r="S38" s="662"/>
      <c r="T38" s="662">
        <v>60122</v>
      </c>
      <c r="U38" s="662"/>
      <c r="V38" s="662"/>
      <c r="W38" s="606"/>
      <c r="X38" s="461"/>
    </row>
    <row r="39" spans="1:24" s="460" customFormat="1" ht="12.75" x14ac:dyDescent="0.2">
      <c r="A39" s="95">
        <v>2</v>
      </c>
      <c r="B39" s="658" t="s">
        <v>186</v>
      </c>
      <c r="C39" s="338">
        <f t="shared" si="2"/>
        <v>11296.246944999999</v>
      </c>
      <c r="D39" s="659">
        <v>3372.492945</v>
      </c>
      <c r="E39" s="659">
        <v>5753</v>
      </c>
      <c r="F39" s="659">
        <v>2170.7539999999999</v>
      </c>
      <c r="G39" s="662">
        <f t="shared" si="3"/>
        <v>7892</v>
      </c>
      <c r="H39" s="662"/>
      <c r="I39" s="662"/>
      <c r="J39" s="662"/>
      <c r="K39" s="662"/>
      <c r="L39" s="662"/>
      <c r="M39" s="662"/>
      <c r="N39" s="662"/>
      <c r="O39" s="662"/>
      <c r="P39" s="662"/>
      <c r="Q39" s="662">
        <v>1200</v>
      </c>
      <c r="R39" s="662"/>
      <c r="S39" s="662"/>
      <c r="T39" s="662">
        <f>7892-1200</f>
        <v>6692</v>
      </c>
      <c r="U39" s="662"/>
      <c r="V39" s="662"/>
      <c r="W39" s="606"/>
      <c r="X39" s="461"/>
    </row>
    <row r="40" spans="1:24" s="460" customFormat="1" ht="12.75" x14ac:dyDescent="0.2">
      <c r="A40" s="655" t="s">
        <v>4</v>
      </c>
      <c r="B40" s="666" t="s">
        <v>187</v>
      </c>
      <c r="C40" s="667">
        <f>SUM(C41:C45)</f>
        <v>18462.017889999999</v>
      </c>
      <c r="D40" s="667">
        <f t="shared" ref="D40:F40" si="6">SUM(D41:D45)</f>
        <v>204.01788999999999</v>
      </c>
      <c r="E40" s="667">
        <f t="shared" si="6"/>
        <v>18022</v>
      </c>
      <c r="F40" s="667">
        <f t="shared" si="6"/>
        <v>236</v>
      </c>
      <c r="G40" s="662">
        <f>SUM(G41:G45)</f>
        <v>19036</v>
      </c>
      <c r="H40" s="662">
        <f t="shared" ref="H40:V40" si="7">SUM(H41:H45)</f>
        <v>0</v>
      </c>
      <c r="I40" s="662">
        <f t="shared" si="7"/>
        <v>0</v>
      </c>
      <c r="J40" s="662">
        <f t="shared" si="7"/>
        <v>0</v>
      </c>
      <c r="K40" s="662">
        <f t="shared" si="7"/>
        <v>0</v>
      </c>
      <c r="L40" s="662">
        <f t="shared" si="7"/>
        <v>0</v>
      </c>
      <c r="M40" s="662">
        <f t="shared" si="7"/>
        <v>0</v>
      </c>
      <c r="N40" s="662">
        <f t="shared" si="7"/>
        <v>0</v>
      </c>
      <c r="O40" s="662">
        <f t="shared" si="7"/>
        <v>0</v>
      </c>
      <c r="P40" s="662">
        <f t="shared" si="7"/>
        <v>0</v>
      </c>
      <c r="Q40" s="662">
        <f t="shared" si="7"/>
        <v>740</v>
      </c>
      <c r="R40" s="662">
        <f t="shared" si="7"/>
        <v>0</v>
      </c>
      <c r="S40" s="662">
        <f t="shared" si="7"/>
        <v>0</v>
      </c>
      <c r="T40" s="662">
        <f t="shared" si="7"/>
        <v>18296</v>
      </c>
      <c r="U40" s="662">
        <f t="shared" si="7"/>
        <v>0</v>
      </c>
      <c r="V40" s="662">
        <f t="shared" si="7"/>
        <v>0</v>
      </c>
      <c r="W40" s="606"/>
      <c r="X40" s="461"/>
    </row>
    <row r="41" spans="1:24" s="460" customFormat="1" ht="12.75" x14ac:dyDescent="0.2">
      <c r="A41" s="95">
        <v>1</v>
      </c>
      <c r="B41" s="658" t="s">
        <v>188</v>
      </c>
      <c r="C41" s="338">
        <f t="shared" si="2"/>
        <v>4384</v>
      </c>
      <c r="D41" s="659">
        <v>200</v>
      </c>
      <c r="E41" s="659">
        <v>4184</v>
      </c>
      <c r="F41" s="659"/>
      <c r="G41" s="662">
        <f t="shared" si="3"/>
        <v>3501</v>
      </c>
      <c r="H41" s="662"/>
      <c r="I41" s="662"/>
      <c r="J41" s="662"/>
      <c r="K41" s="662"/>
      <c r="L41" s="662"/>
      <c r="M41" s="662"/>
      <c r="N41" s="662"/>
      <c r="O41" s="662"/>
      <c r="P41" s="662"/>
      <c r="Q41" s="662"/>
      <c r="R41" s="662"/>
      <c r="S41" s="662"/>
      <c r="T41" s="662">
        <f>3501</f>
        <v>3501</v>
      </c>
      <c r="U41" s="662"/>
      <c r="V41" s="662"/>
      <c r="W41" s="606"/>
      <c r="X41" s="461"/>
    </row>
    <row r="42" spans="1:24" s="460" customFormat="1" ht="12.75" x14ac:dyDescent="0.2">
      <c r="A42" s="95">
        <v>2</v>
      </c>
      <c r="B42" s="658" t="s">
        <v>189</v>
      </c>
      <c r="C42" s="338">
        <f t="shared" si="2"/>
        <v>3453</v>
      </c>
      <c r="D42" s="659"/>
      <c r="E42" s="659">
        <v>3453</v>
      </c>
      <c r="F42" s="659"/>
      <c r="G42" s="662">
        <f t="shared" si="3"/>
        <v>3955</v>
      </c>
      <c r="H42" s="662"/>
      <c r="I42" s="662"/>
      <c r="J42" s="662"/>
      <c r="K42" s="662"/>
      <c r="L42" s="662"/>
      <c r="M42" s="662"/>
      <c r="N42" s="662"/>
      <c r="O42" s="662"/>
      <c r="P42" s="662"/>
      <c r="Q42" s="662"/>
      <c r="R42" s="662"/>
      <c r="S42" s="662"/>
      <c r="T42" s="662">
        <v>3955</v>
      </c>
      <c r="U42" s="662"/>
      <c r="V42" s="662"/>
      <c r="W42" s="606"/>
      <c r="X42" s="461"/>
    </row>
    <row r="43" spans="1:24" s="460" customFormat="1" ht="12.75" x14ac:dyDescent="0.2">
      <c r="A43" s="95">
        <v>2</v>
      </c>
      <c r="B43" s="658" t="s">
        <v>190</v>
      </c>
      <c r="C43" s="338">
        <f t="shared" si="2"/>
        <v>4027.0178900000001</v>
      </c>
      <c r="D43" s="659">
        <v>4.0178900000000004</v>
      </c>
      <c r="E43" s="659">
        <v>3787</v>
      </c>
      <c r="F43" s="659">
        <v>236</v>
      </c>
      <c r="G43" s="662">
        <f t="shared" si="3"/>
        <v>4634</v>
      </c>
      <c r="H43" s="662"/>
      <c r="I43" s="662"/>
      <c r="J43" s="662"/>
      <c r="K43" s="662"/>
      <c r="L43" s="662"/>
      <c r="M43" s="662"/>
      <c r="N43" s="662"/>
      <c r="O43" s="662"/>
      <c r="P43" s="662"/>
      <c r="Q43" s="662"/>
      <c r="R43" s="662"/>
      <c r="S43" s="662"/>
      <c r="T43" s="662">
        <f>4634</f>
        <v>4634</v>
      </c>
      <c r="U43" s="662"/>
      <c r="V43" s="662"/>
      <c r="W43" s="606"/>
      <c r="X43" s="461"/>
    </row>
    <row r="44" spans="1:24" s="460" customFormat="1" ht="12.75" x14ac:dyDescent="0.2">
      <c r="A44" s="95">
        <v>4</v>
      </c>
      <c r="B44" s="658" t="s">
        <v>191</v>
      </c>
      <c r="C44" s="338">
        <f t="shared" si="2"/>
        <v>4384</v>
      </c>
      <c r="D44" s="659"/>
      <c r="E44" s="659">
        <v>4384</v>
      </c>
      <c r="F44" s="659"/>
      <c r="G44" s="662">
        <f t="shared" si="3"/>
        <v>4773</v>
      </c>
      <c r="H44" s="662"/>
      <c r="I44" s="662"/>
      <c r="J44" s="662"/>
      <c r="K44" s="662"/>
      <c r="L44" s="662"/>
      <c r="M44" s="662"/>
      <c r="N44" s="662"/>
      <c r="O44" s="662"/>
      <c r="P44" s="662"/>
      <c r="Q44" s="662">
        <v>500</v>
      </c>
      <c r="R44" s="662"/>
      <c r="S44" s="662"/>
      <c r="T44" s="662">
        <v>4273</v>
      </c>
      <c r="U44" s="662"/>
      <c r="V44" s="662"/>
      <c r="W44" s="606"/>
      <c r="X44" s="461"/>
    </row>
    <row r="45" spans="1:24" s="460" customFormat="1" ht="12.75" x14ac:dyDescent="0.2">
      <c r="A45" s="95">
        <v>5</v>
      </c>
      <c r="B45" s="658" t="s">
        <v>192</v>
      </c>
      <c r="C45" s="338">
        <f t="shared" si="2"/>
        <v>2214</v>
      </c>
      <c r="D45" s="659"/>
      <c r="E45" s="659">
        <v>2214</v>
      </c>
      <c r="F45" s="659"/>
      <c r="G45" s="662">
        <f t="shared" si="3"/>
        <v>2173</v>
      </c>
      <c r="H45" s="662"/>
      <c r="I45" s="662"/>
      <c r="J45" s="662"/>
      <c r="K45" s="662"/>
      <c r="L45" s="662"/>
      <c r="M45" s="662"/>
      <c r="N45" s="662"/>
      <c r="O45" s="662"/>
      <c r="P45" s="662"/>
      <c r="Q45" s="662">
        <v>240</v>
      </c>
      <c r="R45" s="662"/>
      <c r="S45" s="662"/>
      <c r="T45" s="662">
        <v>1933</v>
      </c>
      <c r="U45" s="662"/>
      <c r="V45" s="662"/>
      <c r="W45" s="606"/>
      <c r="X45" s="461"/>
    </row>
    <row r="46" spans="1:24" s="467" customFormat="1" ht="25.5" x14ac:dyDescent="0.2">
      <c r="A46" s="655" t="s">
        <v>193</v>
      </c>
      <c r="B46" s="474" t="s">
        <v>194</v>
      </c>
      <c r="C46" s="667">
        <f>SUM(C47:C58)</f>
        <v>10909.4</v>
      </c>
      <c r="D46" s="667">
        <f t="shared" ref="D46:F46" si="8">SUM(D47:D58)</f>
        <v>490</v>
      </c>
      <c r="E46" s="667">
        <f t="shared" si="8"/>
        <v>9028</v>
      </c>
      <c r="F46" s="667">
        <f t="shared" si="8"/>
        <v>1391.4</v>
      </c>
      <c r="G46" s="1170">
        <f>SUM(G47:G60)</f>
        <v>11729</v>
      </c>
      <c r="H46" s="662">
        <f t="shared" ref="H46:V46" si="9">SUM(H47:H60)</f>
        <v>0</v>
      </c>
      <c r="I46" s="662">
        <f t="shared" si="9"/>
        <v>351</v>
      </c>
      <c r="J46" s="662">
        <f t="shared" si="9"/>
        <v>0</v>
      </c>
      <c r="K46" s="662">
        <f t="shared" si="9"/>
        <v>0</v>
      </c>
      <c r="L46" s="662">
        <f t="shared" si="9"/>
        <v>0</v>
      </c>
      <c r="M46" s="662">
        <f t="shared" si="9"/>
        <v>0</v>
      </c>
      <c r="N46" s="662">
        <f t="shared" si="9"/>
        <v>0</v>
      </c>
      <c r="O46" s="662">
        <f t="shared" si="9"/>
        <v>0</v>
      </c>
      <c r="P46" s="662">
        <f t="shared" si="9"/>
        <v>0</v>
      </c>
      <c r="Q46" s="662">
        <f t="shared" si="9"/>
        <v>1000</v>
      </c>
      <c r="R46" s="662">
        <f t="shared" si="9"/>
        <v>0</v>
      </c>
      <c r="S46" s="662">
        <f t="shared" si="9"/>
        <v>0</v>
      </c>
      <c r="T46" s="662">
        <f t="shared" si="9"/>
        <v>10378</v>
      </c>
      <c r="U46" s="662">
        <f t="shared" si="9"/>
        <v>0</v>
      </c>
      <c r="V46" s="662">
        <f t="shared" si="9"/>
        <v>0</v>
      </c>
      <c r="W46" s="668"/>
      <c r="X46" s="669"/>
    </row>
    <row r="47" spans="1:24" s="460" customFormat="1" ht="12.75" x14ac:dyDescent="0.2">
      <c r="A47" s="670">
        <v>1</v>
      </c>
      <c r="B47" s="337" t="s">
        <v>195</v>
      </c>
      <c r="C47" s="338">
        <f t="shared" si="2"/>
        <v>1155.5</v>
      </c>
      <c r="D47" s="671"/>
      <c r="E47" s="671">
        <v>1121</v>
      </c>
      <c r="F47" s="671">
        <v>34.5</v>
      </c>
      <c r="G47" s="662">
        <f t="shared" si="3"/>
        <v>1122</v>
      </c>
      <c r="H47" s="662"/>
      <c r="I47" s="662"/>
      <c r="J47" s="662"/>
      <c r="K47" s="662"/>
      <c r="L47" s="662"/>
      <c r="M47" s="662"/>
      <c r="N47" s="662"/>
      <c r="O47" s="662"/>
      <c r="P47" s="662"/>
      <c r="Q47" s="662"/>
      <c r="R47" s="662"/>
      <c r="S47" s="662"/>
      <c r="T47" s="662">
        <v>1122</v>
      </c>
      <c r="U47" s="662"/>
      <c r="V47" s="662"/>
      <c r="W47" s="606"/>
      <c r="X47" s="461"/>
    </row>
    <row r="48" spans="1:24" s="460" customFormat="1" ht="12.75" x14ac:dyDescent="0.2">
      <c r="A48" s="95">
        <v>2</v>
      </c>
      <c r="B48" s="658" t="s">
        <v>196</v>
      </c>
      <c r="C48" s="338">
        <f t="shared" si="2"/>
        <v>608</v>
      </c>
      <c r="D48" s="659"/>
      <c r="E48" s="659">
        <v>608</v>
      </c>
      <c r="F48" s="659"/>
      <c r="G48" s="662">
        <f t="shared" si="3"/>
        <v>646</v>
      </c>
      <c r="H48" s="662"/>
      <c r="I48" s="662"/>
      <c r="J48" s="662"/>
      <c r="K48" s="662"/>
      <c r="L48" s="662"/>
      <c r="M48" s="662"/>
      <c r="N48" s="662"/>
      <c r="O48" s="662"/>
      <c r="P48" s="662"/>
      <c r="Q48" s="662"/>
      <c r="R48" s="662"/>
      <c r="S48" s="662"/>
      <c r="T48" s="662">
        <v>646</v>
      </c>
      <c r="U48" s="662"/>
      <c r="V48" s="662"/>
      <c r="W48" s="606"/>
      <c r="X48" s="461"/>
    </row>
    <row r="49" spans="1:24" s="460" customFormat="1" ht="12.75" x14ac:dyDescent="0.2">
      <c r="A49" s="670">
        <v>3</v>
      </c>
      <c r="B49" s="658" t="s">
        <v>197</v>
      </c>
      <c r="C49" s="338">
        <f t="shared" si="2"/>
        <v>3598</v>
      </c>
      <c r="D49" s="659">
        <v>490</v>
      </c>
      <c r="E49" s="659">
        <v>2318</v>
      </c>
      <c r="F49" s="659">
        <v>790</v>
      </c>
      <c r="G49" s="662">
        <f t="shared" si="3"/>
        <v>4215</v>
      </c>
      <c r="H49" s="662"/>
      <c r="I49" s="662"/>
      <c r="J49" s="662"/>
      <c r="K49" s="662"/>
      <c r="L49" s="662"/>
      <c r="M49" s="662"/>
      <c r="N49" s="662"/>
      <c r="O49" s="662"/>
      <c r="P49" s="662"/>
      <c r="Q49" s="662">
        <v>1000</v>
      </c>
      <c r="R49" s="662"/>
      <c r="S49" s="662"/>
      <c r="T49" s="662">
        <v>3215</v>
      </c>
      <c r="U49" s="662"/>
      <c r="V49" s="662"/>
      <c r="W49" s="606"/>
      <c r="X49" s="461"/>
    </row>
    <row r="50" spans="1:24" s="460" customFormat="1" ht="12.75" x14ac:dyDescent="0.2">
      <c r="A50" s="95">
        <v>4</v>
      </c>
      <c r="B50" s="658" t="s">
        <v>198</v>
      </c>
      <c r="C50" s="338">
        <f t="shared" si="2"/>
        <v>1881</v>
      </c>
      <c r="D50" s="659"/>
      <c r="E50" s="659">
        <v>1411</v>
      </c>
      <c r="F50" s="659">
        <v>470</v>
      </c>
      <c r="G50" s="662">
        <f t="shared" si="3"/>
        <v>1853</v>
      </c>
      <c r="H50" s="662"/>
      <c r="I50" s="662"/>
      <c r="J50" s="662"/>
      <c r="K50" s="662"/>
      <c r="L50" s="662"/>
      <c r="M50" s="662"/>
      <c r="N50" s="662"/>
      <c r="O50" s="662"/>
      <c r="P50" s="662"/>
      <c r="Q50" s="662"/>
      <c r="R50" s="662"/>
      <c r="S50" s="662"/>
      <c r="T50" s="662">
        <v>1853</v>
      </c>
      <c r="U50" s="662"/>
      <c r="V50" s="662"/>
      <c r="W50" s="606"/>
      <c r="X50" s="461"/>
    </row>
    <row r="51" spans="1:24" s="460" customFormat="1" ht="12.75" x14ac:dyDescent="0.2">
      <c r="A51" s="670">
        <v>5</v>
      </c>
      <c r="B51" s="658" t="s">
        <v>199</v>
      </c>
      <c r="C51" s="338">
        <f t="shared" si="2"/>
        <v>738</v>
      </c>
      <c r="D51" s="659"/>
      <c r="E51" s="659">
        <v>648</v>
      </c>
      <c r="F51" s="659">
        <v>90</v>
      </c>
      <c r="G51" s="662">
        <f t="shared" si="3"/>
        <v>873</v>
      </c>
      <c r="H51" s="662"/>
      <c r="I51" s="662"/>
      <c r="J51" s="662"/>
      <c r="K51" s="662"/>
      <c r="L51" s="662"/>
      <c r="M51" s="662"/>
      <c r="N51" s="662"/>
      <c r="O51" s="662"/>
      <c r="P51" s="662"/>
      <c r="Q51" s="662"/>
      <c r="R51" s="662"/>
      <c r="S51" s="662"/>
      <c r="T51" s="662">
        <v>873</v>
      </c>
      <c r="U51" s="662"/>
      <c r="V51" s="662"/>
      <c r="W51" s="606"/>
      <c r="X51" s="461"/>
    </row>
    <row r="52" spans="1:24" s="460" customFormat="1" ht="12.75" x14ac:dyDescent="0.2">
      <c r="A52" s="95">
        <v>6</v>
      </c>
      <c r="B52" s="658" t="s">
        <v>200</v>
      </c>
      <c r="C52" s="338">
        <f t="shared" si="2"/>
        <v>487</v>
      </c>
      <c r="D52" s="659"/>
      <c r="E52" s="659">
        <v>487</v>
      </c>
      <c r="F52" s="659"/>
      <c r="G52" s="662">
        <f t="shared" si="3"/>
        <v>378</v>
      </c>
      <c r="H52" s="662"/>
      <c r="I52" s="662"/>
      <c r="J52" s="662"/>
      <c r="K52" s="662"/>
      <c r="L52" s="662"/>
      <c r="M52" s="662"/>
      <c r="N52" s="662"/>
      <c r="O52" s="662"/>
      <c r="P52" s="662"/>
      <c r="Q52" s="662"/>
      <c r="R52" s="662"/>
      <c r="S52" s="662"/>
      <c r="T52" s="662">
        <v>378</v>
      </c>
      <c r="U52" s="662"/>
      <c r="V52" s="662"/>
      <c r="W52" s="606"/>
      <c r="X52" s="461"/>
    </row>
    <row r="53" spans="1:24" s="460" customFormat="1" ht="12.75" x14ac:dyDescent="0.2">
      <c r="A53" s="670">
        <v>7</v>
      </c>
      <c r="B53" s="658" t="s">
        <v>201</v>
      </c>
      <c r="C53" s="338">
        <f t="shared" si="2"/>
        <v>496</v>
      </c>
      <c r="D53" s="659"/>
      <c r="E53" s="659">
        <v>496</v>
      </c>
      <c r="F53" s="659"/>
      <c r="G53" s="662">
        <f t="shared" si="3"/>
        <v>431</v>
      </c>
      <c r="H53" s="662"/>
      <c r="I53" s="662"/>
      <c r="J53" s="662"/>
      <c r="K53" s="662"/>
      <c r="L53" s="662"/>
      <c r="M53" s="662"/>
      <c r="N53" s="662"/>
      <c r="O53" s="662"/>
      <c r="P53" s="662"/>
      <c r="Q53" s="662"/>
      <c r="R53" s="662"/>
      <c r="S53" s="662"/>
      <c r="T53" s="662">
        <v>431</v>
      </c>
      <c r="U53" s="662"/>
      <c r="V53" s="662"/>
      <c r="W53" s="606"/>
      <c r="X53" s="461"/>
    </row>
    <row r="54" spans="1:24" s="460" customFormat="1" ht="12.75" x14ac:dyDescent="0.2">
      <c r="A54" s="95">
        <v>8</v>
      </c>
      <c r="B54" s="658" t="s">
        <v>202</v>
      </c>
      <c r="C54" s="338">
        <f t="shared" si="2"/>
        <v>401</v>
      </c>
      <c r="D54" s="659"/>
      <c r="E54" s="659">
        <v>401</v>
      </c>
      <c r="F54" s="659"/>
      <c r="G54" s="662">
        <f t="shared" si="3"/>
        <v>392</v>
      </c>
      <c r="H54" s="662"/>
      <c r="I54" s="662"/>
      <c r="J54" s="662"/>
      <c r="K54" s="662"/>
      <c r="L54" s="662"/>
      <c r="M54" s="662"/>
      <c r="N54" s="662"/>
      <c r="O54" s="662"/>
      <c r="P54" s="662"/>
      <c r="Q54" s="662"/>
      <c r="R54" s="662"/>
      <c r="S54" s="662"/>
      <c r="T54" s="662">
        <v>392</v>
      </c>
      <c r="U54" s="662"/>
      <c r="V54" s="662"/>
      <c r="W54" s="606"/>
      <c r="X54" s="461"/>
    </row>
    <row r="55" spans="1:24" s="460" customFormat="1" ht="12.75" x14ac:dyDescent="0.2">
      <c r="A55" s="670">
        <v>9</v>
      </c>
      <c r="B55" s="658" t="s">
        <v>203</v>
      </c>
      <c r="C55" s="338">
        <f t="shared" si="2"/>
        <v>380</v>
      </c>
      <c r="D55" s="659"/>
      <c r="E55" s="659">
        <v>380</v>
      </c>
      <c r="F55" s="659"/>
      <c r="G55" s="662">
        <f t="shared" si="3"/>
        <v>382</v>
      </c>
      <c r="H55" s="662"/>
      <c r="I55" s="662"/>
      <c r="J55" s="662"/>
      <c r="K55" s="662"/>
      <c r="L55" s="662"/>
      <c r="M55" s="662"/>
      <c r="N55" s="662"/>
      <c r="O55" s="662"/>
      <c r="P55" s="662"/>
      <c r="Q55" s="662"/>
      <c r="R55" s="662"/>
      <c r="S55" s="662"/>
      <c r="T55" s="662">
        <v>382</v>
      </c>
      <c r="U55" s="662"/>
      <c r="V55" s="662"/>
      <c r="W55" s="606"/>
      <c r="X55" s="461"/>
    </row>
    <row r="56" spans="1:24" s="460" customFormat="1" ht="12.75" x14ac:dyDescent="0.2">
      <c r="A56" s="95">
        <v>10</v>
      </c>
      <c r="B56" s="658" t="s">
        <v>204</v>
      </c>
      <c r="C56" s="338">
        <f t="shared" si="2"/>
        <v>373.9</v>
      </c>
      <c r="D56" s="659"/>
      <c r="E56" s="659">
        <v>367</v>
      </c>
      <c r="F56" s="659">
        <v>6.9</v>
      </c>
      <c r="G56" s="662">
        <f t="shared" si="3"/>
        <v>532</v>
      </c>
      <c r="H56" s="662"/>
      <c r="I56" s="662"/>
      <c r="J56" s="662"/>
      <c r="K56" s="662"/>
      <c r="L56" s="662"/>
      <c r="M56" s="662"/>
      <c r="N56" s="662"/>
      <c r="O56" s="662"/>
      <c r="P56" s="662"/>
      <c r="Q56" s="662"/>
      <c r="R56" s="662"/>
      <c r="S56" s="662"/>
      <c r="T56" s="662">
        <v>532</v>
      </c>
      <c r="U56" s="662"/>
      <c r="V56" s="662"/>
      <c r="W56" s="606"/>
      <c r="X56" s="461"/>
    </row>
    <row r="57" spans="1:24" s="460" customFormat="1" ht="12.75" x14ac:dyDescent="0.2">
      <c r="A57" s="670">
        <v>11</v>
      </c>
      <c r="B57" s="96" t="s">
        <v>205</v>
      </c>
      <c r="C57" s="338">
        <f t="shared" si="2"/>
        <v>398</v>
      </c>
      <c r="D57" s="663"/>
      <c r="E57" s="663">
        <v>398</v>
      </c>
      <c r="F57" s="663"/>
      <c r="G57" s="662">
        <f t="shared" si="3"/>
        <v>424</v>
      </c>
      <c r="H57" s="662"/>
      <c r="I57" s="662"/>
      <c r="J57" s="662"/>
      <c r="K57" s="662"/>
      <c r="L57" s="662"/>
      <c r="M57" s="662"/>
      <c r="N57" s="662"/>
      <c r="O57" s="662"/>
      <c r="P57" s="662"/>
      <c r="Q57" s="662"/>
      <c r="R57" s="662"/>
      <c r="S57" s="662"/>
      <c r="T57" s="662">
        <v>424</v>
      </c>
      <c r="U57" s="662"/>
      <c r="V57" s="662"/>
      <c r="W57" s="606"/>
      <c r="X57" s="461"/>
    </row>
    <row r="58" spans="1:24" s="460" customFormat="1" ht="12.75" x14ac:dyDescent="0.2">
      <c r="A58" s="95">
        <v>12</v>
      </c>
      <c r="B58" s="337" t="s">
        <v>206</v>
      </c>
      <c r="C58" s="338">
        <f t="shared" si="2"/>
        <v>393</v>
      </c>
      <c r="D58" s="671"/>
      <c r="E58" s="671">
        <v>393</v>
      </c>
      <c r="F58" s="671"/>
      <c r="G58" s="662">
        <f t="shared" si="3"/>
        <v>351</v>
      </c>
      <c r="H58" s="662"/>
      <c r="I58" s="662">
        <v>351</v>
      </c>
      <c r="J58" s="662"/>
      <c r="K58" s="662"/>
      <c r="L58" s="662"/>
      <c r="M58" s="662"/>
      <c r="N58" s="662"/>
      <c r="O58" s="662"/>
      <c r="P58" s="662"/>
      <c r="Q58" s="662"/>
      <c r="R58" s="662"/>
      <c r="S58" s="662"/>
      <c r="T58" s="662"/>
      <c r="U58" s="662"/>
      <c r="V58" s="662"/>
      <c r="W58" s="606"/>
      <c r="X58" s="461"/>
    </row>
    <row r="59" spans="1:24" s="460" customFormat="1" ht="12.75" x14ac:dyDescent="0.2">
      <c r="A59" s="670">
        <v>13</v>
      </c>
      <c r="B59" s="672" t="s">
        <v>927</v>
      </c>
      <c r="C59" s="338"/>
      <c r="D59" s="671"/>
      <c r="E59" s="671"/>
      <c r="F59" s="671"/>
      <c r="G59" s="662">
        <f t="shared" si="3"/>
        <v>50</v>
      </c>
      <c r="H59" s="662"/>
      <c r="I59" s="662"/>
      <c r="J59" s="662"/>
      <c r="K59" s="662"/>
      <c r="L59" s="662"/>
      <c r="M59" s="662"/>
      <c r="N59" s="662"/>
      <c r="O59" s="662"/>
      <c r="P59" s="662"/>
      <c r="Q59" s="662"/>
      <c r="R59" s="662"/>
      <c r="S59" s="662"/>
      <c r="T59" s="662">
        <v>50</v>
      </c>
      <c r="U59" s="662"/>
      <c r="V59" s="662"/>
      <c r="W59" s="606"/>
      <c r="X59" s="461"/>
    </row>
    <row r="60" spans="1:24" s="460" customFormat="1" ht="12.75" x14ac:dyDescent="0.2">
      <c r="A60" s="95">
        <v>14</v>
      </c>
      <c r="B60" s="672" t="s">
        <v>928</v>
      </c>
      <c r="C60" s="338"/>
      <c r="D60" s="671"/>
      <c r="E60" s="671"/>
      <c r="F60" s="671"/>
      <c r="G60" s="662">
        <f t="shared" si="3"/>
        <v>80</v>
      </c>
      <c r="H60" s="662"/>
      <c r="I60" s="662"/>
      <c r="J60" s="662"/>
      <c r="K60" s="662"/>
      <c r="L60" s="662"/>
      <c r="M60" s="662"/>
      <c r="N60" s="662"/>
      <c r="O60" s="662"/>
      <c r="P60" s="662"/>
      <c r="Q60" s="662"/>
      <c r="R60" s="662"/>
      <c r="S60" s="662"/>
      <c r="T60" s="662">
        <v>80</v>
      </c>
      <c r="U60" s="662"/>
      <c r="V60" s="662"/>
      <c r="W60" s="606"/>
      <c r="X60" s="461"/>
    </row>
    <row r="61" spans="1:24" s="467" customFormat="1" ht="12.75" x14ac:dyDescent="0.2">
      <c r="A61" s="655" t="s">
        <v>207</v>
      </c>
      <c r="B61" s="97" t="s">
        <v>208</v>
      </c>
      <c r="C61" s="667">
        <f>D61+E61+F61</f>
        <v>36167</v>
      </c>
      <c r="D61" s="1172"/>
      <c r="E61" s="1172">
        <f>SUM(E62:E63)</f>
        <v>32248</v>
      </c>
      <c r="F61" s="667">
        <f>F62+F63</f>
        <v>3919</v>
      </c>
      <c r="G61" s="1170">
        <f>SUM(G62:G63)</f>
        <v>40530</v>
      </c>
      <c r="H61" s="1170">
        <f t="shared" ref="H61:V61" si="10">SUM(H62:H63)</f>
        <v>3779</v>
      </c>
      <c r="I61" s="1170">
        <f t="shared" si="10"/>
        <v>0</v>
      </c>
      <c r="J61" s="1170">
        <f t="shared" si="10"/>
        <v>22716</v>
      </c>
      <c r="K61" s="1170">
        <f t="shared" si="10"/>
        <v>13835</v>
      </c>
      <c r="L61" s="1170">
        <f t="shared" si="10"/>
        <v>0</v>
      </c>
      <c r="M61" s="1170">
        <f t="shared" si="10"/>
        <v>0</v>
      </c>
      <c r="N61" s="1170">
        <f t="shared" si="10"/>
        <v>0</v>
      </c>
      <c r="O61" s="1170">
        <f t="shared" si="10"/>
        <v>0</v>
      </c>
      <c r="P61" s="1170">
        <f t="shared" si="10"/>
        <v>200</v>
      </c>
      <c r="Q61" s="1170">
        <f t="shared" si="10"/>
        <v>0</v>
      </c>
      <c r="R61" s="1170">
        <f t="shared" si="10"/>
        <v>0</v>
      </c>
      <c r="S61" s="1170">
        <f t="shared" si="10"/>
        <v>0</v>
      </c>
      <c r="T61" s="1170">
        <f t="shared" si="10"/>
        <v>0</v>
      </c>
      <c r="U61" s="1170">
        <f t="shared" si="10"/>
        <v>0</v>
      </c>
      <c r="V61" s="1170">
        <f t="shared" si="10"/>
        <v>0</v>
      </c>
      <c r="W61" s="668"/>
      <c r="X61" s="669"/>
    </row>
    <row r="62" spans="1:24" s="460" customFormat="1" ht="12.75" x14ac:dyDescent="0.2">
      <c r="A62" s="95">
        <v>1</v>
      </c>
      <c r="B62" s="658" t="s">
        <v>209</v>
      </c>
      <c r="C62" s="338">
        <f>D62+E62+F62</f>
        <v>25383</v>
      </c>
      <c r="D62" s="659"/>
      <c r="E62" s="659">
        <v>23320</v>
      </c>
      <c r="F62" s="659">
        <f>1463+600</f>
        <v>2063</v>
      </c>
      <c r="G62" s="662">
        <f t="shared" si="3"/>
        <v>25505</v>
      </c>
      <c r="H62" s="662">
        <v>2779</v>
      </c>
      <c r="I62" s="662"/>
      <c r="J62" s="662">
        <v>22716</v>
      </c>
      <c r="K62" s="662">
        <v>10</v>
      </c>
      <c r="L62" s="662"/>
      <c r="M62" s="662"/>
      <c r="N62" s="662"/>
      <c r="O62" s="662"/>
      <c r="P62" s="662"/>
      <c r="Q62" s="662"/>
      <c r="R62" s="662"/>
      <c r="S62" s="662"/>
      <c r="T62" s="662"/>
      <c r="U62" s="662"/>
      <c r="V62" s="662"/>
      <c r="W62" s="606"/>
      <c r="X62" s="461"/>
    </row>
    <row r="63" spans="1:24" s="460" customFormat="1" ht="12.75" x14ac:dyDescent="0.2">
      <c r="A63" s="95">
        <v>2</v>
      </c>
      <c r="B63" s="658" t="s">
        <v>210</v>
      </c>
      <c r="C63" s="338">
        <f>D63+E63+F63</f>
        <v>10784</v>
      </c>
      <c r="D63" s="659"/>
      <c r="E63" s="659">
        <v>8928</v>
      </c>
      <c r="F63" s="659">
        <v>1856</v>
      </c>
      <c r="G63" s="662">
        <f t="shared" si="3"/>
        <v>15025</v>
      </c>
      <c r="H63" s="662">
        <v>1000</v>
      </c>
      <c r="I63" s="662"/>
      <c r="J63" s="662"/>
      <c r="K63" s="662">
        <f>15025-1200</f>
        <v>13825</v>
      </c>
      <c r="L63" s="662"/>
      <c r="M63" s="662"/>
      <c r="N63" s="662"/>
      <c r="O63" s="662"/>
      <c r="P63" s="662">
        <v>200</v>
      </c>
      <c r="Q63" s="662"/>
      <c r="R63" s="662"/>
      <c r="S63" s="662"/>
      <c r="T63" s="662"/>
      <c r="U63" s="662"/>
      <c r="V63" s="662"/>
      <c r="W63" s="606"/>
      <c r="X63" s="461"/>
    </row>
    <row r="64" spans="1:24" s="467" customFormat="1" ht="12.75" x14ac:dyDescent="0.2">
      <c r="A64" s="655" t="s">
        <v>211</v>
      </c>
      <c r="B64" s="666" t="s">
        <v>212</v>
      </c>
      <c r="C64" s="667">
        <f t="shared" ref="C64" si="11">D64+E64+F64</f>
        <v>0</v>
      </c>
      <c r="D64" s="673"/>
      <c r="E64" s="673">
        <f>SUM(E65:E87)</f>
        <v>0</v>
      </c>
      <c r="F64" s="673"/>
      <c r="G64" s="673">
        <f>SUM(G65:G87)</f>
        <v>252913</v>
      </c>
      <c r="H64" s="673">
        <f t="shared" ref="H64:U64" si="12">SUM(H65:H87)</f>
        <v>0</v>
      </c>
      <c r="I64" s="673">
        <f t="shared" si="12"/>
        <v>0</v>
      </c>
      <c r="J64" s="673">
        <f t="shared" si="12"/>
        <v>0</v>
      </c>
      <c r="K64" s="673">
        <f t="shared" si="12"/>
        <v>0</v>
      </c>
      <c r="L64" s="673">
        <f t="shared" si="12"/>
        <v>220608</v>
      </c>
      <c r="M64" s="673">
        <f t="shared" si="12"/>
        <v>0</v>
      </c>
      <c r="N64" s="673">
        <f t="shared" si="12"/>
        <v>0</v>
      </c>
      <c r="O64" s="673">
        <f t="shared" si="12"/>
        <v>0</v>
      </c>
      <c r="P64" s="673">
        <f t="shared" si="12"/>
        <v>0</v>
      </c>
      <c r="Q64" s="673">
        <f>SUM(Q65:Q87)</f>
        <v>31198</v>
      </c>
      <c r="R64" s="673">
        <f t="shared" si="12"/>
        <v>0</v>
      </c>
      <c r="S64" s="673">
        <f t="shared" si="12"/>
        <v>0</v>
      </c>
      <c r="T64" s="673">
        <f t="shared" si="12"/>
        <v>0</v>
      </c>
      <c r="U64" s="673">
        <f t="shared" si="12"/>
        <v>0</v>
      </c>
      <c r="V64" s="673">
        <f>SUM(V65:V87)</f>
        <v>1107</v>
      </c>
      <c r="W64" s="668"/>
      <c r="X64" s="669"/>
    </row>
    <row r="65" spans="1:24" s="460" customFormat="1" ht="25.5" x14ac:dyDescent="0.2">
      <c r="A65" s="95">
        <v>1</v>
      </c>
      <c r="B65" s="337" t="s">
        <v>213</v>
      </c>
      <c r="C65" s="338"/>
      <c r="D65" s="671"/>
      <c r="E65" s="671"/>
      <c r="F65" s="671"/>
      <c r="G65" s="659">
        <f t="shared" ref="G65:G87" si="13">SUM(H65:Q65)+T65+U65+V65</f>
        <v>3000</v>
      </c>
      <c r="H65" s="338"/>
      <c r="I65" s="338"/>
      <c r="J65" s="338"/>
      <c r="K65" s="338"/>
      <c r="L65" s="338"/>
      <c r="M65" s="338"/>
      <c r="N65" s="338"/>
      <c r="O65" s="338"/>
      <c r="P65" s="338"/>
      <c r="Q65" s="338">
        <v>3000</v>
      </c>
      <c r="R65" s="338"/>
      <c r="S65" s="338"/>
      <c r="T65" s="338"/>
      <c r="U65" s="338"/>
      <c r="V65" s="338"/>
      <c r="W65" s="606">
        <v>1000</v>
      </c>
      <c r="X65" s="461" t="s">
        <v>1388</v>
      </c>
    </row>
    <row r="66" spans="1:24" s="460" customFormat="1" ht="12.75" x14ac:dyDescent="0.2">
      <c r="A66" s="95">
        <v>2</v>
      </c>
      <c r="B66" s="337" t="s">
        <v>214</v>
      </c>
      <c r="C66" s="338"/>
      <c r="D66" s="671"/>
      <c r="E66" s="671"/>
      <c r="F66" s="671"/>
      <c r="G66" s="659">
        <f t="shared" si="13"/>
        <v>220608</v>
      </c>
      <c r="H66" s="338"/>
      <c r="I66" s="338"/>
      <c r="J66" s="338"/>
      <c r="K66" s="338"/>
      <c r="L66" s="338">
        <f>184427+36140+41</f>
        <v>220608</v>
      </c>
      <c r="M66" s="338"/>
      <c r="N66" s="338"/>
      <c r="O66" s="338"/>
      <c r="P66" s="338"/>
      <c r="Q66" s="338"/>
      <c r="R66" s="338"/>
      <c r="S66" s="338"/>
      <c r="T66" s="338"/>
      <c r="U66" s="338"/>
      <c r="V66" s="338"/>
      <c r="W66" s="606">
        <f>44742+4105+108+183+2006+36140</f>
        <v>87284</v>
      </c>
      <c r="X66" s="461" t="str">
        <f>X65</f>
        <v>TƯ</v>
      </c>
    </row>
    <row r="67" spans="1:24" s="460" customFormat="1" ht="38.25" x14ac:dyDescent="0.2">
      <c r="A67" s="95">
        <v>3</v>
      </c>
      <c r="B67" s="337" t="s">
        <v>215</v>
      </c>
      <c r="C67" s="338"/>
      <c r="D67" s="671"/>
      <c r="E67" s="671"/>
      <c r="F67" s="671"/>
      <c r="G67" s="659">
        <f t="shared" si="13"/>
        <v>7967</v>
      </c>
      <c r="H67" s="338"/>
      <c r="I67" s="338"/>
      <c r="J67" s="338"/>
      <c r="K67" s="338"/>
      <c r="L67" s="338"/>
      <c r="M67" s="338"/>
      <c r="N67" s="338"/>
      <c r="O67" s="338"/>
      <c r="P67" s="338"/>
      <c r="Q67" s="338">
        <v>7967</v>
      </c>
      <c r="R67" s="338"/>
      <c r="S67" s="338"/>
      <c r="T67" s="338"/>
      <c r="U67" s="338"/>
      <c r="V67" s="338"/>
      <c r="W67" s="606">
        <v>7967</v>
      </c>
      <c r="X67" s="461" t="str">
        <f>X65</f>
        <v>TƯ</v>
      </c>
    </row>
    <row r="68" spans="1:24" s="460" customFormat="1" ht="25.5" x14ac:dyDescent="0.2">
      <c r="A68" s="95">
        <v>4</v>
      </c>
      <c r="B68" s="334" t="s">
        <v>526</v>
      </c>
      <c r="C68" s="338"/>
      <c r="D68" s="671"/>
      <c r="E68" s="671"/>
      <c r="F68" s="671"/>
      <c r="G68" s="659">
        <f t="shared" si="13"/>
        <v>0</v>
      </c>
      <c r="H68" s="338"/>
      <c r="I68" s="338"/>
      <c r="J68" s="338"/>
      <c r="K68" s="338"/>
      <c r="L68" s="338"/>
      <c r="M68" s="338"/>
      <c r="N68" s="338"/>
      <c r="O68" s="338"/>
      <c r="P68" s="338"/>
      <c r="Q68" s="338"/>
      <c r="R68" s="338"/>
      <c r="S68" s="338"/>
      <c r="T68" s="338"/>
      <c r="U68" s="338"/>
      <c r="V68" s="338"/>
      <c r="W68" s="606"/>
      <c r="X68" s="461"/>
    </row>
    <row r="69" spans="1:24" s="460" customFormat="1" ht="25.5" x14ac:dyDescent="0.2">
      <c r="A69" s="95">
        <v>5</v>
      </c>
      <c r="B69" s="334" t="s">
        <v>527</v>
      </c>
      <c r="C69" s="338"/>
      <c r="D69" s="671"/>
      <c r="E69" s="671"/>
      <c r="F69" s="671"/>
      <c r="G69" s="659">
        <f t="shared" si="13"/>
        <v>0</v>
      </c>
      <c r="H69" s="338"/>
      <c r="I69" s="338"/>
      <c r="J69" s="338"/>
      <c r="K69" s="338"/>
      <c r="L69" s="338"/>
      <c r="M69" s="338"/>
      <c r="N69" s="338"/>
      <c r="O69" s="338"/>
      <c r="P69" s="338"/>
      <c r="Q69" s="338"/>
      <c r="R69" s="338"/>
      <c r="S69" s="338"/>
      <c r="T69" s="338"/>
      <c r="U69" s="338"/>
      <c r="V69" s="338"/>
      <c r="W69" s="606"/>
      <c r="X69" s="461"/>
    </row>
    <row r="70" spans="1:24" s="460" customFormat="1" ht="21" customHeight="1" x14ac:dyDescent="0.2">
      <c r="A70" s="95">
        <v>6</v>
      </c>
      <c r="B70" s="334" t="s">
        <v>528</v>
      </c>
      <c r="C70" s="338"/>
      <c r="D70" s="671"/>
      <c r="E70" s="671"/>
      <c r="F70" s="671"/>
      <c r="G70" s="659">
        <f t="shared" si="13"/>
        <v>0</v>
      </c>
      <c r="H70" s="338"/>
      <c r="I70" s="338"/>
      <c r="J70" s="338"/>
      <c r="K70" s="338"/>
      <c r="L70" s="338"/>
      <c r="M70" s="338"/>
      <c r="N70" s="338"/>
      <c r="O70" s="338"/>
      <c r="P70" s="338"/>
      <c r="Q70" s="338"/>
      <c r="R70" s="338"/>
      <c r="S70" s="338"/>
      <c r="T70" s="338"/>
      <c r="U70" s="338"/>
      <c r="V70" s="338"/>
      <c r="W70" s="606"/>
      <c r="X70" s="461"/>
    </row>
    <row r="71" spans="1:24" s="460" customFormat="1" ht="25.5" x14ac:dyDescent="0.2">
      <c r="A71" s="95">
        <v>7</v>
      </c>
      <c r="B71" s="337" t="s">
        <v>521</v>
      </c>
      <c r="C71" s="338"/>
      <c r="D71" s="671"/>
      <c r="E71" s="671"/>
      <c r="F71" s="671"/>
      <c r="G71" s="659">
        <f t="shared" si="13"/>
        <v>200</v>
      </c>
      <c r="H71" s="338"/>
      <c r="I71" s="338"/>
      <c r="J71" s="338"/>
      <c r="K71" s="338"/>
      <c r="L71" s="338"/>
      <c r="M71" s="338"/>
      <c r="N71" s="338"/>
      <c r="O71" s="338"/>
      <c r="P71" s="338"/>
      <c r="Q71" s="338">
        <f>98+102</f>
        <v>200</v>
      </c>
      <c r="R71" s="338"/>
      <c r="S71" s="338"/>
      <c r="T71" s="338"/>
      <c r="U71" s="338"/>
      <c r="V71" s="338"/>
      <c r="W71" s="606">
        <f>Q71</f>
        <v>200</v>
      </c>
      <c r="X71" s="461" t="str">
        <f>X67</f>
        <v>TƯ</v>
      </c>
    </row>
    <row r="72" spans="1:24" s="460" customFormat="1" ht="12.75" x14ac:dyDescent="0.2">
      <c r="A72" s="95">
        <v>8</v>
      </c>
      <c r="B72" s="337" t="s">
        <v>522</v>
      </c>
      <c r="C72" s="338"/>
      <c r="D72" s="671"/>
      <c r="E72" s="671"/>
      <c r="F72" s="671"/>
      <c r="G72" s="659">
        <f t="shared" si="13"/>
        <v>28</v>
      </c>
      <c r="H72" s="338"/>
      <c r="I72" s="338"/>
      <c r="J72" s="338"/>
      <c r="K72" s="338"/>
      <c r="L72" s="338"/>
      <c r="M72" s="338"/>
      <c r="N72" s="338"/>
      <c r="O72" s="338"/>
      <c r="P72" s="338"/>
      <c r="Q72" s="338">
        <f>14+14</f>
        <v>28</v>
      </c>
      <c r="R72" s="338"/>
      <c r="S72" s="338"/>
      <c r="T72" s="338"/>
      <c r="U72" s="338"/>
      <c r="V72" s="338"/>
      <c r="W72" s="606">
        <f t="shared" ref="W72:W76" si="14">Q72</f>
        <v>28</v>
      </c>
      <c r="X72" s="461" t="str">
        <f>X71</f>
        <v>TƯ</v>
      </c>
    </row>
    <row r="73" spans="1:24" s="460" customFormat="1" ht="12.75" x14ac:dyDescent="0.2">
      <c r="A73" s="95">
        <v>9</v>
      </c>
      <c r="B73" s="337" t="s">
        <v>523</v>
      </c>
      <c r="C73" s="338"/>
      <c r="D73" s="671"/>
      <c r="E73" s="671"/>
      <c r="F73" s="671"/>
      <c r="G73" s="659">
        <f t="shared" si="13"/>
        <v>73</v>
      </c>
      <c r="H73" s="338"/>
      <c r="I73" s="338"/>
      <c r="J73" s="338"/>
      <c r="K73" s="338"/>
      <c r="L73" s="338"/>
      <c r="M73" s="338"/>
      <c r="N73" s="338"/>
      <c r="O73" s="338"/>
      <c r="P73" s="338"/>
      <c r="Q73" s="338">
        <f>32+41</f>
        <v>73</v>
      </c>
      <c r="R73" s="338"/>
      <c r="S73" s="338"/>
      <c r="T73" s="338"/>
      <c r="U73" s="338"/>
      <c r="V73" s="338"/>
      <c r="W73" s="606">
        <f t="shared" si="14"/>
        <v>73</v>
      </c>
      <c r="X73" s="461" t="str">
        <f>X72</f>
        <v>TƯ</v>
      </c>
    </row>
    <row r="74" spans="1:24" s="460" customFormat="1" ht="25.5" x14ac:dyDescent="0.2">
      <c r="A74" s="95">
        <v>10</v>
      </c>
      <c r="B74" s="337" t="s">
        <v>524</v>
      </c>
      <c r="C74" s="338"/>
      <c r="D74" s="671"/>
      <c r="E74" s="671"/>
      <c r="F74" s="671"/>
      <c r="G74" s="659">
        <f t="shared" si="13"/>
        <v>51</v>
      </c>
      <c r="H74" s="338"/>
      <c r="I74" s="338"/>
      <c r="J74" s="338"/>
      <c r="K74" s="338"/>
      <c r="L74" s="338"/>
      <c r="M74" s="338"/>
      <c r="N74" s="338"/>
      <c r="O74" s="338"/>
      <c r="P74" s="338"/>
      <c r="Q74" s="338">
        <f>25+26</f>
        <v>51</v>
      </c>
      <c r="R74" s="338"/>
      <c r="S74" s="338"/>
      <c r="T74" s="338"/>
      <c r="U74" s="338"/>
      <c r="V74" s="338"/>
      <c r="W74" s="606">
        <f t="shared" si="14"/>
        <v>51</v>
      </c>
      <c r="X74" s="461" t="str">
        <f>X73</f>
        <v>TƯ</v>
      </c>
    </row>
    <row r="75" spans="1:24" s="460" customFormat="1" ht="23.25" customHeight="1" x14ac:dyDescent="0.2">
      <c r="A75" s="95">
        <v>11</v>
      </c>
      <c r="B75" s="337" t="s">
        <v>1386</v>
      </c>
      <c r="C75" s="338"/>
      <c r="D75" s="671"/>
      <c r="E75" s="671"/>
      <c r="F75" s="671"/>
      <c r="G75" s="659">
        <f t="shared" si="13"/>
        <v>22</v>
      </c>
      <c r="H75" s="338"/>
      <c r="I75" s="338"/>
      <c r="J75" s="338"/>
      <c r="K75" s="338"/>
      <c r="L75" s="338"/>
      <c r="M75" s="338"/>
      <c r="N75" s="338"/>
      <c r="O75" s="338"/>
      <c r="P75" s="338"/>
      <c r="Q75" s="338">
        <v>22</v>
      </c>
      <c r="R75" s="338"/>
      <c r="S75" s="338"/>
      <c r="T75" s="338"/>
      <c r="U75" s="338"/>
      <c r="V75" s="338"/>
      <c r="W75" s="606">
        <f t="shared" si="14"/>
        <v>22</v>
      </c>
      <c r="X75" s="461" t="str">
        <f t="shared" ref="X75" si="15">X71</f>
        <v>TƯ</v>
      </c>
    </row>
    <row r="76" spans="1:24" s="460" customFormat="1" ht="18.75" customHeight="1" x14ac:dyDescent="0.2">
      <c r="A76" s="95">
        <v>12</v>
      </c>
      <c r="B76" s="337" t="s">
        <v>525</v>
      </c>
      <c r="C76" s="338"/>
      <c r="D76" s="671"/>
      <c r="E76" s="671"/>
      <c r="F76" s="671"/>
      <c r="G76" s="659">
        <f t="shared" si="13"/>
        <v>17024</v>
      </c>
      <c r="H76" s="338"/>
      <c r="I76" s="338"/>
      <c r="J76" s="338"/>
      <c r="K76" s="338"/>
      <c r="L76" s="338"/>
      <c r="M76" s="338"/>
      <c r="N76" s="338"/>
      <c r="O76" s="338"/>
      <c r="P76" s="338"/>
      <c r="Q76" s="338">
        <v>17024</v>
      </c>
      <c r="R76" s="338"/>
      <c r="S76" s="338"/>
      <c r="T76" s="338"/>
      <c r="U76" s="338"/>
      <c r="V76" s="338"/>
      <c r="W76" s="606">
        <f t="shared" si="14"/>
        <v>17024</v>
      </c>
      <c r="X76" s="461" t="str">
        <f>X75</f>
        <v>TƯ</v>
      </c>
    </row>
    <row r="77" spans="1:24" s="460" customFormat="1" ht="31.5" customHeight="1" x14ac:dyDescent="0.2">
      <c r="A77" s="95">
        <v>13</v>
      </c>
      <c r="B77" s="337" t="s">
        <v>519</v>
      </c>
      <c r="C77" s="338"/>
      <c r="D77" s="671"/>
      <c r="E77" s="671"/>
      <c r="F77" s="671"/>
      <c r="G77" s="659">
        <f>SUM(H77:Q77)+T77+U77+V77</f>
        <v>2670</v>
      </c>
      <c r="H77" s="338"/>
      <c r="I77" s="338"/>
      <c r="J77" s="338"/>
      <c r="K77" s="338"/>
      <c r="L77" s="338"/>
      <c r="M77" s="338"/>
      <c r="N77" s="338"/>
      <c r="O77" s="338"/>
      <c r="P77" s="338"/>
      <c r="Q77" s="338">
        <f>838+802+473+361+196</f>
        <v>2670</v>
      </c>
      <c r="R77" s="338"/>
      <c r="S77" s="338"/>
      <c r="T77" s="338"/>
      <c r="U77" s="338"/>
      <c r="V77" s="338"/>
      <c r="W77" s="606">
        <f>Q77</f>
        <v>2670</v>
      </c>
      <c r="X77" s="461" t="str">
        <f>X76</f>
        <v>TƯ</v>
      </c>
    </row>
    <row r="78" spans="1:24" s="460" customFormat="1" ht="18.75" customHeight="1" x14ac:dyDescent="0.2">
      <c r="A78" s="95">
        <v>14</v>
      </c>
      <c r="B78" s="337" t="s">
        <v>520</v>
      </c>
      <c r="C78" s="338"/>
      <c r="D78" s="671"/>
      <c r="E78" s="671"/>
      <c r="F78" s="671"/>
      <c r="G78" s="659">
        <f t="shared" si="13"/>
        <v>100</v>
      </c>
      <c r="H78" s="338"/>
      <c r="I78" s="338"/>
      <c r="J78" s="338"/>
      <c r="K78" s="338"/>
      <c r="L78" s="338"/>
      <c r="M78" s="338"/>
      <c r="N78" s="338"/>
      <c r="O78" s="338"/>
      <c r="P78" s="338"/>
      <c r="Q78" s="338"/>
      <c r="R78" s="338"/>
      <c r="S78" s="338"/>
      <c r="T78" s="338"/>
      <c r="U78" s="338"/>
      <c r="V78" s="338">
        <v>100</v>
      </c>
      <c r="W78" s="606"/>
      <c r="X78" s="461"/>
    </row>
    <row r="79" spans="1:24" s="460" customFormat="1" ht="22.5" customHeight="1" x14ac:dyDescent="0.2">
      <c r="A79" s="95">
        <v>15</v>
      </c>
      <c r="B79" s="337" t="s">
        <v>1385</v>
      </c>
      <c r="C79" s="338"/>
      <c r="D79" s="671"/>
      <c r="E79" s="671"/>
      <c r="F79" s="671"/>
      <c r="G79" s="659">
        <f t="shared" si="13"/>
        <v>101</v>
      </c>
      <c r="H79" s="338"/>
      <c r="I79" s="338"/>
      <c r="J79" s="338"/>
      <c r="K79" s="338"/>
      <c r="L79" s="338"/>
      <c r="M79" s="338"/>
      <c r="N79" s="338"/>
      <c r="O79" s="338"/>
      <c r="P79" s="338"/>
      <c r="Q79" s="338">
        <v>101</v>
      </c>
      <c r="R79" s="338"/>
      <c r="S79" s="338"/>
      <c r="T79" s="338"/>
      <c r="U79" s="338"/>
      <c r="V79" s="338"/>
      <c r="W79" s="606"/>
      <c r="X79" s="461"/>
    </row>
    <row r="80" spans="1:24" s="460" customFormat="1" ht="20.25" customHeight="1" x14ac:dyDescent="0.2">
      <c r="A80" s="95">
        <v>16</v>
      </c>
      <c r="B80" s="337" t="s">
        <v>939</v>
      </c>
      <c r="C80" s="338"/>
      <c r="D80" s="671"/>
      <c r="E80" s="671"/>
      <c r="F80" s="671"/>
      <c r="G80" s="659">
        <f t="shared" si="13"/>
        <v>590</v>
      </c>
      <c r="H80" s="338"/>
      <c r="I80" s="338"/>
      <c r="J80" s="338"/>
      <c r="K80" s="338"/>
      <c r="L80" s="338"/>
      <c r="M80" s="338"/>
      <c r="N80" s="338"/>
      <c r="O80" s="338"/>
      <c r="P80" s="338"/>
      <c r="Q80" s="338"/>
      <c r="R80" s="338"/>
      <c r="S80" s="338"/>
      <c r="T80" s="338"/>
      <c r="U80" s="338"/>
      <c r="V80" s="338">
        <f>30+560</f>
        <v>590</v>
      </c>
      <c r="W80" s="606">
        <v>30</v>
      </c>
      <c r="X80" s="461" t="str">
        <f>X83</f>
        <v>CTMT</v>
      </c>
    </row>
    <row r="81" spans="1:24" s="460" customFormat="1" ht="20.25" customHeight="1" x14ac:dyDescent="0.2">
      <c r="A81" s="95">
        <v>17</v>
      </c>
      <c r="B81" s="337" t="s">
        <v>1390</v>
      </c>
      <c r="C81" s="338"/>
      <c r="D81" s="671"/>
      <c r="E81" s="671"/>
      <c r="F81" s="671"/>
      <c r="G81" s="659">
        <f t="shared" si="13"/>
        <v>62</v>
      </c>
      <c r="H81" s="338"/>
      <c r="I81" s="338"/>
      <c r="J81" s="338"/>
      <c r="K81" s="338"/>
      <c r="L81" s="338"/>
      <c r="M81" s="338"/>
      <c r="N81" s="338"/>
      <c r="O81" s="338"/>
      <c r="P81" s="338"/>
      <c r="Q81" s="338">
        <v>62</v>
      </c>
      <c r="R81" s="338"/>
      <c r="S81" s="338"/>
      <c r="T81" s="338"/>
      <c r="U81" s="338"/>
      <c r="V81" s="338"/>
      <c r="W81" s="606"/>
      <c r="X81" s="461"/>
    </row>
    <row r="82" spans="1:24" s="460" customFormat="1" ht="20.25" customHeight="1" x14ac:dyDescent="0.2">
      <c r="A82" s="95">
        <v>18</v>
      </c>
      <c r="B82" s="337" t="s">
        <v>1389</v>
      </c>
      <c r="C82" s="338"/>
      <c r="D82" s="671"/>
      <c r="E82" s="671"/>
      <c r="F82" s="671"/>
      <c r="G82" s="659">
        <f t="shared" si="13"/>
        <v>1</v>
      </c>
      <c r="H82" s="338"/>
      <c r="I82" s="338"/>
      <c r="J82" s="338"/>
      <c r="K82" s="338"/>
      <c r="L82" s="338"/>
      <c r="M82" s="338"/>
      <c r="N82" s="338"/>
      <c r="O82" s="338"/>
      <c r="P82" s="338"/>
      <c r="Q82" s="338"/>
      <c r="R82" s="338"/>
      <c r="S82" s="338"/>
      <c r="T82" s="338"/>
      <c r="U82" s="338"/>
      <c r="V82" s="338">
        <v>1</v>
      </c>
      <c r="W82" s="606"/>
      <c r="X82" s="461"/>
    </row>
    <row r="83" spans="1:24" s="460" customFormat="1" ht="17.25" customHeight="1" x14ac:dyDescent="0.2">
      <c r="A83" s="95">
        <v>19</v>
      </c>
      <c r="B83" s="337" t="s">
        <v>936</v>
      </c>
      <c r="C83" s="338"/>
      <c r="D83" s="671"/>
      <c r="E83" s="671"/>
      <c r="F83" s="671"/>
      <c r="G83" s="659">
        <f t="shared" si="13"/>
        <v>46</v>
      </c>
      <c r="H83" s="338"/>
      <c r="I83" s="338"/>
      <c r="J83" s="338"/>
      <c r="K83" s="338"/>
      <c r="L83" s="338"/>
      <c r="M83" s="338"/>
      <c r="N83" s="338"/>
      <c r="O83" s="338"/>
      <c r="P83" s="338"/>
      <c r="Q83" s="338"/>
      <c r="R83" s="338"/>
      <c r="S83" s="338"/>
      <c r="T83" s="338"/>
      <c r="U83" s="338"/>
      <c r="V83" s="338">
        <f>30+16</f>
        <v>46</v>
      </c>
      <c r="W83" s="606">
        <v>30</v>
      </c>
      <c r="X83" s="461" t="s">
        <v>1387</v>
      </c>
    </row>
    <row r="84" spans="1:24" s="460" customFormat="1" ht="17.25" customHeight="1" x14ac:dyDescent="0.2">
      <c r="A84" s="95">
        <v>20</v>
      </c>
      <c r="B84" s="337" t="s">
        <v>216</v>
      </c>
      <c r="C84" s="338"/>
      <c r="D84" s="671"/>
      <c r="E84" s="671"/>
      <c r="F84" s="671"/>
      <c r="G84" s="659">
        <f t="shared" si="13"/>
        <v>30</v>
      </c>
      <c r="H84" s="338"/>
      <c r="I84" s="338"/>
      <c r="J84" s="338"/>
      <c r="K84" s="338"/>
      <c r="L84" s="338"/>
      <c r="M84" s="338"/>
      <c r="N84" s="338"/>
      <c r="O84" s="338"/>
      <c r="P84" s="338"/>
      <c r="Q84" s="338"/>
      <c r="R84" s="338"/>
      <c r="S84" s="338"/>
      <c r="T84" s="338"/>
      <c r="U84" s="338"/>
      <c r="V84" s="338">
        <f>11+19</f>
        <v>30</v>
      </c>
      <c r="W84" s="606"/>
      <c r="X84" s="461"/>
    </row>
    <row r="85" spans="1:24" s="460" customFormat="1" ht="20.25" customHeight="1" x14ac:dyDescent="0.2">
      <c r="A85" s="95">
        <v>21</v>
      </c>
      <c r="B85" s="337" t="s">
        <v>937</v>
      </c>
      <c r="C85" s="338"/>
      <c r="D85" s="671"/>
      <c r="E85" s="671"/>
      <c r="F85" s="671"/>
      <c r="G85" s="659">
        <f t="shared" si="13"/>
        <v>19</v>
      </c>
      <c r="H85" s="338"/>
      <c r="I85" s="338"/>
      <c r="J85" s="338"/>
      <c r="K85" s="338"/>
      <c r="L85" s="338"/>
      <c r="M85" s="338"/>
      <c r="N85" s="338"/>
      <c r="O85" s="338"/>
      <c r="P85" s="338"/>
      <c r="Q85" s="338"/>
      <c r="R85" s="338"/>
      <c r="S85" s="338"/>
      <c r="T85" s="338"/>
      <c r="U85" s="338"/>
      <c r="V85" s="338">
        <v>19</v>
      </c>
      <c r="W85" s="606"/>
      <c r="X85" s="461"/>
    </row>
    <row r="86" spans="1:24" s="460" customFormat="1" ht="16.5" customHeight="1" x14ac:dyDescent="0.2">
      <c r="A86" s="95">
        <v>22</v>
      </c>
      <c r="B86" s="337" t="s">
        <v>217</v>
      </c>
      <c r="C86" s="338"/>
      <c r="D86" s="671"/>
      <c r="E86" s="671"/>
      <c r="F86" s="671"/>
      <c r="G86" s="659">
        <f t="shared" si="13"/>
        <v>310</v>
      </c>
      <c r="H86" s="338"/>
      <c r="I86" s="338"/>
      <c r="J86" s="338"/>
      <c r="K86" s="338"/>
      <c r="L86" s="338"/>
      <c r="M86" s="338"/>
      <c r="N86" s="338"/>
      <c r="O86" s="338"/>
      <c r="P86" s="338"/>
      <c r="Q86" s="338"/>
      <c r="R86" s="338"/>
      <c r="S86" s="338"/>
      <c r="T86" s="338"/>
      <c r="U86" s="338"/>
      <c r="V86" s="338">
        <v>310</v>
      </c>
      <c r="W86" s="606"/>
      <c r="X86" s="461"/>
    </row>
    <row r="87" spans="1:24" s="460" customFormat="1" ht="16.5" customHeight="1" x14ac:dyDescent="0.2">
      <c r="A87" s="674">
        <v>23</v>
      </c>
      <c r="B87" s="675" t="s">
        <v>218</v>
      </c>
      <c r="C87" s="675"/>
      <c r="D87" s="676"/>
      <c r="E87" s="676"/>
      <c r="F87" s="676"/>
      <c r="G87" s="676">
        <f t="shared" si="13"/>
        <v>11</v>
      </c>
      <c r="H87" s="675"/>
      <c r="I87" s="675"/>
      <c r="J87" s="675"/>
      <c r="K87" s="675"/>
      <c r="L87" s="675"/>
      <c r="M87" s="675"/>
      <c r="N87" s="675"/>
      <c r="O87" s="675"/>
      <c r="P87" s="675"/>
      <c r="Q87" s="675"/>
      <c r="R87" s="675"/>
      <c r="S87" s="675"/>
      <c r="T87" s="675"/>
      <c r="U87" s="675"/>
      <c r="V87" s="675">
        <v>11</v>
      </c>
      <c r="W87" s="606"/>
      <c r="X87" s="461"/>
    </row>
  </sheetData>
  <mergeCells count="22">
    <mergeCell ref="S3:V3"/>
    <mergeCell ref="A1:V1"/>
    <mergeCell ref="A2:V2"/>
    <mergeCell ref="N4:N5"/>
    <mergeCell ref="O4:O5"/>
    <mergeCell ref="R4:S4"/>
    <mergeCell ref="T4:T5"/>
    <mergeCell ref="U4:U5"/>
    <mergeCell ref="V4:V5"/>
    <mergeCell ref="L4:L5"/>
    <mergeCell ref="M4:M5"/>
    <mergeCell ref="A4:A5"/>
    <mergeCell ref="B4:B5"/>
    <mergeCell ref="E4:E5"/>
    <mergeCell ref="F4:F5"/>
    <mergeCell ref="G4:G5"/>
    <mergeCell ref="H4:H5"/>
    <mergeCell ref="P4:P5"/>
    <mergeCell ref="Q4:Q5"/>
    <mergeCell ref="I4:I5"/>
    <mergeCell ref="J4:J5"/>
    <mergeCell ref="K4:K5"/>
  </mergeCells>
  <pageMargins left="0.56000000000000005" right="0.24" top="0.75" bottom="0.56000000000000005" header="0.47" footer="0.3"/>
  <pageSetup paperSize="9" firstPageNumber="105" orientation="landscape" useFirstPageNumber="1" r:id="rId1"/>
  <headerFooter>
    <oddHeader>&amp;RBiểu mẫu số 26</oddHeader>
    <oddFooter>&amp;C&amp;P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AN32"/>
  <sheetViews>
    <sheetView workbookViewId="0">
      <pane xSplit="2" ySplit="8" topLeftCell="M9" activePane="bottomRight" state="frozen"/>
      <selection pane="topRight" activeCell="C1" sqref="C1"/>
      <selection pane="bottomLeft" activeCell="A10" sqref="A10"/>
      <selection pane="bottomRight" activeCell="AL16" sqref="AL16"/>
    </sheetView>
  </sheetViews>
  <sheetFormatPr defaultRowHeight="11.25" x14ac:dyDescent="0.2"/>
  <cols>
    <col min="1" max="1" width="3.625" style="339" customWidth="1"/>
    <col min="2" max="2" width="12.375" style="339" customWidth="1"/>
    <col min="3" max="3" width="6.625" style="339" customWidth="1"/>
    <col min="4" max="4" width="5.75" style="339" customWidth="1"/>
    <col min="5" max="5" width="5.375" style="339" customWidth="1"/>
    <col min="6" max="6" width="7.125" style="339" hidden="1" customWidth="1"/>
    <col min="7" max="7" width="5" style="339" customWidth="1"/>
    <col min="8" max="8" width="0" style="339" hidden="1" customWidth="1"/>
    <col min="9" max="9" width="4.875" style="339" customWidth="1"/>
    <col min="10" max="10" width="6.625" style="339" customWidth="1"/>
    <col min="11" max="11" width="5.5" style="339" customWidth="1"/>
    <col min="12" max="12" width="5.125" style="339" customWidth="1"/>
    <col min="13" max="14" width="5.5" style="339" customWidth="1"/>
    <col min="15" max="15" width="5.75" style="339" customWidth="1"/>
    <col min="16" max="16" width="6.875" style="339" customWidth="1"/>
    <col min="17" max="17" width="5.5" style="339" customWidth="1"/>
    <col min="18" max="18" width="5" style="339" customWidth="1"/>
    <col min="19" max="19" width="0" style="339" hidden="1" customWidth="1"/>
    <col min="20" max="20" width="5.75" style="339" customWidth="1"/>
    <col min="21" max="21" width="0" style="339" hidden="1" customWidth="1"/>
    <col min="22" max="22" width="5.125" style="339" customWidth="1"/>
    <col min="23" max="23" width="6.625" style="339" customWidth="1"/>
    <col min="24" max="24" width="6.75" style="339" customWidth="1"/>
    <col min="25" max="25" width="5.75" style="339" customWidth="1"/>
    <col min="26" max="27" width="5.625" style="339" customWidth="1"/>
    <col min="28" max="28" width="5.375" style="339" customWidth="1"/>
    <col min="29" max="29" width="3.875" style="339" customWidth="1"/>
    <col min="30" max="31" width="4" style="339" customWidth="1"/>
    <col min="32" max="32" width="0" style="339" hidden="1" customWidth="1"/>
    <col min="33" max="33" width="4.75" style="339" customWidth="1"/>
    <col min="34" max="34" width="0" style="339" hidden="1" customWidth="1"/>
    <col min="35" max="35" width="4.375" style="339" customWidth="1"/>
    <col min="36" max="36" width="3.75" style="339" customWidth="1"/>
    <col min="37" max="37" width="4.5" style="339" customWidth="1"/>
    <col min="38" max="38" width="3.875" style="339" customWidth="1"/>
    <col min="39" max="39" width="4.125" style="339" customWidth="1"/>
    <col min="40" max="40" width="4.25" style="339" customWidth="1"/>
    <col min="41" max="16384" width="9" style="339"/>
  </cols>
  <sheetData>
    <row r="1" spans="1:40" ht="21.75" customHeight="1" x14ac:dyDescent="0.2">
      <c r="A1" s="2064" t="s">
        <v>1282</v>
      </c>
      <c r="B1" s="2064"/>
      <c r="C1" s="2064"/>
      <c r="D1" s="2064"/>
      <c r="E1" s="2064"/>
      <c r="F1" s="2064"/>
      <c r="G1" s="2064"/>
      <c r="H1" s="2064"/>
      <c r="I1" s="2064"/>
      <c r="J1" s="2064"/>
      <c r="K1" s="2064"/>
      <c r="L1" s="2064"/>
      <c r="M1" s="2064"/>
      <c r="N1" s="2064"/>
      <c r="O1" s="2064"/>
      <c r="P1" s="2064"/>
      <c r="Q1" s="2064"/>
      <c r="R1" s="2064"/>
      <c r="S1" s="2064"/>
      <c r="T1" s="2064"/>
      <c r="U1" s="2064"/>
      <c r="V1" s="2064"/>
      <c r="W1" s="2064"/>
      <c r="X1" s="2064"/>
      <c r="Y1" s="2064"/>
      <c r="Z1" s="2064"/>
      <c r="AA1" s="2064"/>
      <c r="AB1" s="2064"/>
      <c r="AC1" s="2064"/>
      <c r="AD1" s="2064"/>
      <c r="AE1" s="2064"/>
      <c r="AF1" s="2064"/>
      <c r="AG1" s="2064"/>
      <c r="AH1" s="2064"/>
      <c r="AI1" s="2064"/>
      <c r="AJ1" s="2064"/>
      <c r="AK1" s="2064"/>
      <c r="AL1" s="2064"/>
      <c r="AM1" s="2064"/>
      <c r="AN1" s="2064"/>
    </row>
    <row r="2" spans="1:40" ht="16.5" x14ac:dyDescent="0.2">
      <c r="A2" s="2078" t="str">
        <f>'Biểu 26'!A2:V2</f>
        <v>(Kèm theo Báo cáo số              /BC-UBND ngày       tháng 11 năm 2018 của UBND tỉnh Bắc Kạn)</v>
      </c>
      <c r="B2" s="2078"/>
      <c r="C2" s="2078"/>
      <c r="D2" s="2078"/>
      <c r="E2" s="2078"/>
      <c r="F2" s="2078"/>
      <c r="G2" s="2078"/>
      <c r="H2" s="2078"/>
      <c r="I2" s="2078"/>
      <c r="J2" s="2078"/>
      <c r="K2" s="2078"/>
      <c r="L2" s="2078"/>
      <c r="M2" s="2078"/>
      <c r="N2" s="2078"/>
      <c r="O2" s="2078"/>
      <c r="P2" s="2078"/>
      <c r="Q2" s="2078"/>
      <c r="R2" s="2078"/>
      <c r="S2" s="2078"/>
      <c r="T2" s="2078"/>
      <c r="U2" s="2078"/>
      <c r="V2" s="2078"/>
      <c r="W2" s="2078"/>
      <c r="X2" s="2078"/>
      <c r="Y2" s="2078"/>
      <c r="Z2" s="2078"/>
      <c r="AA2" s="2078"/>
      <c r="AB2" s="2078"/>
      <c r="AC2" s="2078"/>
      <c r="AD2" s="2078"/>
      <c r="AE2" s="2078"/>
      <c r="AF2" s="2078"/>
      <c r="AG2" s="2078"/>
      <c r="AH2" s="2078"/>
      <c r="AI2" s="2078"/>
      <c r="AJ2" s="2078"/>
      <c r="AK2" s="2078"/>
      <c r="AL2" s="2078"/>
      <c r="AM2" s="2078"/>
      <c r="AN2" s="2078"/>
    </row>
    <row r="3" spans="1:40" x14ac:dyDescent="0.2">
      <c r="AK3" s="1283" t="s">
        <v>330</v>
      </c>
    </row>
    <row r="4" spans="1:40" ht="15" customHeight="1" x14ac:dyDescent="0.2">
      <c r="A4" s="2065" t="s">
        <v>0</v>
      </c>
      <c r="B4" s="2065" t="s">
        <v>1222</v>
      </c>
      <c r="C4" s="2068" t="s">
        <v>1283</v>
      </c>
      <c r="D4" s="2069"/>
      <c r="E4" s="2069"/>
      <c r="F4" s="2069"/>
      <c r="G4" s="2069"/>
      <c r="H4" s="2069"/>
      <c r="I4" s="2069"/>
      <c r="J4" s="2069"/>
      <c r="K4" s="2069"/>
      <c r="L4" s="2069"/>
      <c r="M4" s="2069"/>
      <c r="N4" s="2069"/>
      <c r="O4" s="2070"/>
      <c r="P4" s="2068" t="s">
        <v>1284</v>
      </c>
      <c r="Q4" s="2069"/>
      <c r="R4" s="2069"/>
      <c r="S4" s="2069"/>
      <c r="T4" s="2069"/>
      <c r="U4" s="2069"/>
      <c r="V4" s="2069"/>
      <c r="W4" s="2069"/>
      <c r="X4" s="2069"/>
      <c r="Y4" s="2069"/>
      <c r="Z4" s="2069"/>
      <c r="AA4" s="2069"/>
      <c r="AB4" s="2070"/>
      <c r="AC4" s="2065" t="s">
        <v>43</v>
      </c>
      <c r="AD4" s="2065"/>
      <c r="AE4" s="2065"/>
      <c r="AF4" s="2065"/>
      <c r="AG4" s="2065"/>
      <c r="AH4" s="2065"/>
      <c r="AI4" s="2065"/>
      <c r="AJ4" s="2065"/>
      <c r="AK4" s="2065"/>
      <c r="AL4" s="2065"/>
      <c r="AM4" s="2065"/>
      <c r="AN4" s="2065"/>
    </row>
    <row r="5" spans="1:40" ht="17.25" customHeight="1" x14ac:dyDescent="0.2">
      <c r="A5" s="2065"/>
      <c r="B5" s="2065"/>
      <c r="C5" s="2065" t="s">
        <v>61</v>
      </c>
      <c r="D5" s="2065" t="s">
        <v>24</v>
      </c>
      <c r="E5" s="2065"/>
      <c r="F5" s="2065"/>
      <c r="G5" s="2065"/>
      <c r="H5" s="2065"/>
      <c r="I5" s="2065"/>
      <c r="J5" s="2065" t="s">
        <v>19</v>
      </c>
      <c r="K5" s="2066" t="s">
        <v>96</v>
      </c>
      <c r="L5" s="2075" t="s">
        <v>21</v>
      </c>
      <c r="M5" s="2065" t="s">
        <v>529</v>
      </c>
      <c r="N5" s="2065"/>
      <c r="O5" s="2065"/>
      <c r="P5" s="2065" t="s">
        <v>61</v>
      </c>
      <c r="Q5" s="2065" t="s">
        <v>24</v>
      </c>
      <c r="R5" s="2065"/>
      <c r="S5" s="2065"/>
      <c r="T5" s="2065"/>
      <c r="U5" s="2065"/>
      <c r="V5" s="2065"/>
      <c r="W5" s="2065" t="s">
        <v>19</v>
      </c>
      <c r="X5" s="340" t="s">
        <v>96</v>
      </c>
      <c r="Y5" s="2066" t="s">
        <v>529</v>
      </c>
      <c r="Z5" s="2071"/>
      <c r="AA5" s="2071"/>
      <c r="AB5" s="2072"/>
      <c r="AC5" s="2065" t="s">
        <v>61</v>
      </c>
      <c r="AD5" s="2065" t="s">
        <v>24</v>
      </c>
      <c r="AE5" s="2065"/>
      <c r="AF5" s="2065"/>
      <c r="AG5" s="2065"/>
      <c r="AH5" s="2065"/>
      <c r="AI5" s="2065"/>
      <c r="AJ5" s="2065" t="s">
        <v>19</v>
      </c>
      <c r="AK5" s="2065" t="s">
        <v>96</v>
      </c>
      <c r="AL5" s="2065" t="s">
        <v>87</v>
      </c>
      <c r="AM5" s="2065"/>
      <c r="AN5" s="2065"/>
    </row>
    <row r="6" spans="1:40" x14ac:dyDescent="0.2">
      <c r="A6" s="2065"/>
      <c r="B6" s="2065"/>
      <c r="C6" s="2065"/>
      <c r="D6" s="2065" t="s">
        <v>61</v>
      </c>
      <c r="E6" s="2065" t="s">
        <v>96</v>
      </c>
      <c r="F6" s="2065"/>
      <c r="G6" s="2065" t="s">
        <v>99</v>
      </c>
      <c r="H6" s="2065" t="s">
        <v>100</v>
      </c>
      <c r="I6" s="2065" t="s">
        <v>26</v>
      </c>
      <c r="J6" s="2065"/>
      <c r="K6" s="2067"/>
      <c r="L6" s="2076"/>
      <c r="M6" s="2065"/>
      <c r="N6" s="2065"/>
      <c r="O6" s="2065"/>
      <c r="P6" s="2065"/>
      <c r="Q6" s="2065" t="s">
        <v>61</v>
      </c>
      <c r="R6" s="2065" t="s">
        <v>96</v>
      </c>
      <c r="S6" s="2065"/>
      <c r="T6" s="2065" t="s">
        <v>99</v>
      </c>
      <c r="U6" s="2065" t="s">
        <v>100</v>
      </c>
      <c r="V6" s="2065" t="s">
        <v>26</v>
      </c>
      <c r="W6" s="2065"/>
      <c r="X6" s="2068" t="s">
        <v>101</v>
      </c>
      <c r="Y6" s="2067"/>
      <c r="Z6" s="2073"/>
      <c r="AA6" s="2073"/>
      <c r="AB6" s="2074"/>
      <c r="AC6" s="2065"/>
      <c r="AD6" s="2065" t="s">
        <v>61</v>
      </c>
      <c r="AE6" s="2065" t="s">
        <v>96</v>
      </c>
      <c r="AF6" s="2065"/>
      <c r="AG6" s="2065" t="s">
        <v>99</v>
      </c>
      <c r="AH6" s="2065" t="s">
        <v>100</v>
      </c>
      <c r="AI6" s="2065" t="s">
        <v>26</v>
      </c>
      <c r="AJ6" s="2065"/>
      <c r="AK6" s="2065"/>
      <c r="AL6" s="2065"/>
      <c r="AM6" s="2065"/>
      <c r="AN6" s="2065"/>
    </row>
    <row r="7" spans="1:40" ht="104.25" customHeight="1" x14ac:dyDescent="0.2">
      <c r="A7" s="2065"/>
      <c r="B7" s="2065"/>
      <c r="C7" s="2065"/>
      <c r="D7" s="2065"/>
      <c r="E7" s="1192" t="s">
        <v>101</v>
      </c>
      <c r="F7" s="1192" t="s">
        <v>29</v>
      </c>
      <c r="G7" s="2065"/>
      <c r="H7" s="2065"/>
      <c r="I7" s="2065"/>
      <c r="J7" s="2065"/>
      <c r="K7" s="1193" t="s">
        <v>101</v>
      </c>
      <c r="L7" s="2077"/>
      <c r="M7" s="1192" t="s">
        <v>61</v>
      </c>
      <c r="N7" s="1193" t="s">
        <v>530</v>
      </c>
      <c r="O7" s="1192" t="s">
        <v>531</v>
      </c>
      <c r="P7" s="2065"/>
      <c r="Q7" s="2065"/>
      <c r="R7" s="1192" t="s">
        <v>101</v>
      </c>
      <c r="S7" s="1192" t="s">
        <v>29</v>
      </c>
      <c r="T7" s="2065"/>
      <c r="U7" s="2065"/>
      <c r="V7" s="2065"/>
      <c r="W7" s="2065"/>
      <c r="X7" s="2065"/>
      <c r="Y7" s="1192" t="s">
        <v>61</v>
      </c>
      <c r="Z7" s="1192" t="s">
        <v>530</v>
      </c>
      <c r="AA7" s="1192" t="s">
        <v>531</v>
      </c>
      <c r="AB7" s="1192" t="s">
        <v>532</v>
      </c>
      <c r="AC7" s="2065"/>
      <c r="AD7" s="2065"/>
      <c r="AE7" s="1192" t="s">
        <v>101</v>
      </c>
      <c r="AF7" s="1192" t="s">
        <v>29</v>
      </c>
      <c r="AG7" s="2065"/>
      <c r="AH7" s="2065"/>
      <c r="AI7" s="2065"/>
      <c r="AJ7" s="2065"/>
      <c r="AK7" s="1192" t="s">
        <v>101</v>
      </c>
      <c r="AL7" s="1192" t="s">
        <v>61</v>
      </c>
      <c r="AM7" s="1192" t="s">
        <v>530</v>
      </c>
      <c r="AN7" s="1192" t="s">
        <v>531</v>
      </c>
    </row>
    <row r="8" spans="1:40" ht="21.75" customHeight="1" x14ac:dyDescent="0.2">
      <c r="A8" s="1194" t="s">
        <v>2</v>
      </c>
      <c r="B8" s="1194" t="s">
        <v>3</v>
      </c>
      <c r="C8" s="1194">
        <v>1</v>
      </c>
      <c r="D8" s="1194">
        <v>2</v>
      </c>
      <c r="E8" s="1194">
        <v>3</v>
      </c>
      <c r="F8" s="1194">
        <v>4</v>
      </c>
      <c r="G8" s="1194">
        <v>4</v>
      </c>
      <c r="H8" s="1194">
        <v>6</v>
      </c>
      <c r="I8" s="1194">
        <v>5</v>
      </c>
      <c r="J8" s="1194">
        <v>6</v>
      </c>
      <c r="K8" s="1194">
        <v>7</v>
      </c>
      <c r="L8" s="1194"/>
      <c r="M8" s="1194">
        <v>8</v>
      </c>
      <c r="N8" s="1194">
        <v>9</v>
      </c>
      <c r="O8" s="1194">
        <v>10</v>
      </c>
      <c r="P8" s="1194">
        <v>11</v>
      </c>
      <c r="Q8" s="1194">
        <v>12</v>
      </c>
      <c r="R8" s="1194">
        <v>13</v>
      </c>
      <c r="S8" s="1194">
        <v>14</v>
      </c>
      <c r="T8" s="1194">
        <v>14</v>
      </c>
      <c r="U8" s="1194">
        <v>16</v>
      </c>
      <c r="V8" s="1194">
        <v>15</v>
      </c>
      <c r="W8" s="1194">
        <v>16</v>
      </c>
      <c r="X8" s="1194">
        <v>17</v>
      </c>
      <c r="Y8" s="1194">
        <v>18</v>
      </c>
      <c r="Z8" s="1194">
        <v>19</v>
      </c>
      <c r="AA8" s="1194">
        <v>20</v>
      </c>
      <c r="AB8" s="1194">
        <v>21</v>
      </c>
      <c r="AC8" s="1194">
        <v>22</v>
      </c>
      <c r="AD8" s="1194">
        <v>23</v>
      </c>
      <c r="AE8" s="1194">
        <v>24</v>
      </c>
      <c r="AF8" s="1194">
        <v>25</v>
      </c>
      <c r="AG8" s="1194">
        <v>25</v>
      </c>
      <c r="AH8" s="1194">
        <v>27</v>
      </c>
      <c r="AI8" s="1194">
        <v>26</v>
      </c>
      <c r="AJ8" s="1194">
        <v>27</v>
      </c>
      <c r="AK8" s="1194">
        <v>28</v>
      </c>
      <c r="AL8" s="1194">
        <v>29</v>
      </c>
      <c r="AM8" s="1194">
        <v>30</v>
      </c>
      <c r="AN8" s="1194">
        <v>31</v>
      </c>
    </row>
    <row r="9" spans="1:40" ht="21.75" customHeight="1" x14ac:dyDescent="0.2">
      <c r="A9" s="342"/>
      <c r="B9" s="1295" t="s">
        <v>89</v>
      </c>
      <c r="C9" s="1296">
        <f>SUM(C10:C17)</f>
        <v>2420182</v>
      </c>
      <c r="D9" s="1296">
        <f>SUM(D10:D17)</f>
        <v>132644</v>
      </c>
      <c r="E9" s="1296">
        <f>SUM(E10:E17)</f>
        <v>38736</v>
      </c>
      <c r="F9" s="342"/>
      <c r="G9" s="1296">
        <f t="shared" ref="G9:H9" si="0">SUM(G10:G17)</f>
        <v>83144</v>
      </c>
      <c r="H9" s="1296">
        <f t="shared" si="0"/>
        <v>0</v>
      </c>
      <c r="I9" s="1296">
        <f>SUM(I10:I17)</f>
        <v>49500</v>
      </c>
      <c r="J9" s="1296">
        <f>SUM(J10:J17)</f>
        <v>1928912</v>
      </c>
      <c r="K9" s="1296">
        <f>SUM(K10:K17)</f>
        <v>985382</v>
      </c>
      <c r="L9" s="1296">
        <f>SUM(L10:L17)</f>
        <v>41978</v>
      </c>
      <c r="M9" s="1296">
        <f>N9+O9</f>
        <v>316648</v>
      </c>
      <c r="N9" s="1296">
        <f>SUM(N10:N17)</f>
        <v>179267</v>
      </c>
      <c r="O9" s="1296">
        <f t="shared" ref="O9" si="1">SUM(O10:O17)</f>
        <v>137381</v>
      </c>
      <c r="P9" s="1296">
        <f>SUM(P10:P17)</f>
        <v>2632113</v>
      </c>
      <c r="Q9" s="1296">
        <f>SUM(Q10:Q17)</f>
        <v>204514</v>
      </c>
      <c r="R9" s="1296">
        <f>SUM(R10:R17)</f>
        <v>48498</v>
      </c>
      <c r="S9" s="1296">
        <f t="shared" ref="S9:X9" si="2">SUM(S10:S17)</f>
        <v>0</v>
      </c>
      <c r="T9" s="1296">
        <f t="shared" si="2"/>
        <v>157140</v>
      </c>
      <c r="U9" s="1296">
        <f t="shared" si="2"/>
        <v>0</v>
      </c>
      <c r="V9" s="1296">
        <f t="shared" si="2"/>
        <v>47374</v>
      </c>
      <c r="W9" s="1296">
        <f t="shared" si="2"/>
        <v>2064748</v>
      </c>
      <c r="X9" s="1296">
        <f t="shared" si="2"/>
        <v>1022702</v>
      </c>
      <c r="Y9" s="1296">
        <f>SUM(Y10:Y17)</f>
        <v>362851</v>
      </c>
      <c r="Z9" s="1296">
        <f t="shared" ref="Z9:AB9" si="3">SUM(Z10:Z17)</f>
        <v>211551</v>
      </c>
      <c r="AA9" s="1296">
        <f t="shared" si="3"/>
        <v>148595</v>
      </c>
      <c r="AB9" s="1296">
        <f t="shared" si="3"/>
        <v>2705</v>
      </c>
      <c r="AC9" s="1296">
        <f t="shared" ref="AC9:AC17" si="4">P9/C9*100</f>
        <v>108.75682076802488</v>
      </c>
      <c r="AD9" s="1296">
        <f t="shared" ref="AD9:AD17" si="5">Q9/D9*100</f>
        <v>154.1826241669431</v>
      </c>
      <c r="AE9" s="1296">
        <f>R9/E9*100</f>
        <v>125.2013630731103</v>
      </c>
      <c r="AF9" s="1296"/>
      <c r="AG9" s="1296">
        <f t="shared" ref="AG9:AG17" si="6">T9/G9*100</f>
        <v>188.99740209756567</v>
      </c>
      <c r="AH9" s="1296"/>
      <c r="AI9" s="1296">
        <f t="shared" ref="AI9:AI17" si="7">V9/I9*100</f>
        <v>95.705050505050508</v>
      </c>
      <c r="AJ9" s="1296">
        <f t="shared" ref="AJ9:AJ17" si="8">W9/J9*100</f>
        <v>107.04210456464578</v>
      </c>
      <c r="AK9" s="1296">
        <f t="shared" ref="AK9:AK17" si="9">X9/K9*100</f>
        <v>103.78736368230798</v>
      </c>
      <c r="AL9" s="1296">
        <f t="shared" ref="AL9:AN9" si="10">Y9/M9*100</f>
        <v>114.59128117025845</v>
      </c>
      <c r="AM9" s="1296">
        <f t="shared" si="10"/>
        <v>118.00889176479777</v>
      </c>
      <c r="AN9" s="1296">
        <f t="shared" si="10"/>
        <v>108.16270081015568</v>
      </c>
    </row>
    <row r="10" spans="1:40" ht="22.5" customHeight="1" x14ac:dyDescent="0.2">
      <c r="A10" s="1292">
        <v>1</v>
      </c>
      <c r="B10" s="1293" t="s">
        <v>148</v>
      </c>
      <c r="C10" s="1293">
        <f>D10+J10+L10+M10</f>
        <v>235155</v>
      </c>
      <c r="D10" s="1293">
        <f>G10+I10</f>
        <v>47681</v>
      </c>
      <c r="E10" s="1293">
        <v>7693</v>
      </c>
      <c r="F10" s="1293"/>
      <c r="G10" s="1293">
        <v>16181</v>
      </c>
      <c r="H10" s="1293"/>
      <c r="I10" s="1293">
        <v>31500</v>
      </c>
      <c r="J10" s="1293">
        <v>180503</v>
      </c>
      <c r="K10" s="1293">
        <v>75037</v>
      </c>
      <c r="L10" s="1293">
        <v>4814</v>
      </c>
      <c r="M10" s="1293">
        <f>N10+O10</f>
        <v>2157</v>
      </c>
      <c r="N10" s="1293">
        <f>E23</f>
        <v>329</v>
      </c>
      <c r="O10" s="1293">
        <f>W23</f>
        <v>1828</v>
      </c>
      <c r="P10" s="1293">
        <f>Q10+W10+Y10</f>
        <v>238837</v>
      </c>
      <c r="Q10" s="1293">
        <f>'Biểu 03'!S10+1340</f>
        <v>55075</v>
      </c>
      <c r="R10" s="1293">
        <v>12904</v>
      </c>
      <c r="S10" s="1293"/>
      <c r="T10" s="1293">
        <f>Q10-V10</f>
        <v>23575</v>
      </c>
      <c r="U10" s="1293"/>
      <c r="V10" s="1293">
        <f>'Biểu 03'!S18</f>
        <v>31500</v>
      </c>
      <c r="W10" s="1293">
        <f>'Biểu 03'!S37</f>
        <v>181608</v>
      </c>
      <c r="X10" s="1293">
        <f>'Biểu 03'!S38</f>
        <v>75222</v>
      </c>
      <c r="Y10" s="1293">
        <f>SUM(Z10:AB10)</f>
        <v>2154</v>
      </c>
      <c r="Z10" s="1293">
        <f>'Biểu 03'!S123</f>
        <v>329</v>
      </c>
      <c r="AA10" s="1293">
        <f>'Biểu 03'!S128</f>
        <v>1825</v>
      </c>
      <c r="AB10" s="1293"/>
      <c r="AC10" s="1293">
        <f t="shared" si="4"/>
        <v>101.565775764921</v>
      </c>
      <c r="AD10" s="1293">
        <f t="shared" si="5"/>
        <v>115.50722510014471</v>
      </c>
      <c r="AE10" s="1293">
        <f t="shared" ref="AE10:AE17" si="11">R10/E10*100</f>
        <v>167.73690367866891</v>
      </c>
      <c r="AF10" s="1293" t="e">
        <f t="shared" ref="AF10:AF17" si="12">S10/F10*100</f>
        <v>#DIV/0!</v>
      </c>
      <c r="AG10" s="1293">
        <f t="shared" si="6"/>
        <v>145.69556887707807</v>
      </c>
      <c r="AH10" s="1293" t="e">
        <f t="shared" ref="AH10:AH17" si="13">U10/H10*100</f>
        <v>#DIV/0!</v>
      </c>
      <c r="AI10" s="1293">
        <f t="shared" si="7"/>
        <v>100</v>
      </c>
      <c r="AJ10" s="1293">
        <f t="shared" si="8"/>
        <v>100.61217819094419</v>
      </c>
      <c r="AK10" s="1293">
        <f t="shared" si="9"/>
        <v>100.24654503778136</v>
      </c>
      <c r="AL10" s="1294">
        <f t="shared" ref="AL10:AL17" si="14">Y10/M10*100</f>
        <v>99.860917941585541</v>
      </c>
      <c r="AM10" s="1294">
        <f t="shared" ref="AM10:AM17" si="15">Z10/N10*100</f>
        <v>100</v>
      </c>
      <c r="AN10" s="1294">
        <f t="shared" ref="AN10:AN17" si="16">AA10/O10*100</f>
        <v>99.835886214442013</v>
      </c>
    </row>
    <row r="11" spans="1:40" ht="22.5" customHeight="1" x14ac:dyDescent="0.2">
      <c r="A11" s="341">
        <v>2</v>
      </c>
      <c r="B11" s="342" t="s">
        <v>149</v>
      </c>
      <c r="C11" s="342">
        <f t="shared" ref="C11:C17" si="17">D11+J11+L11+M11</f>
        <v>243942</v>
      </c>
      <c r="D11" s="342">
        <f t="shared" ref="D11:D17" si="18">G11+I11</f>
        <v>9502</v>
      </c>
      <c r="E11" s="342">
        <v>400</v>
      </c>
      <c r="F11" s="342"/>
      <c r="G11" s="342">
        <v>7882</v>
      </c>
      <c r="H11" s="342"/>
      <c r="I11" s="342">
        <v>1620</v>
      </c>
      <c r="J11" s="342">
        <v>200433</v>
      </c>
      <c r="K11" s="342">
        <v>90941</v>
      </c>
      <c r="L11" s="342">
        <v>4156</v>
      </c>
      <c r="M11" s="342">
        <f t="shared" ref="M11:M16" si="19">N11+O11</f>
        <v>29851</v>
      </c>
      <c r="N11" s="342">
        <f>E24</f>
        <v>12989</v>
      </c>
      <c r="O11" s="342">
        <f t="shared" ref="O11:O17" si="20">W24</f>
        <v>16862</v>
      </c>
      <c r="P11" s="342">
        <f t="shared" ref="P11:P16" si="21">Q11+W11+Y11</f>
        <v>241016</v>
      </c>
      <c r="Q11" s="342">
        <f>'Biểu 03'!O10+6007</f>
        <v>18489</v>
      </c>
      <c r="R11" s="342">
        <v>400</v>
      </c>
      <c r="S11" s="342"/>
      <c r="T11" s="342">
        <f>Q11-V11</f>
        <v>16616</v>
      </c>
      <c r="U11" s="342"/>
      <c r="V11" s="342">
        <f>'Biểu 03'!O18</f>
        <v>1873</v>
      </c>
      <c r="W11" s="342">
        <f>'Biểu 03'!O37</f>
        <v>191419</v>
      </c>
      <c r="X11" s="342">
        <f>'Biểu 03'!O38</f>
        <v>90578</v>
      </c>
      <c r="Y11" s="342">
        <f>SUM(Z11:AB11)</f>
        <v>31108</v>
      </c>
      <c r="Z11" s="342">
        <f>'Biểu 03'!O123</f>
        <v>13463</v>
      </c>
      <c r="AA11" s="342">
        <f>'Biểu 03'!O128</f>
        <v>17645</v>
      </c>
      <c r="AB11" s="342"/>
      <c r="AC11" s="342">
        <f t="shared" si="4"/>
        <v>98.800534553295464</v>
      </c>
      <c r="AD11" s="342">
        <f t="shared" si="5"/>
        <v>194.58008840244159</v>
      </c>
      <c r="AE11" s="342">
        <f t="shared" si="11"/>
        <v>100</v>
      </c>
      <c r="AF11" s="342" t="e">
        <f t="shared" si="12"/>
        <v>#DIV/0!</v>
      </c>
      <c r="AG11" s="342">
        <f t="shared" si="6"/>
        <v>210.80943922862215</v>
      </c>
      <c r="AH11" s="342" t="e">
        <f t="shared" si="13"/>
        <v>#DIV/0!</v>
      </c>
      <c r="AI11" s="342">
        <f t="shared" si="7"/>
        <v>115.61728395061728</v>
      </c>
      <c r="AJ11" s="342">
        <f t="shared" si="8"/>
        <v>95.502736575314444</v>
      </c>
      <c r="AK11" s="342">
        <f t="shared" si="9"/>
        <v>99.600840105123098</v>
      </c>
      <c r="AL11" s="343">
        <f t="shared" si="14"/>
        <v>104.21091420722924</v>
      </c>
      <c r="AM11" s="343">
        <f t="shared" si="15"/>
        <v>103.64924166602509</v>
      </c>
      <c r="AN11" s="343">
        <f t="shared" si="16"/>
        <v>104.64357727434468</v>
      </c>
    </row>
    <row r="12" spans="1:40" ht="22.5" customHeight="1" x14ac:dyDescent="0.2">
      <c r="A12" s="341">
        <v>3</v>
      </c>
      <c r="B12" s="342" t="s">
        <v>385</v>
      </c>
      <c r="C12" s="342">
        <f t="shared" si="17"/>
        <v>252047</v>
      </c>
      <c r="D12" s="342">
        <f t="shared" si="18"/>
        <v>11181</v>
      </c>
      <c r="E12" s="342">
        <v>6192</v>
      </c>
      <c r="F12" s="342"/>
      <c r="G12" s="342">
        <v>10101</v>
      </c>
      <c r="H12" s="342"/>
      <c r="I12" s="342">
        <v>1080</v>
      </c>
      <c r="J12" s="342">
        <v>208897</v>
      </c>
      <c r="K12" s="342">
        <v>102625</v>
      </c>
      <c r="L12" s="342">
        <v>4682</v>
      </c>
      <c r="M12" s="342">
        <f>N12+O12</f>
        <v>27287</v>
      </c>
      <c r="N12" s="342">
        <f t="shared" ref="N12:N17" si="22">E25</f>
        <v>14260</v>
      </c>
      <c r="O12" s="342">
        <f t="shared" si="20"/>
        <v>13027</v>
      </c>
      <c r="P12" s="342">
        <f t="shared" si="21"/>
        <v>277161</v>
      </c>
      <c r="Q12" s="342">
        <f>'Biểu 03'!U10+3020</f>
        <v>16154</v>
      </c>
      <c r="R12" s="342">
        <v>7747</v>
      </c>
      <c r="S12" s="342"/>
      <c r="T12" s="342">
        <f t="shared" ref="T12:T16" si="23">Q12-V12</f>
        <v>16154</v>
      </c>
      <c r="U12" s="342"/>
      <c r="V12" s="342">
        <f>'Biểu 03'!U18</f>
        <v>0</v>
      </c>
      <c r="W12" s="342">
        <f>'Biểu 03'!U37</f>
        <v>232981</v>
      </c>
      <c r="X12" s="342">
        <f>'Biểu 03'!U38</f>
        <v>108889</v>
      </c>
      <c r="Y12" s="342">
        <f t="shared" ref="Y12:Y16" si="24">SUM(Z12:AB12)</f>
        <v>28026</v>
      </c>
      <c r="Z12" s="342">
        <f>'Biểu 03'!U123</f>
        <v>15007</v>
      </c>
      <c r="AA12" s="342">
        <f>'Biểu 03'!U128</f>
        <v>13019</v>
      </c>
      <c r="AB12" s="342">
        <f>'Biểu 03'!U143</f>
        <v>0</v>
      </c>
      <c r="AC12" s="342">
        <f t="shared" si="4"/>
        <v>109.96401464806166</v>
      </c>
      <c r="AD12" s="342">
        <f t="shared" si="5"/>
        <v>144.47723817189876</v>
      </c>
      <c r="AE12" s="342">
        <f t="shared" si="11"/>
        <v>125.11304909560724</v>
      </c>
      <c r="AF12" s="342" t="e">
        <f t="shared" si="12"/>
        <v>#DIV/0!</v>
      </c>
      <c r="AG12" s="342">
        <f t="shared" si="6"/>
        <v>159.92475992475991</v>
      </c>
      <c r="AH12" s="342" t="e">
        <f t="shared" si="13"/>
        <v>#DIV/0!</v>
      </c>
      <c r="AI12" s="342">
        <f t="shared" si="7"/>
        <v>0</v>
      </c>
      <c r="AJ12" s="342">
        <f t="shared" si="8"/>
        <v>111.52912679454468</v>
      </c>
      <c r="AK12" s="342">
        <f t="shared" si="9"/>
        <v>106.10377588306943</v>
      </c>
      <c r="AL12" s="343">
        <f t="shared" si="14"/>
        <v>102.70824934950708</v>
      </c>
      <c r="AM12" s="343">
        <f>Z12/N12*100</f>
        <v>105.23842917251052</v>
      </c>
      <c r="AN12" s="343">
        <f t="shared" si="16"/>
        <v>99.938589084209724</v>
      </c>
    </row>
    <row r="13" spans="1:40" ht="22.5" customHeight="1" x14ac:dyDescent="0.2">
      <c r="A13" s="341">
        <v>4</v>
      </c>
      <c r="B13" s="342" t="s">
        <v>151</v>
      </c>
      <c r="C13" s="342">
        <f t="shared" si="17"/>
        <v>354384</v>
      </c>
      <c r="D13" s="342">
        <f t="shared" si="18"/>
        <v>16417</v>
      </c>
      <c r="E13" s="342">
        <v>5268</v>
      </c>
      <c r="F13" s="342"/>
      <c r="G13" s="342">
        <v>14797</v>
      </c>
      <c r="H13" s="342"/>
      <c r="I13" s="342">
        <v>1620</v>
      </c>
      <c r="J13" s="342">
        <v>293388</v>
      </c>
      <c r="K13" s="342">
        <v>144164</v>
      </c>
      <c r="L13" s="342">
        <v>6527</v>
      </c>
      <c r="M13" s="342">
        <f t="shared" si="19"/>
        <v>38052</v>
      </c>
      <c r="N13" s="342">
        <f t="shared" si="22"/>
        <v>18443</v>
      </c>
      <c r="O13" s="342">
        <f t="shared" si="20"/>
        <v>19609</v>
      </c>
      <c r="P13" s="342">
        <f t="shared" si="21"/>
        <v>382999</v>
      </c>
      <c r="Q13" s="342">
        <f>'Biểu 03'!Q10+2421</f>
        <v>35386</v>
      </c>
      <c r="R13" s="342">
        <v>8098</v>
      </c>
      <c r="S13" s="342"/>
      <c r="T13" s="342">
        <f t="shared" si="23"/>
        <v>33766</v>
      </c>
      <c r="U13" s="342"/>
      <c r="V13" s="342">
        <f>'Biểu 03'!Q18</f>
        <v>1620</v>
      </c>
      <c r="W13" s="342">
        <f>'Biểu 03'!Q37</f>
        <v>305520</v>
      </c>
      <c r="X13" s="342">
        <f>'Biểu 03'!Q38</f>
        <v>149425</v>
      </c>
      <c r="Y13" s="342">
        <f t="shared" si="24"/>
        <v>42093</v>
      </c>
      <c r="Z13" s="342">
        <f>'Biểu 03'!Q123</f>
        <v>19141</v>
      </c>
      <c r="AA13" s="342">
        <f>'Biểu 03'!Q128</f>
        <v>22502</v>
      </c>
      <c r="AB13" s="342">
        <f>'Biểu 03'!Q143</f>
        <v>450</v>
      </c>
      <c r="AC13" s="342">
        <f t="shared" si="4"/>
        <v>108.07457447288817</v>
      </c>
      <c r="AD13" s="342">
        <f t="shared" si="5"/>
        <v>215.5448620332582</v>
      </c>
      <c r="AE13" s="342">
        <f t="shared" si="11"/>
        <v>153.72057706909644</v>
      </c>
      <c r="AF13" s="342" t="e">
        <f t="shared" si="12"/>
        <v>#DIV/0!</v>
      </c>
      <c r="AG13" s="342">
        <f t="shared" si="6"/>
        <v>228.19490437250795</v>
      </c>
      <c r="AH13" s="342" t="e">
        <f t="shared" si="13"/>
        <v>#DIV/0!</v>
      </c>
      <c r="AI13" s="342">
        <f t="shared" si="7"/>
        <v>100</v>
      </c>
      <c r="AJ13" s="342">
        <f t="shared" si="8"/>
        <v>104.1351384514704</v>
      </c>
      <c r="AK13" s="342">
        <f t="shared" si="9"/>
        <v>103.64931605671319</v>
      </c>
      <c r="AL13" s="343">
        <f t="shared" si="14"/>
        <v>110.61967833491013</v>
      </c>
      <c r="AM13" s="343">
        <f t="shared" si="15"/>
        <v>103.78463373637695</v>
      </c>
      <c r="AN13" s="343">
        <f t="shared" si="16"/>
        <v>114.75342954765668</v>
      </c>
    </row>
    <row r="14" spans="1:40" ht="22.5" customHeight="1" x14ac:dyDescent="0.2">
      <c r="A14" s="341">
        <v>5</v>
      </c>
      <c r="B14" s="342" t="s">
        <v>152</v>
      </c>
      <c r="C14" s="342">
        <f t="shared" si="17"/>
        <v>377539</v>
      </c>
      <c r="D14" s="342">
        <f t="shared" si="18"/>
        <v>12158</v>
      </c>
      <c r="E14" s="342">
        <v>1997</v>
      </c>
      <c r="F14" s="342"/>
      <c r="G14" s="342">
        <v>7658</v>
      </c>
      <c r="H14" s="342"/>
      <c r="I14" s="342">
        <v>4500</v>
      </c>
      <c r="J14" s="342">
        <v>302249</v>
      </c>
      <c r="K14" s="342">
        <v>156515</v>
      </c>
      <c r="L14" s="342">
        <v>6275</v>
      </c>
      <c r="M14" s="342">
        <f t="shared" si="19"/>
        <v>56857</v>
      </c>
      <c r="N14" s="342">
        <f t="shared" si="22"/>
        <v>29384</v>
      </c>
      <c r="O14" s="342">
        <f t="shared" si="20"/>
        <v>27473</v>
      </c>
      <c r="P14" s="342">
        <f t="shared" si="21"/>
        <v>410548</v>
      </c>
      <c r="Q14" s="342">
        <f>'Biểu 03'!M10+4595</f>
        <v>22887</v>
      </c>
      <c r="R14" s="342">
        <v>2337</v>
      </c>
      <c r="S14" s="342"/>
      <c r="T14" s="342">
        <f t="shared" si="23"/>
        <v>20765</v>
      </c>
      <c r="U14" s="342"/>
      <c r="V14" s="342">
        <f>'Biểu 03'!M18</f>
        <v>2122</v>
      </c>
      <c r="W14" s="342">
        <f>'Biểu 03'!M37</f>
        <v>323255</v>
      </c>
      <c r="X14" s="342">
        <f>'Biểu 03'!M38</f>
        <v>163602</v>
      </c>
      <c r="Y14" s="342">
        <f t="shared" si="24"/>
        <v>64406</v>
      </c>
      <c r="Z14" s="342">
        <f>'Biểu 03'!M123</f>
        <v>35716</v>
      </c>
      <c r="AA14" s="342">
        <f>'Biểu 03'!M128</f>
        <v>28690</v>
      </c>
      <c r="AB14" s="342">
        <f>'Biểu 03'!M142</f>
        <v>0</v>
      </c>
      <c r="AC14" s="342">
        <f t="shared" si="4"/>
        <v>108.7432026889937</v>
      </c>
      <c r="AD14" s="342">
        <f t="shared" si="5"/>
        <v>188.24642210889948</v>
      </c>
      <c r="AE14" s="342">
        <f t="shared" si="11"/>
        <v>117.02553830746119</v>
      </c>
      <c r="AF14" s="342" t="e">
        <f t="shared" si="12"/>
        <v>#DIV/0!</v>
      </c>
      <c r="AG14" s="342">
        <f t="shared" si="6"/>
        <v>271.15434839383653</v>
      </c>
      <c r="AH14" s="342" t="e">
        <f t="shared" si="13"/>
        <v>#DIV/0!</v>
      </c>
      <c r="AI14" s="342">
        <f t="shared" si="7"/>
        <v>47.155555555555559</v>
      </c>
      <c r="AJ14" s="342">
        <f t="shared" si="8"/>
        <v>106.94989892439676</v>
      </c>
      <c r="AK14" s="342">
        <f t="shared" si="9"/>
        <v>104.52800051113311</v>
      </c>
      <c r="AL14" s="343">
        <f t="shared" si="14"/>
        <v>113.27716903811316</v>
      </c>
      <c r="AM14" s="343">
        <f t="shared" si="15"/>
        <v>121.54914239041655</v>
      </c>
      <c r="AN14" s="343">
        <f t="shared" si="16"/>
        <v>104.42980380737453</v>
      </c>
    </row>
    <row r="15" spans="1:40" ht="22.5" customHeight="1" x14ac:dyDescent="0.2">
      <c r="A15" s="341">
        <v>6</v>
      </c>
      <c r="B15" s="342" t="s">
        <v>153</v>
      </c>
      <c r="C15" s="342">
        <f t="shared" si="17"/>
        <v>259691</v>
      </c>
      <c r="D15" s="342">
        <f t="shared" si="18"/>
        <v>8331</v>
      </c>
      <c r="E15" s="342">
        <v>5443</v>
      </c>
      <c r="F15" s="342"/>
      <c r="G15" s="342">
        <v>7431</v>
      </c>
      <c r="H15" s="342"/>
      <c r="I15" s="342">
        <v>900</v>
      </c>
      <c r="J15" s="342">
        <v>214081</v>
      </c>
      <c r="K15" s="342">
        <v>116216</v>
      </c>
      <c r="L15" s="342">
        <v>4201</v>
      </c>
      <c r="M15" s="342">
        <f t="shared" si="19"/>
        <v>33078</v>
      </c>
      <c r="N15" s="342">
        <f t="shared" si="22"/>
        <v>17215</v>
      </c>
      <c r="O15" s="342">
        <f t="shared" si="20"/>
        <v>15863</v>
      </c>
      <c r="P15" s="342">
        <f t="shared" si="21"/>
        <v>300004</v>
      </c>
      <c r="Q15" s="342">
        <f>'Biểu 03'!AA10+3440</f>
        <v>23269</v>
      </c>
      <c r="R15" s="342">
        <v>5443</v>
      </c>
      <c r="S15" s="342"/>
      <c r="T15" s="342">
        <f t="shared" si="23"/>
        <v>20721</v>
      </c>
      <c r="U15" s="342"/>
      <c r="V15" s="342">
        <f>'Biểu 03'!AA18</f>
        <v>2548</v>
      </c>
      <c r="W15" s="342">
        <f>'Biểu 03'!AA37</f>
        <v>239351</v>
      </c>
      <c r="X15" s="342">
        <f>'Biểu 03'!AA38</f>
        <v>125500</v>
      </c>
      <c r="Y15" s="342">
        <f t="shared" si="24"/>
        <v>37384</v>
      </c>
      <c r="Z15" s="342">
        <f>'Biểu 03'!AA123</f>
        <v>21121</v>
      </c>
      <c r="AA15" s="342">
        <f>'Biểu 03'!AA128</f>
        <v>16263</v>
      </c>
      <c r="AB15" s="342">
        <f>'Biểu 03'!AA141+'Biểu 03'!AA142+'Biểu 03'!AA143</f>
        <v>0</v>
      </c>
      <c r="AC15" s="342">
        <f t="shared" si="4"/>
        <v>115.52344902210704</v>
      </c>
      <c r="AD15" s="342">
        <f t="shared" si="5"/>
        <v>279.30620573760649</v>
      </c>
      <c r="AE15" s="342">
        <f t="shared" si="11"/>
        <v>100</v>
      </c>
      <c r="AF15" s="342" t="e">
        <f t="shared" si="12"/>
        <v>#DIV/0!</v>
      </c>
      <c r="AG15" s="342">
        <f t="shared" si="6"/>
        <v>278.84537747274931</v>
      </c>
      <c r="AH15" s="342" t="e">
        <f t="shared" si="13"/>
        <v>#DIV/0!</v>
      </c>
      <c r="AI15" s="342">
        <f t="shared" si="7"/>
        <v>283.11111111111109</v>
      </c>
      <c r="AJ15" s="342">
        <f t="shared" si="8"/>
        <v>111.80394336723016</v>
      </c>
      <c r="AK15" s="342">
        <f t="shared" si="9"/>
        <v>107.98857300199629</v>
      </c>
      <c r="AL15" s="343">
        <f t="shared" si="14"/>
        <v>113.01771570227945</v>
      </c>
      <c r="AM15" s="343">
        <f t="shared" si="15"/>
        <v>122.68951495788556</v>
      </c>
      <c r="AN15" s="343">
        <f t="shared" si="16"/>
        <v>102.52159112399923</v>
      </c>
    </row>
    <row r="16" spans="1:40" ht="22.5" customHeight="1" x14ac:dyDescent="0.2">
      <c r="A16" s="341">
        <v>7</v>
      </c>
      <c r="B16" s="342" t="s">
        <v>154</v>
      </c>
      <c r="C16" s="342">
        <f t="shared" si="17"/>
        <v>397794</v>
      </c>
      <c r="D16" s="342">
        <f t="shared" si="18"/>
        <v>16810</v>
      </c>
      <c r="E16" s="342">
        <v>2499</v>
      </c>
      <c r="F16" s="342"/>
      <c r="G16" s="342">
        <v>10870</v>
      </c>
      <c r="H16" s="342"/>
      <c r="I16" s="342">
        <v>5940</v>
      </c>
      <c r="J16" s="342">
        <v>303563</v>
      </c>
      <c r="K16" s="342">
        <v>167940</v>
      </c>
      <c r="L16" s="342">
        <v>6582</v>
      </c>
      <c r="M16" s="342">
        <f t="shared" si="19"/>
        <v>70839</v>
      </c>
      <c r="N16" s="342">
        <f t="shared" si="22"/>
        <v>46847</v>
      </c>
      <c r="O16" s="342">
        <f t="shared" si="20"/>
        <v>23992</v>
      </c>
      <c r="P16" s="342">
        <f t="shared" si="21"/>
        <v>437510</v>
      </c>
      <c r="Q16" s="342">
        <f>'Biểu 03'!Y10+4647</f>
        <v>17717</v>
      </c>
      <c r="R16" s="342">
        <v>2499</v>
      </c>
      <c r="S16" s="342"/>
      <c r="T16" s="342">
        <f t="shared" si="23"/>
        <v>15517</v>
      </c>
      <c r="U16" s="342"/>
      <c r="V16" s="342">
        <f>'Biểu 03'!Y18</f>
        <v>2200</v>
      </c>
      <c r="W16" s="342">
        <f>'Biểu 03'!Y37</f>
        <v>330551</v>
      </c>
      <c r="X16" s="342">
        <f>'Biểu 03'!Y38</f>
        <v>176381</v>
      </c>
      <c r="Y16" s="342">
        <f t="shared" si="24"/>
        <v>89242</v>
      </c>
      <c r="Z16" s="342">
        <f>'Biểu 03'!Y123</f>
        <v>57381</v>
      </c>
      <c r="AA16" s="342">
        <f>'Biểu 03'!Y128</f>
        <v>30019</v>
      </c>
      <c r="AB16" s="342">
        <f>'Biểu 03'!Y143</f>
        <v>1842</v>
      </c>
      <c r="AC16" s="342">
        <f t="shared" si="4"/>
        <v>109.98406210249524</v>
      </c>
      <c r="AD16" s="342">
        <f t="shared" si="5"/>
        <v>105.39559785841762</v>
      </c>
      <c r="AE16" s="342">
        <f t="shared" si="11"/>
        <v>100</v>
      </c>
      <c r="AF16" s="342" t="e">
        <f t="shared" si="12"/>
        <v>#DIV/0!</v>
      </c>
      <c r="AG16" s="342">
        <f t="shared" si="6"/>
        <v>142.75068997240109</v>
      </c>
      <c r="AH16" s="342" t="e">
        <f t="shared" si="13"/>
        <v>#DIV/0!</v>
      </c>
      <c r="AI16" s="342">
        <f t="shared" si="7"/>
        <v>37.037037037037038</v>
      </c>
      <c r="AJ16" s="342">
        <f t="shared" si="8"/>
        <v>108.89041154554408</v>
      </c>
      <c r="AK16" s="342">
        <f t="shared" si="9"/>
        <v>105.02619983327379</v>
      </c>
      <c r="AL16" s="343">
        <f t="shared" si="14"/>
        <v>125.97862759214557</v>
      </c>
      <c r="AM16" s="343">
        <f t="shared" si="15"/>
        <v>122.48596494972996</v>
      </c>
      <c r="AN16" s="343">
        <f t="shared" si="16"/>
        <v>125.12087362454152</v>
      </c>
    </row>
    <row r="17" spans="1:40" ht="22.5" customHeight="1" x14ac:dyDescent="0.2">
      <c r="A17" s="344">
        <v>8</v>
      </c>
      <c r="B17" s="345" t="s">
        <v>155</v>
      </c>
      <c r="C17" s="345">
        <f t="shared" si="17"/>
        <v>299630</v>
      </c>
      <c r="D17" s="345">
        <f t="shared" si="18"/>
        <v>10564</v>
      </c>
      <c r="E17" s="345">
        <v>9244</v>
      </c>
      <c r="F17" s="345"/>
      <c r="G17" s="345">
        <v>8224</v>
      </c>
      <c r="H17" s="345"/>
      <c r="I17" s="345">
        <v>2340</v>
      </c>
      <c r="J17" s="345">
        <v>225798</v>
      </c>
      <c r="K17" s="345">
        <v>131944</v>
      </c>
      <c r="L17" s="345">
        <v>4741</v>
      </c>
      <c r="M17" s="345">
        <f>N17+O17</f>
        <v>58527</v>
      </c>
      <c r="N17" s="345">
        <f t="shared" si="22"/>
        <v>39800</v>
      </c>
      <c r="O17" s="345">
        <f t="shared" si="20"/>
        <v>18727</v>
      </c>
      <c r="P17" s="345">
        <f>Q17+W17+Y17</f>
        <v>344038</v>
      </c>
      <c r="Q17" s="345">
        <f>'Biểu 03'!W10+955</f>
        <v>15537</v>
      </c>
      <c r="R17" s="345">
        <v>9070</v>
      </c>
      <c r="S17" s="345"/>
      <c r="T17" s="345">
        <f>Q17-V17</f>
        <v>10026</v>
      </c>
      <c r="U17" s="345"/>
      <c r="V17" s="345">
        <f>'Biểu 03'!W18</f>
        <v>5511</v>
      </c>
      <c r="W17" s="345">
        <f>'Biểu 03'!W37</f>
        <v>260063</v>
      </c>
      <c r="X17" s="345">
        <f>'Biểu 03'!W38</f>
        <v>133105</v>
      </c>
      <c r="Y17" s="345">
        <f>SUM(Z17:AB17)</f>
        <v>68438</v>
      </c>
      <c r="Z17" s="345">
        <f>'Biểu 03'!W123</f>
        <v>49393</v>
      </c>
      <c r="AA17" s="345">
        <f>'Biểu 03'!W128</f>
        <v>18632</v>
      </c>
      <c r="AB17" s="345">
        <f>'Biểu 03'!W143</f>
        <v>413</v>
      </c>
      <c r="AC17" s="345">
        <f t="shared" si="4"/>
        <v>114.82094583319426</v>
      </c>
      <c r="AD17" s="345">
        <f t="shared" si="5"/>
        <v>147.07497160166602</v>
      </c>
      <c r="AE17" s="345">
        <f t="shared" si="11"/>
        <v>98.117697966248372</v>
      </c>
      <c r="AF17" s="345" t="e">
        <f t="shared" si="12"/>
        <v>#DIV/0!</v>
      </c>
      <c r="AG17" s="345">
        <f t="shared" si="6"/>
        <v>121.91147859922179</v>
      </c>
      <c r="AH17" s="345" t="e">
        <f t="shared" si="13"/>
        <v>#DIV/0!</v>
      </c>
      <c r="AI17" s="345">
        <f t="shared" si="7"/>
        <v>235.51282051282053</v>
      </c>
      <c r="AJ17" s="345">
        <f t="shared" si="8"/>
        <v>115.17506798111587</v>
      </c>
      <c r="AK17" s="345">
        <f t="shared" si="9"/>
        <v>100.87991875341054</v>
      </c>
      <c r="AL17" s="346">
        <f t="shared" si="14"/>
        <v>116.93406461974816</v>
      </c>
      <c r="AM17" s="346">
        <f t="shared" si="15"/>
        <v>124.10301507537689</v>
      </c>
      <c r="AN17" s="346">
        <f t="shared" si="16"/>
        <v>99.492711058898919</v>
      </c>
    </row>
    <row r="18" spans="1:40" ht="15.75" hidden="1" customHeight="1" x14ac:dyDescent="0.2">
      <c r="A18" s="1284"/>
      <c r="J18" s="1285"/>
      <c r="K18" s="1285"/>
      <c r="L18" s="1285"/>
      <c r="M18" s="1285"/>
    </row>
    <row r="19" spans="1:40" hidden="1" x14ac:dyDescent="0.2">
      <c r="A19" s="1286"/>
      <c r="C19" s="339" t="s">
        <v>870</v>
      </c>
      <c r="E19" s="1287" t="s">
        <v>1303</v>
      </c>
      <c r="G19" s="2079" t="s">
        <v>1287</v>
      </c>
      <c r="H19" s="2079"/>
      <c r="I19" s="2079"/>
      <c r="J19" s="2080" t="s">
        <v>1288</v>
      </c>
      <c r="K19" s="2080"/>
      <c r="L19" s="2080"/>
      <c r="M19" s="2080"/>
      <c r="N19" s="2080"/>
      <c r="O19" s="2080"/>
      <c r="P19" s="339" t="s">
        <v>1295</v>
      </c>
      <c r="Q19" s="2079" t="s">
        <v>1296</v>
      </c>
      <c r="R19" s="2079"/>
      <c r="S19" s="2079"/>
      <c r="T19" s="2079"/>
      <c r="W19" s="1287" t="s">
        <v>1302</v>
      </c>
    </row>
    <row r="20" spans="1:40" hidden="1" x14ac:dyDescent="0.2">
      <c r="A20" s="1286"/>
      <c r="C20" s="1288"/>
      <c r="G20" s="2079" t="s">
        <v>1285</v>
      </c>
      <c r="I20" s="2079" t="s">
        <v>1286</v>
      </c>
      <c r="J20" s="2079" t="s">
        <v>1289</v>
      </c>
      <c r="K20" s="2079"/>
      <c r="L20" s="2079"/>
      <c r="M20" s="2079"/>
      <c r="N20" s="339" t="s">
        <v>1294</v>
      </c>
      <c r="O20" s="339" t="s">
        <v>1298</v>
      </c>
      <c r="P20" s="1289" t="s">
        <v>1297</v>
      </c>
      <c r="Q20" s="339" t="s">
        <v>1299</v>
      </c>
      <c r="R20" s="339" t="s">
        <v>1300</v>
      </c>
      <c r="T20" s="339" t="s">
        <v>1301</v>
      </c>
    </row>
    <row r="21" spans="1:40" hidden="1" x14ac:dyDescent="0.2">
      <c r="A21" s="1286"/>
      <c r="C21" s="1288"/>
      <c r="G21" s="2079"/>
      <c r="I21" s="2079"/>
      <c r="J21" s="1289" t="s">
        <v>1290</v>
      </c>
      <c r="K21" s="1289" t="s">
        <v>1291</v>
      </c>
      <c r="L21" s="1289" t="s">
        <v>1292</v>
      </c>
      <c r="M21" s="1289" t="s">
        <v>1293</v>
      </c>
    </row>
    <row r="22" spans="1:40" ht="25.5" hidden="1" customHeight="1" x14ac:dyDescent="0.2">
      <c r="A22" s="1286"/>
      <c r="C22" s="1288" t="s">
        <v>61</v>
      </c>
      <c r="E22" s="1290">
        <f t="shared" ref="E22:E29" si="25">G22+I22+J22+N22+O22</f>
        <v>179267</v>
      </c>
      <c r="G22" s="339">
        <f>SUM(G23:G30)</f>
        <v>91767</v>
      </c>
      <c r="H22" s="339">
        <f t="shared" ref="H22:I22" si="26">SUM(H23:H30)</f>
        <v>0</v>
      </c>
      <c r="I22" s="339">
        <f t="shared" si="26"/>
        <v>36406</v>
      </c>
      <c r="J22" s="339">
        <f t="shared" ref="J22" si="27">SUM(J23:J30)</f>
        <v>29134</v>
      </c>
      <c r="K22" s="339">
        <f t="shared" ref="K22" si="28">SUM(K23:K30)</f>
        <v>5205</v>
      </c>
      <c r="L22" s="339">
        <f t="shared" ref="L22" si="29">SUM(L23:L30)</f>
        <v>19143</v>
      </c>
      <c r="M22" s="339">
        <f t="shared" ref="M22" si="30">SUM(M23:M30)</f>
        <v>4786</v>
      </c>
      <c r="N22" s="339">
        <f>SUM(N23:N30)</f>
        <v>20519</v>
      </c>
      <c r="O22" s="339">
        <f t="shared" ref="O22:U22" si="31">SUM(O23:O30)</f>
        <v>1441</v>
      </c>
      <c r="P22" s="339">
        <f t="shared" si="31"/>
        <v>110900</v>
      </c>
      <c r="Q22" s="339">
        <f>SUM(Q23:Q30)</f>
        <v>23685</v>
      </c>
      <c r="R22" s="339">
        <f t="shared" si="31"/>
        <v>2750</v>
      </c>
      <c r="S22" s="339">
        <f t="shared" si="31"/>
        <v>0</v>
      </c>
      <c r="T22" s="339">
        <f>SUM(T23:T30)</f>
        <v>46</v>
      </c>
      <c r="U22" s="339">
        <f t="shared" si="31"/>
        <v>0</v>
      </c>
      <c r="W22" s="1290">
        <f>P22+Q22+R22+T22</f>
        <v>137381</v>
      </c>
      <c r="Z22" s="339">
        <f>W22+'Biểu 22'!D34</f>
        <v>152700</v>
      </c>
    </row>
    <row r="23" spans="1:40" ht="33.75" hidden="1" x14ac:dyDescent="0.2">
      <c r="B23" s="341">
        <v>1</v>
      </c>
      <c r="C23" s="342" t="s">
        <v>148</v>
      </c>
      <c r="E23" s="1290">
        <f t="shared" si="25"/>
        <v>329</v>
      </c>
      <c r="G23" s="339">
        <v>242</v>
      </c>
      <c r="J23" s="339">
        <f>K23+L23+M23</f>
        <v>52</v>
      </c>
      <c r="K23" s="339">
        <v>12</v>
      </c>
      <c r="L23" s="339">
        <v>40</v>
      </c>
      <c r="N23" s="339">
        <v>35</v>
      </c>
      <c r="P23" s="339">
        <v>680</v>
      </c>
      <c r="Q23" s="339">
        <v>1135</v>
      </c>
      <c r="R23" s="339">
        <v>10</v>
      </c>
      <c r="T23" s="339">
        <v>3</v>
      </c>
      <c r="W23" s="1290">
        <f>P23+Q23+R23+T23</f>
        <v>1828</v>
      </c>
      <c r="Z23" s="339">
        <f>E22+'Biểu 22'!D31</f>
        <v>185409</v>
      </c>
    </row>
    <row r="24" spans="1:40" ht="33.75" hidden="1" x14ac:dyDescent="0.2">
      <c r="B24" s="341">
        <v>2</v>
      </c>
      <c r="C24" s="342" t="s">
        <v>149</v>
      </c>
      <c r="E24" s="1290">
        <f t="shared" si="25"/>
        <v>12989</v>
      </c>
      <c r="G24" s="339">
        <v>9707</v>
      </c>
      <c r="J24" s="339">
        <f t="shared" ref="J24:J30" si="32">K24+L24+M24</f>
        <v>2992</v>
      </c>
      <c r="K24" s="339">
        <v>524</v>
      </c>
      <c r="L24" s="339">
        <v>1951</v>
      </c>
      <c r="M24" s="339">
        <v>517</v>
      </c>
      <c r="N24" s="339">
        <v>290</v>
      </c>
      <c r="P24" s="339">
        <v>12722</v>
      </c>
      <c r="Q24" s="339">
        <v>3655</v>
      </c>
      <c r="R24" s="339">
        <v>480</v>
      </c>
      <c r="T24" s="339">
        <v>5</v>
      </c>
      <c r="W24" s="1290">
        <f t="shared" ref="W24:W30" si="33">P24+Q24+R24+T24</f>
        <v>16862</v>
      </c>
      <c r="Z24" s="339">
        <f>Z23+Z22</f>
        <v>338109</v>
      </c>
    </row>
    <row r="25" spans="1:40" ht="22.5" hidden="1" x14ac:dyDescent="0.2">
      <c r="B25" s="341">
        <v>3</v>
      </c>
      <c r="C25" s="342" t="s">
        <v>385</v>
      </c>
      <c r="E25" s="1290">
        <f t="shared" si="25"/>
        <v>14260</v>
      </c>
      <c r="G25" s="339">
        <v>10919</v>
      </c>
      <c r="J25" s="339">
        <f t="shared" si="32"/>
        <v>3056</v>
      </c>
      <c r="K25" s="339">
        <v>565</v>
      </c>
      <c r="L25" s="339">
        <v>1975</v>
      </c>
      <c r="M25" s="339">
        <v>516</v>
      </c>
      <c r="N25" s="339">
        <v>285</v>
      </c>
      <c r="P25" s="339">
        <v>9196</v>
      </c>
      <c r="Q25" s="339">
        <v>3550</v>
      </c>
      <c r="R25" s="339">
        <v>275</v>
      </c>
      <c r="T25" s="339">
        <v>6</v>
      </c>
      <c r="W25" s="1290">
        <f t="shared" si="33"/>
        <v>13027</v>
      </c>
      <c r="Z25" s="339">
        <v>338109</v>
      </c>
    </row>
    <row r="26" spans="1:40" ht="22.5" hidden="1" x14ac:dyDescent="0.2">
      <c r="B26" s="341">
        <v>4</v>
      </c>
      <c r="C26" s="342" t="s">
        <v>151</v>
      </c>
      <c r="E26" s="1290">
        <f t="shared" si="25"/>
        <v>18443</v>
      </c>
      <c r="G26" s="339">
        <v>13664</v>
      </c>
      <c r="J26" s="339">
        <f t="shared" si="32"/>
        <v>4469</v>
      </c>
      <c r="K26" s="339">
        <v>805</v>
      </c>
      <c r="L26" s="339">
        <v>2913</v>
      </c>
      <c r="M26" s="339">
        <v>751</v>
      </c>
      <c r="N26" s="339">
        <v>310</v>
      </c>
      <c r="P26" s="339">
        <v>16697</v>
      </c>
      <c r="Q26" s="339">
        <v>2600</v>
      </c>
      <c r="R26" s="339">
        <v>305</v>
      </c>
      <c r="T26" s="339">
        <v>7</v>
      </c>
      <c r="W26" s="1290">
        <f t="shared" si="33"/>
        <v>19609</v>
      </c>
      <c r="Z26" s="339">
        <f>Z25-Z24</f>
        <v>0</v>
      </c>
    </row>
    <row r="27" spans="1:40" ht="22.5" hidden="1" x14ac:dyDescent="0.2">
      <c r="B27" s="341">
        <v>5</v>
      </c>
      <c r="C27" s="342" t="s">
        <v>152</v>
      </c>
      <c r="E27" s="1290">
        <f t="shared" si="25"/>
        <v>29384</v>
      </c>
      <c r="G27" s="339">
        <v>22578</v>
      </c>
      <c r="J27" s="339">
        <f>K27+L27+M27</f>
        <v>6706</v>
      </c>
      <c r="K27" s="339">
        <v>1162</v>
      </c>
      <c r="L27" s="339">
        <v>4395</v>
      </c>
      <c r="M27" s="339">
        <v>1149</v>
      </c>
      <c r="N27" s="339">
        <v>100</v>
      </c>
      <c r="P27" s="339">
        <v>24548</v>
      </c>
      <c r="Q27" s="339">
        <v>2615</v>
      </c>
      <c r="R27" s="339">
        <v>305</v>
      </c>
      <c r="T27" s="339">
        <v>5</v>
      </c>
      <c r="W27" s="1290">
        <f t="shared" si="33"/>
        <v>27473</v>
      </c>
      <c r="Y27" s="1291"/>
    </row>
    <row r="28" spans="1:40" ht="22.5" hidden="1" x14ac:dyDescent="0.2">
      <c r="B28" s="341">
        <v>6</v>
      </c>
      <c r="C28" s="342" t="s">
        <v>153</v>
      </c>
      <c r="E28" s="1290">
        <f t="shared" si="25"/>
        <v>17215</v>
      </c>
      <c r="G28" s="339">
        <v>13043</v>
      </c>
      <c r="J28" s="339">
        <f t="shared" si="32"/>
        <v>4107</v>
      </c>
      <c r="K28" s="339">
        <v>718</v>
      </c>
      <c r="L28" s="339">
        <v>2740</v>
      </c>
      <c r="M28" s="339">
        <v>649</v>
      </c>
      <c r="N28" s="339">
        <v>65</v>
      </c>
      <c r="P28" s="339">
        <v>12616</v>
      </c>
      <c r="Q28" s="339">
        <v>2790</v>
      </c>
      <c r="R28" s="339">
        <v>450</v>
      </c>
      <c r="T28" s="339">
        <v>7</v>
      </c>
      <c r="W28" s="1290">
        <f t="shared" si="33"/>
        <v>15863</v>
      </c>
    </row>
    <row r="29" spans="1:40" ht="22.5" hidden="1" x14ac:dyDescent="0.2">
      <c r="B29" s="341">
        <v>7</v>
      </c>
      <c r="C29" s="342" t="s">
        <v>154</v>
      </c>
      <c r="E29" s="1290">
        <f t="shared" si="25"/>
        <v>46847</v>
      </c>
      <c r="G29" s="339">
        <v>12808</v>
      </c>
      <c r="I29" s="339">
        <v>18917</v>
      </c>
      <c r="J29" s="339">
        <f t="shared" si="32"/>
        <v>4301</v>
      </c>
      <c r="K29" s="339">
        <v>799</v>
      </c>
      <c r="L29" s="339">
        <v>2830</v>
      </c>
      <c r="M29" s="339">
        <v>672</v>
      </c>
      <c r="N29" s="339">
        <v>10121</v>
      </c>
      <c r="O29" s="339">
        <v>700</v>
      </c>
      <c r="P29" s="339">
        <v>20460</v>
      </c>
      <c r="Q29" s="339">
        <v>3250</v>
      </c>
      <c r="R29" s="339">
        <v>275</v>
      </c>
      <c r="T29" s="339">
        <v>7</v>
      </c>
      <c r="W29" s="1290">
        <f t="shared" si="33"/>
        <v>23992</v>
      </c>
    </row>
    <row r="30" spans="1:40" ht="22.5" hidden="1" x14ac:dyDescent="0.2">
      <c r="B30" s="344">
        <v>8</v>
      </c>
      <c r="C30" s="345" t="s">
        <v>155</v>
      </c>
      <c r="E30" s="1290">
        <f>G30+I30+J30+N30+O30</f>
        <v>39800</v>
      </c>
      <c r="G30" s="339">
        <v>8806</v>
      </c>
      <c r="I30" s="339">
        <v>17489</v>
      </c>
      <c r="J30" s="339">
        <f t="shared" si="32"/>
        <v>3451</v>
      </c>
      <c r="K30" s="339">
        <v>620</v>
      </c>
      <c r="L30" s="339">
        <v>2299</v>
      </c>
      <c r="M30" s="339">
        <v>532</v>
      </c>
      <c r="N30" s="339">
        <v>9313</v>
      </c>
      <c r="O30" s="339">
        <v>741</v>
      </c>
      <c r="P30" s="339">
        <v>13981</v>
      </c>
      <c r="Q30" s="339">
        <v>4090</v>
      </c>
      <c r="R30" s="339">
        <v>650</v>
      </c>
      <c r="T30" s="339">
        <v>6</v>
      </c>
      <c r="W30" s="1290">
        <f t="shared" si="33"/>
        <v>18727</v>
      </c>
    </row>
    <row r="31" spans="1:40" hidden="1" x14ac:dyDescent="0.2"/>
    <row r="32" spans="1:40" hidden="1" x14ac:dyDescent="0.2"/>
  </sheetData>
  <mergeCells count="44">
    <mergeCell ref="A2:AN2"/>
    <mergeCell ref="Q19:T19"/>
    <mergeCell ref="J19:O19"/>
    <mergeCell ref="G19:I19"/>
    <mergeCell ref="J20:M20"/>
    <mergeCell ref="G20:G21"/>
    <mergeCell ref="I20:I21"/>
    <mergeCell ref="A4:A7"/>
    <mergeCell ref="B4:B7"/>
    <mergeCell ref="C5:C7"/>
    <mergeCell ref="D5:I5"/>
    <mergeCell ref="J5:J7"/>
    <mergeCell ref="AI6:AI7"/>
    <mergeCell ref="AD5:AI5"/>
    <mergeCell ref="D6:D7"/>
    <mergeCell ref="E6:F6"/>
    <mergeCell ref="G6:G7"/>
    <mergeCell ref="T6:T7"/>
    <mergeCell ref="X6:X7"/>
    <mergeCell ref="H6:H7"/>
    <mergeCell ref="I6:I7"/>
    <mergeCell ref="Q6:Q7"/>
    <mergeCell ref="L5:L7"/>
    <mergeCell ref="R6:S6"/>
    <mergeCell ref="P5:P7"/>
    <mergeCell ref="Q5:V5"/>
    <mergeCell ref="U6:U7"/>
    <mergeCell ref="V6:V7"/>
    <mergeCell ref="A1:AN1"/>
    <mergeCell ref="AK5:AK6"/>
    <mergeCell ref="K5:K6"/>
    <mergeCell ref="C4:O4"/>
    <mergeCell ref="M5:O6"/>
    <mergeCell ref="P4:AB4"/>
    <mergeCell ref="Y5:AB6"/>
    <mergeCell ref="AC4:AN4"/>
    <mergeCell ref="AL5:AN6"/>
    <mergeCell ref="AE6:AF6"/>
    <mergeCell ref="AG6:AG7"/>
    <mergeCell ref="AH6:AH7"/>
    <mergeCell ref="AC5:AC7"/>
    <mergeCell ref="AJ5:AJ7"/>
    <mergeCell ref="W5:W7"/>
    <mergeCell ref="AD6:AD7"/>
  </mergeCells>
  <pageMargins left="0.34" right="0.24" top="0.75" bottom="1.22" header="0.3" footer="0.81"/>
  <pageSetup paperSize="9" scale="72" firstPageNumber="109" orientation="landscape" useFirstPageNumber="1" r:id="rId1"/>
  <headerFooter>
    <oddHeader>&amp;RBiểu mẫu số 27</oddHeader>
    <oddFooter>&amp;C&amp;P</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F39"/>
  <sheetViews>
    <sheetView workbookViewId="0">
      <selection activeCell="I36" sqref="I28:I36"/>
    </sheetView>
  </sheetViews>
  <sheetFormatPr defaultRowHeight="15.75" x14ac:dyDescent="0.25"/>
  <cols>
    <col min="1" max="1" width="5.75" style="963" customWidth="1"/>
    <col min="2" max="2" width="39.125" style="963" customWidth="1"/>
    <col min="3" max="4" width="11.125" style="963" customWidth="1"/>
    <col min="5" max="5" width="8.25" style="963" hidden="1" customWidth="1"/>
    <col min="6" max="16384" width="9" style="963"/>
  </cols>
  <sheetData>
    <row r="1" spans="1:6" ht="18" customHeight="1" x14ac:dyDescent="0.25">
      <c r="A1" s="1485"/>
      <c r="B1" s="1485"/>
      <c r="C1" s="1485"/>
      <c r="D1" s="1485"/>
      <c r="E1" s="1485"/>
      <c r="F1" s="1492" t="s">
        <v>350</v>
      </c>
    </row>
    <row r="2" spans="1:6" ht="35.25" customHeight="1" x14ac:dyDescent="0.25">
      <c r="A2" s="2081" t="s">
        <v>1921</v>
      </c>
      <c r="B2" s="2081"/>
      <c r="C2" s="2081"/>
      <c r="D2" s="2081"/>
      <c r="E2" s="2081"/>
      <c r="F2" s="2081"/>
    </row>
    <row r="3" spans="1:6" ht="15.75" customHeight="1" x14ac:dyDescent="0.25">
      <c r="A3" s="2081" t="s">
        <v>351</v>
      </c>
      <c r="B3" s="2081"/>
      <c r="C3" s="2081"/>
      <c r="D3" s="2081"/>
      <c r="E3" s="2081"/>
      <c r="F3" s="2081"/>
    </row>
    <row r="4" spans="1:6" ht="18.75" customHeight="1" x14ac:dyDescent="0.25">
      <c r="A4" s="2082" t="str">
        <f>'Biểu 27'!A2:AN2</f>
        <v>(Kèm theo Báo cáo số              /BC-UBND ngày       tháng 11 năm 2018 của UBND tỉnh Bắc Kạn)</v>
      </c>
      <c r="B4" s="2083"/>
      <c r="C4" s="2083"/>
      <c r="D4" s="2083"/>
      <c r="E4" s="2083"/>
      <c r="F4" s="2083"/>
    </row>
    <row r="5" spans="1:6" x14ac:dyDescent="0.25">
      <c r="A5" s="1485"/>
      <c r="B5" s="1485"/>
      <c r="C5" s="1485"/>
      <c r="D5" s="1485"/>
      <c r="E5" s="1485"/>
      <c r="F5" s="1493" t="s">
        <v>6</v>
      </c>
    </row>
    <row r="6" spans="1:6" ht="50.25" customHeight="1" x14ac:dyDescent="0.25">
      <c r="A6" s="1486" t="s">
        <v>0</v>
      </c>
      <c r="B6" s="1486" t="s">
        <v>1</v>
      </c>
      <c r="C6" s="1490" t="s">
        <v>1382</v>
      </c>
      <c r="D6" s="1490" t="s">
        <v>1255</v>
      </c>
      <c r="E6" s="1490" t="s">
        <v>1501</v>
      </c>
      <c r="F6" s="1488" t="s">
        <v>43</v>
      </c>
    </row>
    <row r="7" spans="1:6" x14ac:dyDescent="0.25">
      <c r="A7" s="1486" t="s">
        <v>2</v>
      </c>
      <c r="B7" s="1486" t="s">
        <v>3</v>
      </c>
      <c r="C7" s="1490">
        <v>1</v>
      </c>
      <c r="D7" s="1490">
        <v>2</v>
      </c>
      <c r="E7" s="1490"/>
      <c r="F7" s="1488" t="s">
        <v>352</v>
      </c>
    </row>
    <row r="8" spans="1:6" x14ac:dyDescent="0.25">
      <c r="A8" s="1486"/>
      <c r="B8" s="1487" t="s">
        <v>89</v>
      </c>
      <c r="C8" s="1491">
        <f>C9+C16+C17+C18+C24+C26+C28+C36+C38</f>
        <v>311338</v>
      </c>
      <c r="D8" s="1491">
        <f>D9+D16+D17+D18+D24+D26+D28+D36+D38</f>
        <v>294482</v>
      </c>
      <c r="E8" s="1491"/>
      <c r="F8" s="1489">
        <f>D8/C8*100</f>
        <v>94.585948390495219</v>
      </c>
    </row>
    <row r="9" spans="1:6" x14ac:dyDescent="0.25">
      <c r="A9" s="1653">
        <v>1</v>
      </c>
      <c r="B9" s="1805" t="s">
        <v>353</v>
      </c>
      <c r="C9" s="1806">
        <v>10391</v>
      </c>
      <c r="D9" s="1806">
        <v>11491</v>
      </c>
      <c r="E9" s="1806">
        <v>16400</v>
      </c>
      <c r="F9" s="1807">
        <v>110.58608411125013</v>
      </c>
    </row>
    <row r="10" spans="1:6" hidden="1" x14ac:dyDescent="0.25">
      <c r="A10" s="1654" t="s">
        <v>23</v>
      </c>
      <c r="B10" s="1658" t="s">
        <v>354</v>
      </c>
      <c r="C10" s="1656">
        <v>1696</v>
      </c>
      <c r="D10" s="1656">
        <v>1696</v>
      </c>
      <c r="E10" s="1656">
        <v>2908</v>
      </c>
      <c r="F10" s="1808"/>
    </row>
    <row r="11" spans="1:6" hidden="1" x14ac:dyDescent="0.25">
      <c r="A11" s="1654"/>
      <c r="B11" s="1658" t="s">
        <v>1126</v>
      </c>
      <c r="C11" s="1656">
        <v>1696</v>
      </c>
      <c r="D11" s="1656">
        <v>1696</v>
      </c>
      <c r="E11" s="1656">
        <v>2908</v>
      </c>
      <c r="F11" s="1808"/>
    </row>
    <row r="12" spans="1:6" hidden="1" x14ac:dyDescent="0.25">
      <c r="A12" s="1654" t="s">
        <v>23</v>
      </c>
      <c r="B12" s="1658" t="s">
        <v>355</v>
      </c>
      <c r="C12" s="1656">
        <v>8695</v>
      </c>
      <c r="D12" s="1656">
        <v>9795</v>
      </c>
      <c r="E12" s="1656">
        <v>13492</v>
      </c>
      <c r="F12" s="1808"/>
    </row>
    <row r="13" spans="1:6" hidden="1" x14ac:dyDescent="0.25">
      <c r="A13" s="1654"/>
      <c r="B13" s="1658" t="s">
        <v>1922</v>
      </c>
      <c r="C13" s="1656">
        <v>5030</v>
      </c>
      <c r="D13" s="1656">
        <v>5500</v>
      </c>
      <c r="E13" s="1656">
        <v>9220</v>
      </c>
      <c r="F13" s="1808"/>
    </row>
    <row r="14" spans="1:6" hidden="1" x14ac:dyDescent="0.25">
      <c r="A14" s="1654"/>
      <c r="B14" s="1658" t="s">
        <v>1923</v>
      </c>
      <c r="C14" s="1656">
        <v>1795</v>
      </c>
      <c r="D14" s="1656">
        <v>1795</v>
      </c>
      <c r="E14" s="1656">
        <v>1800</v>
      </c>
      <c r="F14" s="1808"/>
    </row>
    <row r="15" spans="1:6" hidden="1" x14ac:dyDescent="0.25">
      <c r="A15" s="1654"/>
      <c r="B15" s="1658" t="s">
        <v>1924</v>
      </c>
      <c r="C15" s="1656">
        <v>1870</v>
      </c>
      <c r="D15" s="1656">
        <v>2500</v>
      </c>
      <c r="E15" s="1656">
        <v>2472</v>
      </c>
      <c r="F15" s="1808"/>
    </row>
    <row r="16" spans="1:6" x14ac:dyDescent="0.25">
      <c r="A16" s="1654">
        <v>2</v>
      </c>
      <c r="B16" s="1655" t="s">
        <v>356</v>
      </c>
      <c r="C16" s="1656">
        <v>80</v>
      </c>
      <c r="D16" s="1656">
        <v>110</v>
      </c>
      <c r="E16" s="1656">
        <v>220</v>
      </c>
      <c r="F16" s="1808"/>
    </row>
    <row r="17" spans="1:6" x14ac:dyDescent="0.25">
      <c r="A17" s="1654">
        <v>3</v>
      </c>
      <c r="B17" s="1655" t="s">
        <v>357</v>
      </c>
      <c r="C17" s="1656">
        <v>281984</v>
      </c>
      <c r="D17" s="1656">
        <v>262892</v>
      </c>
      <c r="E17" s="1656">
        <v>271046</v>
      </c>
      <c r="F17" s="1808"/>
    </row>
    <row r="18" spans="1:6" x14ac:dyDescent="0.25">
      <c r="A18" s="1654">
        <v>4</v>
      </c>
      <c r="B18" s="1655" t="s">
        <v>358</v>
      </c>
      <c r="C18" s="1656">
        <v>3707</v>
      </c>
      <c r="D18" s="1656">
        <v>4049</v>
      </c>
      <c r="E18" s="1656">
        <v>4121</v>
      </c>
      <c r="F18" s="1808">
        <v>109.22578904774751</v>
      </c>
    </row>
    <row r="19" spans="1:6" hidden="1" x14ac:dyDescent="0.25">
      <c r="A19" s="1809"/>
      <c r="B19" s="1658" t="s">
        <v>1925</v>
      </c>
      <c r="C19" s="1810">
        <v>200</v>
      </c>
      <c r="D19" s="1810">
        <v>200</v>
      </c>
      <c r="E19" s="1810">
        <v>223</v>
      </c>
      <c r="F19" s="1811"/>
    </row>
    <row r="20" spans="1:6" hidden="1" x14ac:dyDescent="0.25">
      <c r="A20" s="1809"/>
      <c r="B20" s="1658" t="s">
        <v>1926</v>
      </c>
      <c r="C20" s="1810">
        <v>50</v>
      </c>
      <c r="D20" s="1810">
        <v>50</v>
      </c>
      <c r="E20" s="1810">
        <v>79</v>
      </c>
      <c r="F20" s="1811"/>
    </row>
    <row r="21" spans="1:6" hidden="1" x14ac:dyDescent="0.25">
      <c r="A21" s="1809"/>
      <c r="B21" s="1658" t="s">
        <v>1927</v>
      </c>
      <c r="C21" s="1810">
        <v>220</v>
      </c>
      <c r="D21" s="1810">
        <v>220</v>
      </c>
      <c r="E21" s="1810">
        <v>220</v>
      </c>
      <c r="F21" s="1811"/>
    </row>
    <row r="22" spans="1:6" hidden="1" x14ac:dyDescent="0.25">
      <c r="A22" s="1809"/>
      <c r="B22" s="1658" t="s">
        <v>820</v>
      </c>
      <c r="C22" s="1810">
        <v>2417</v>
      </c>
      <c r="D22" s="1810">
        <v>2417</v>
      </c>
      <c r="E22" s="1810">
        <v>2417</v>
      </c>
      <c r="F22" s="1811"/>
    </row>
    <row r="23" spans="1:6" hidden="1" x14ac:dyDescent="0.25">
      <c r="A23" s="1809"/>
      <c r="B23" s="1658" t="s">
        <v>188</v>
      </c>
      <c r="C23" s="1810">
        <v>820</v>
      </c>
      <c r="D23" s="1810">
        <v>1162</v>
      </c>
      <c r="E23" s="1810">
        <v>1182</v>
      </c>
      <c r="F23" s="1811"/>
    </row>
    <row r="24" spans="1:6" x14ac:dyDescent="0.25">
      <c r="A24" s="1654">
        <v>5</v>
      </c>
      <c r="B24" s="1655" t="s">
        <v>1928</v>
      </c>
      <c r="C24" s="1656">
        <v>4600</v>
      </c>
      <c r="D24" s="1656">
        <v>5231</v>
      </c>
      <c r="E24" s="1656">
        <v>5200</v>
      </c>
      <c r="F24" s="1808">
        <v>113.71739130434784</v>
      </c>
    </row>
    <row r="25" spans="1:6" hidden="1" x14ac:dyDescent="0.25">
      <c r="A25" s="1809"/>
      <c r="B25" s="1658" t="s">
        <v>1929</v>
      </c>
      <c r="C25" s="1810">
        <v>4600</v>
      </c>
      <c r="D25" s="1810">
        <v>5231</v>
      </c>
      <c r="E25" s="1810">
        <v>5200</v>
      </c>
      <c r="F25" s="1811"/>
    </row>
    <row r="26" spans="1:6" x14ac:dyDescent="0.25">
      <c r="A26" s="1654">
        <v>6</v>
      </c>
      <c r="B26" s="1655" t="s">
        <v>360</v>
      </c>
      <c r="C26" s="1656">
        <v>350</v>
      </c>
      <c r="D26" s="1656">
        <v>350</v>
      </c>
      <c r="E26" s="1656">
        <v>454</v>
      </c>
      <c r="F26" s="1808">
        <v>100</v>
      </c>
    </row>
    <row r="27" spans="1:6" ht="31.5" hidden="1" x14ac:dyDescent="0.25">
      <c r="A27" s="1809"/>
      <c r="B27" s="1658" t="s">
        <v>1930</v>
      </c>
      <c r="C27" s="1810">
        <v>350</v>
      </c>
      <c r="D27" s="1810">
        <v>350</v>
      </c>
      <c r="E27" s="1810">
        <v>454</v>
      </c>
      <c r="F27" s="1811"/>
    </row>
    <row r="28" spans="1:6" x14ac:dyDescent="0.25">
      <c r="A28" s="1654">
        <v>7</v>
      </c>
      <c r="B28" s="1655" t="s">
        <v>1931</v>
      </c>
      <c r="C28" s="1656">
        <v>8642</v>
      </c>
      <c r="D28" s="1656">
        <v>8909</v>
      </c>
      <c r="E28" s="1656">
        <v>8959</v>
      </c>
      <c r="F28" s="1808">
        <v>103.08956260124971</v>
      </c>
    </row>
    <row r="29" spans="1:6" hidden="1" x14ac:dyDescent="0.25">
      <c r="A29" s="1809"/>
      <c r="B29" s="1658" t="s">
        <v>1932</v>
      </c>
      <c r="C29" s="1810">
        <v>4110</v>
      </c>
      <c r="D29" s="1810">
        <v>4110</v>
      </c>
      <c r="E29" s="1810">
        <v>4300</v>
      </c>
      <c r="F29" s="1811"/>
    </row>
    <row r="30" spans="1:6" hidden="1" x14ac:dyDescent="0.25">
      <c r="A30" s="1809"/>
      <c r="B30" s="1658" t="s">
        <v>1933</v>
      </c>
      <c r="C30" s="1810">
        <v>400</v>
      </c>
      <c r="D30" s="1810">
        <v>400</v>
      </c>
      <c r="E30" s="1810">
        <v>415</v>
      </c>
      <c r="F30" s="1811"/>
    </row>
    <row r="31" spans="1:6" hidden="1" x14ac:dyDescent="0.25">
      <c r="A31" s="1809"/>
      <c r="B31" s="1658" t="s">
        <v>163</v>
      </c>
      <c r="C31" s="1810">
        <v>730</v>
      </c>
      <c r="D31" s="1810">
        <v>880</v>
      </c>
      <c r="E31" s="1810">
        <v>880</v>
      </c>
      <c r="F31" s="1811"/>
    </row>
    <row r="32" spans="1:6" hidden="1" x14ac:dyDescent="0.25">
      <c r="A32" s="1809"/>
      <c r="B32" s="1658" t="s">
        <v>1934</v>
      </c>
      <c r="C32" s="1810">
        <v>173</v>
      </c>
      <c r="D32" s="1810">
        <v>173</v>
      </c>
      <c r="E32" s="1810">
        <v>190</v>
      </c>
      <c r="F32" s="1811"/>
    </row>
    <row r="33" spans="1:6" hidden="1" x14ac:dyDescent="0.25">
      <c r="A33" s="1809"/>
      <c r="B33" s="1658" t="s">
        <v>1935</v>
      </c>
      <c r="C33" s="1810">
        <v>422</v>
      </c>
      <c r="D33" s="1810">
        <v>539</v>
      </c>
      <c r="E33" s="1810">
        <v>422</v>
      </c>
      <c r="F33" s="1811"/>
    </row>
    <row r="34" spans="1:6" hidden="1" x14ac:dyDescent="0.25">
      <c r="A34" s="1809"/>
      <c r="B34" s="1658" t="s">
        <v>1936</v>
      </c>
      <c r="C34" s="1810">
        <v>2807</v>
      </c>
      <c r="D34" s="1810">
        <v>2807</v>
      </c>
      <c r="E34" s="1810">
        <v>2268</v>
      </c>
      <c r="F34" s="1811"/>
    </row>
    <row r="35" spans="1:6" hidden="1" x14ac:dyDescent="0.25">
      <c r="A35" s="1809"/>
      <c r="B35" s="1658" t="s">
        <v>1937</v>
      </c>
      <c r="C35" s="1810"/>
      <c r="D35" s="1810"/>
      <c r="E35" s="1810">
        <v>484</v>
      </c>
      <c r="F35" s="1811"/>
    </row>
    <row r="36" spans="1:6" x14ac:dyDescent="0.25">
      <c r="A36" s="1654">
        <v>8</v>
      </c>
      <c r="B36" s="1655" t="s">
        <v>663</v>
      </c>
      <c r="C36" s="1656">
        <v>1100</v>
      </c>
      <c r="D36" s="1656">
        <v>1100</v>
      </c>
      <c r="E36" s="1656">
        <v>1000</v>
      </c>
      <c r="F36" s="1808">
        <v>100</v>
      </c>
    </row>
    <row r="37" spans="1:6" ht="31.5" hidden="1" x14ac:dyDescent="0.25">
      <c r="A37" s="1809"/>
      <c r="B37" s="1658" t="s">
        <v>1938</v>
      </c>
      <c r="C37" s="1810">
        <v>1100</v>
      </c>
      <c r="D37" s="1810">
        <v>1100</v>
      </c>
      <c r="E37" s="1810">
        <v>1000</v>
      </c>
      <c r="F37" s="1811"/>
    </row>
    <row r="38" spans="1:6" x14ac:dyDescent="0.25">
      <c r="A38" s="1816">
        <v>9</v>
      </c>
      <c r="B38" s="1817" t="s">
        <v>1939</v>
      </c>
      <c r="C38" s="1818">
        <v>484</v>
      </c>
      <c r="D38" s="1818">
        <v>350</v>
      </c>
      <c r="E38" s="1818">
        <v>484</v>
      </c>
      <c r="F38" s="1819"/>
    </row>
    <row r="39" spans="1:6" hidden="1" x14ac:dyDescent="0.25">
      <c r="A39" s="1812"/>
      <c r="B39" s="1813" t="s">
        <v>2410</v>
      </c>
      <c r="C39" s="1814">
        <v>484</v>
      </c>
      <c r="D39" s="1814">
        <v>350</v>
      </c>
      <c r="E39" s="1814">
        <v>484</v>
      </c>
      <c r="F39" s="1815">
        <v>72.314049586776861</v>
      </c>
    </row>
  </sheetData>
  <mergeCells count="3">
    <mergeCell ref="A2:F2"/>
    <mergeCell ref="A3:F3"/>
    <mergeCell ref="A4:F4"/>
  </mergeCells>
  <pageMargins left="1.1000000000000001" right="0.21" top="0.75" bottom="0.75" header="0.3" footer="0.3"/>
  <pageSetup paperSize="9" firstPageNumber="110" orientation="portrait" useFirstPageNumber="1" r:id="rId1"/>
  <headerFooter>
    <oddFooter>&amp;C&amp;P</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N19"/>
  <sheetViews>
    <sheetView workbookViewId="0">
      <selection activeCell="G27" sqref="G27"/>
    </sheetView>
  </sheetViews>
  <sheetFormatPr defaultRowHeight="15" x14ac:dyDescent="0.25"/>
  <cols>
    <col min="1" max="1" width="5.5" style="1297" customWidth="1"/>
    <col min="2" max="2" width="16.625" style="1297" customWidth="1"/>
    <col min="3" max="3" width="8.25" style="1297" customWidth="1"/>
    <col min="4" max="4" width="7.5" style="1297" customWidth="1"/>
    <col min="5" max="5" width="7.75" style="1297" customWidth="1"/>
    <col min="6" max="6" width="7" style="1297" customWidth="1"/>
    <col min="7" max="7" width="8.25" style="1297" customWidth="1"/>
    <col min="8" max="8" width="9" style="1297"/>
    <col min="9" max="9" width="6.625" style="1297" customWidth="1"/>
    <col min="10" max="10" width="6.75" style="1297" customWidth="1"/>
    <col min="11" max="12" width="9" style="1297"/>
    <col min="13" max="13" width="7.125" style="1297" customWidth="1"/>
    <col min="14" max="14" width="7.875" style="1297" customWidth="1"/>
    <col min="15" max="16384" width="9" style="1297"/>
  </cols>
  <sheetData>
    <row r="1" spans="1:14" x14ac:dyDescent="0.25">
      <c r="N1" s="1298" t="s">
        <v>362</v>
      </c>
    </row>
    <row r="2" spans="1:14" ht="16.5" x14ac:dyDescent="0.25">
      <c r="A2" s="2085" t="s">
        <v>1448</v>
      </c>
      <c r="B2" s="2085"/>
      <c r="C2" s="2085"/>
      <c r="D2" s="2085"/>
      <c r="E2" s="2085"/>
      <c r="F2" s="2085"/>
      <c r="G2" s="2085"/>
      <c r="H2" s="2085"/>
      <c r="I2" s="2085"/>
      <c r="J2" s="2085"/>
      <c r="K2" s="2085"/>
      <c r="L2" s="2085"/>
      <c r="M2" s="2085"/>
      <c r="N2" s="2085"/>
    </row>
    <row r="3" spans="1:14" x14ac:dyDescent="0.25">
      <c r="A3" s="2086" t="e">
        <f>#REF!</f>
        <v>#REF!</v>
      </c>
      <c r="B3" s="2087"/>
      <c r="C3" s="2087"/>
      <c r="D3" s="2087"/>
      <c r="E3" s="2087"/>
      <c r="F3" s="2087"/>
      <c r="G3" s="2087"/>
      <c r="H3" s="2087"/>
      <c r="I3" s="2087"/>
      <c r="J3" s="2087"/>
      <c r="K3" s="2087"/>
      <c r="L3" s="2087"/>
      <c r="M3" s="2087"/>
      <c r="N3" s="2087"/>
    </row>
    <row r="4" spans="1:14" x14ac:dyDescent="0.25">
      <c r="N4" s="1299" t="s">
        <v>6</v>
      </c>
    </row>
    <row r="5" spans="1:14" x14ac:dyDescent="0.25">
      <c r="A5" s="2084" t="s">
        <v>0</v>
      </c>
      <c r="B5" s="2084" t="s">
        <v>1222</v>
      </c>
      <c r="C5" s="2084" t="s">
        <v>1255</v>
      </c>
      <c r="D5" s="2084"/>
      <c r="E5" s="2084"/>
      <c r="F5" s="2084"/>
      <c r="G5" s="2084" t="s">
        <v>1268</v>
      </c>
      <c r="H5" s="2084"/>
      <c r="I5" s="2084"/>
      <c r="J5" s="2084"/>
      <c r="K5" s="2084" t="s">
        <v>43</v>
      </c>
      <c r="L5" s="2084"/>
      <c r="M5" s="2084"/>
      <c r="N5" s="2084"/>
    </row>
    <row r="6" spans="1:14" ht="21.75" customHeight="1" x14ac:dyDescent="0.25">
      <c r="A6" s="2084"/>
      <c r="B6" s="2084"/>
      <c r="C6" s="2084" t="s">
        <v>61</v>
      </c>
      <c r="D6" s="2084" t="s">
        <v>62</v>
      </c>
      <c r="E6" s="2084"/>
      <c r="F6" s="2084"/>
      <c r="G6" s="2084" t="s">
        <v>61</v>
      </c>
      <c r="H6" s="2084" t="s">
        <v>62</v>
      </c>
      <c r="I6" s="2084"/>
      <c r="J6" s="2084"/>
      <c r="K6" s="2084" t="s">
        <v>61</v>
      </c>
      <c r="L6" s="2084" t="s">
        <v>62</v>
      </c>
      <c r="M6" s="2084"/>
      <c r="N6" s="2084"/>
    </row>
    <row r="7" spans="1:14" ht="68.25" customHeight="1" x14ac:dyDescent="0.25">
      <c r="A7" s="2084"/>
      <c r="B7" s="2084"/>
      <c r="C7" s="2084"/>
      <c r="D7" s="1300" t="s">
        <v>7</v>
      </c>
      <c r="E7" s="1300" t="s">
        <v>8</v>
      </c>
      <c r="F7" s="1300" t="s">
        <v>311</v>
      </c>
      <c r="G7" s="2084"/>
      <c r="H7" s="1300" t="s">
        <v>7</v>
      </c>
      <c r="I7" s="1300" t="s">
        <v>8</v>
      </c>
      <c r="J7" s="1300" t="s">
        <v>311</v>
      </c>
      <c r="K7" s="2084"/>
      <c r="L7" s="1300" t="s">
        <v>7</v>
      </c>
      <c r="M7" s="1300" t="s">
        <v>8</v>
      </c>
      <c r="N7" s="1300" t="s">
        <v>311</v>
      </c>
    </row>
    <row r="8" spans="1:14" x14ac:dyDescent="0.25">
      <c r="A8" s="1300" t="s">
        <v>2</v>
      </c>
      <c r="B8" s="1300" t="s">
        <v>3</v>
      </c>
      <c r="C8" s="1300">
        <v>1</v>
      </c>
      <c r="D8" s="1300">
        <v>2</v>
      </c>
      <c r="E8" s="1300">
        <v>3</v>
      </c>
      <c r="F8" s="1300">
        <v>4</v>
      </c>
      <c r="G8" s="1300">
        <v>5</v>
      </c>
      <c r="H8" s="1300">
        <v>6</v>
      </c>
      <c r="I8" s="1300">
        <v>7</v>
      </c>
      <c r="J8" s="1300">
        <v>8</v>
      </c>
      <c r="K8" s="1300" t="s">
        <v>313</v>
      </c>
      <c r="L8" s="1300" t="s">
        <v>314</v>
      </c>
      <c r="M8" s="1300" t="s">
        <v>315</v>
      </c>
      <c r="N8" s="1300" t="s">
        <v>316</v>
      </c>
    </row>
    <row r="9" spans="1:14" s="1305" customFormat="1" ht="14.25" x14ac:dyDescent="0.2">
      <c r="A9" s="1301"/>
      <c r="B9" s="1302" t="s">
        <v>1238</v>
      </c>
      <c r="C9" s="1303">
        <f>SUM(D9:F9)</f>
        <v>321251</v>
      </c>
      <c r="D9" s="1303">
        <f>SUM(D10:D17)</f>
        <v>321251</v>
      </c>
      <c r="E9" s="1302">
        <f t="shared" ref="E9:F9" si="0">SUM(E10:E17)</f>
        <v>0</v>
      </c>
      <c r="F9" s="1302">
        <f t="shared" si="0"/>
        <v>0</v>
      </c>
      <c r="G9" s="1303">
        <f>SUM(H9:J9)</f>
        <v>342400</v>
      </c>
      <c r="H9" s="1303">
        <f>SUM(H10:H17)</f>
        <v>342400</v>
      </c>
      <c r="I9" s="1303">
        <f t="shared" ref="I9" si="1">SUM(I10:I17)</f>
        <v>0</v>
      </c>
      <c r="J9" s="1302">
        <f t="shared" ref="J9" si="2">SUM(J10:J17)</f>
        <v>0</v>
      </c>
      <c r="K9" s="1304">
        <f>G9/C9*100</f>
        <v>106.58332581065895</v>
      </c>
      <c r="L9" s="1304">
        <f>H9/D9*100</f>
        <v>106.58332581065895</v>
      </c>
      <c r="M9" s="1302"/>
      <c r="N9" s="1302"/>
    </row>
    <row r="10" spans="1:14" ht="21" customHeight="1" x14ac:dyDescent="0.25">
      <c r="A10" s="1306">
        <v>1</v>
      </c>
      <c r="B10" s="1307" t="s">
        <v>148</v>
      </c>
      <c r="C10" s="1308">
        <f>SUM(D10:F10)</f>
        <v>103205</v>
      </c>
      <c r="D10" s="1308">
        <f>'Biểu 13'!K9</f>
        <v>103205</v>
      </c>
      <c r="E10" s="1307"/>
      <c r="F10" s="1307"/>
      <c r="G10" s="1308">
        <f>SUM(H10:J10)</f>
        <v>114000</v>
      </c>
      <c r="H10" s="1308">
        <f>'Biểu số 48'!G8</f>
        <v>114000</v>
      </c>
      <c r="I10" s="1308"/>
      <c r="J10" s="1307"/>
      <c r="K10" s="1309">
        <f t="shared" ref="K10:L17" si="3">G10/C10*100</f>
        <v>110.45976454629137</v>
      </c>
      <c r="L10" s="1309">
        <f>H10/D10*100</f>
        <v>110.45976454629137</v>
      </c>
      <c r="M10" s="1307"/>
      <c r="N10" s="1307"/>
    </row>
    <row r="11" spans="1:14" ht="21" customHeight="1" x14ac:dyDescent="0.25">
      <c r="A11" s="1306">
        <v>2</v>
      </c>
      <c r="B11" s="1307" t="s">
        <v>149</v>
      </c>
      <c r="C11" s="1308">
        <f t="shared" ref="C11:C17" si="4">SUM(D11:F11)</f>
        <v>13516</v>
      </c>
      <c r="D11" s="1308">
        <f>'Biểu 13'!Q9</f>
        <v>13516</v>
      </c>
      <c r="E11" s="1307"/>
      <c r="F11" s="1307"/>
      <c r="G11" s="1308">
        <f t="shared" ref="G11:G17" si="5">SUM(H11:J11)</f>
        <v>13330</v>
      </c>
      <c r="H11" s="1308">
        <f>'Biểu số 48'!I8</f>
        <v>13330</v>
      </c>
      <c r="I11" s="1308"/>
      <c r="J11" s="1307"/>
      <c r="K11" s="1309">
        <f t="shared" si="3"/>
        <v>98.623853211009177</v>
      </c>
      <c r="L11" s="1309">
        <f t="shared" si="3"/>
        <v>98.623853211009177</v>
      </c>
      <c r="M11" s="1307"/>
      <c r="N11" s="1307"/>
    </row>
    <row r="12" spans="1:14" ht="21" customHeight="1" x14ac:dyDescent="0.25">
      <c r="A12" s="1306">
        <v>3</v>
      </c>
      <c r="B12" s="1307" t="s">
        <v>150</v>
      </c>
      <c r="C12" s="1308">
        <f t="shared" si="4"/>
        <v>15615</v>
      </c>
      <c r="D12" s="1308">
        <f>'Biểu 13'!W9</f>
        <v>15615</v>
      </c>
      <c r="E12" s="1307"/>
      <c r="F12" s="1307"/>
      <c r="G12" s="1308">
        <f t="shared" si="5"/>
        <v>14600</v>
      </c>
      <c r="H12" s="1308">
        <f>'Biểu số 48'!K8</f>
        <v>14600</v>
      </c>
      <c r="I12" s="1308"/>
      <c r="J12" s="1307"/>
      <c r="K12" s="1309">
        <f t="shared" si="3"/>
        <v>93.499839897534414</v>
      </c>
      <c r="L12" s="1309">
        <f t="shared" si="3"/>
        <v>93.499839897534414</v>
      </c>
      <c r="M12" s="1307"/>
      <c r="N12" s="1307"/>
    </row>
    <row r="13" spans="1:14" ht="21" customHeight="1" x14ac:dyDescent="0.25">
      <c r="A13" s="1306">
        <v>4</v>
      </c>
      <c r="B13" s="1307" t="s">
        <v>151</v>
      </c>
      <c r="C13" s="1308">
        <f t="shared" si="4"/>
        <v>112800</v>
      </c>
      <c r="D13" s="1308">
        <f>'Biểu 13'!AC9</f>
        <v>112800</v>
      </c>
      <c r="E13" s="1307"/>
      <c r="F13" s="1307"/>
      <c r="G13" s="1308">
        <f t="shared" si="5"/>
        <v>124600</v>
      </c>
      <c r="H13" s="1308">
        <f>'Biểu số 48'!M8</f>
        <v>124600</v>
      </c>
      <c r="I13" s="1308"/>
      <c r="J13" s="1307"/>
      <c r="K13" s="1309">
        <f t="shared" si="3"/>
        <v>110.46099290780143</v>
      </c>
      <c r="L13" s="1309">
        <f t="shared" si="3"/>
        <v>110.46099290780143</v>
      </c>
      <c r="M13" s="1307"/>
      <c r="N13" s="1307"/>
    </row>
    <row r="14" spans="1:14" ht="21" customHeight="1" x14ac:dyDescent="0.25">
      <c r="A14" s="1306">
        <v>5</v>
      </c>
      <c r="B14" s="1307" t="s">
        <v>152</v>
      </c>
      <c r="C14" s="1308">
        <f t="shared" si="4"/>
        <v>19852</v>
      </c>
      <c r="D14" s="1308">
        <f>'Biểu 13'!AI9</f>
        <v>19852</v>
      </c>
      <c r="E14" s="1307"/>
      <c r="F14" s="1307"/>
      <c r="G14" s="1308">
        <f t="shared" si="5"/>
        <v>18350</v>
      </c>
      <c r="H14" s="1308">
        <f>'Biểu số 48'!O8</f>
        <v>18350</v>
      </c>
      <c r="I14" s="1308"/>
      <c r="J14" s="1307"/>
      <c r="K14" s="1309">
        <f t="shared" si="3"/>
        <v>92.434011686479948</v>
      </c>
      <c r="L14" s="1309">
        <f t="shared" si="3"/>
        <v>92.434011686479948</v>
      </c>
      <c r="M14" s="1307"/>
      <c r="N14" s="1307"/>
    </row>
    <row r="15" spans="1:14" ht="21" customHeight="1" x14ac:dyDescent="0.25">
      <c r="A15" s="1306">
        <v>6</v>
      </c>
      <c r="B15" s="1307" t="s">
        <v>153</v>
      </c>
      <c r="C15" s="1308">
        <f t="shared" si="4"/>
        <v>14085</v>
      </c>
      <c r="D15" s="1308">
        <f>'Biểu 13'!AO9</f>
        <v>14085</v>
      </c>
      <c r="E15" s="1307"/>
      <c r="F15" s="1307"/>
      <c r="G15" s="1308">
        <f t="shared" si="5"/>
        <v>15220</v>
      </c>
      <c r="H15" s="1308">
        <f>'Biểu số 48'!Q8</f>
        <v>15220</v>
      </c>
      <c r="I15" s="1308"/>
      <c r="J15" s="1307"/>
      <c r="K15" s="1309">
        <f t="shared" si="3"/>
        <v>108.05821796237132</v>
      </c>
      <c r="L15" s="1309">
        <f t="shared" si="3"/>
        <v>108.05821796237132</v>
      </c>
      <c r="M15" s="1307"/>
      <c r="N15" s="1307"/>
    </row>
    <row r="16" spans="1:14" ht="21" customHeight="1" x14ac:dyDescent="0.25">
      <c r="A16" s="1306">
        <v>7</v>
      </c>
      <c r="B16" s="1307" t="s">
        <v>154</v>
      </c>
      <c r="C16" s="1308">
        <f t="shared" si="4"/>
        <v>30150</v>
      </c>
      <c r="D16" s="1308">
        <f>'Biểu 13'!AU9</f>
        <v>30150</v>
      </c>
      <c r="E16" s="1307"/>
      <c r="F16" s="1307"/>
      <c r="G16" s="1308">
        <f t="shared" si="5"/>
        <v>32500</v>
      </c>
      <c r="H16" s="1308">
        <f>'Biểu số 48'!S8</f>
        <v>32500</v>
      </c>
      <c r="I16" s="1308"/>
      <c r="J16" s="1307"/>
      <c r="K16" s="1309">
        <f t="shared" si="3"/>
        <v>107.7943615257048</v>
      </c>
      <c r="L16" s="1309">
        <f t="shared" si="3"/>
        <v>107.7943615257048</v>
      </c>
      <c r="M16" s="1307"/>
      <c r="N16" s="1307"/>
    </row>
    <row r="17" spans="1:14" ht="21" customHeight="1" x14ac:dyDescent="0.25">
      <c r="A17" s="1310">
        <v>8</v>
      </c>
      <c r="B17" s="1311" t="s">
        <v>155</v>
      </c>
      <c r="C17" s="1312">
        <f t="shared" si="4"/>
        <v>12028</v>
      </c>
      <c r="D17" s="1312">
        <f>'Biểu 13'!BA9</f>
        <v>12028</v>
      </c>
      <c r="E17" s="1311"/>
      <c r="F17" s="1311"/>
      <c r="G17" s="1312">
        <f t="shared" si="5"/>
        <v>9800</v>
      </c>
      <c r="H17" s="1312">
        <f>'Biểu số 48'!U8</f>
        <v>9800</v>
      </c>
      <c r="I17" s="1312"/>
      <c r="J17" s="1311"/>
      <c r="K17" s="1313">
        <f t="shared" si="3"/>
        <v>81.476554705686738</v>
      </c>
      <c r="L17" s="1313">
        <f t="shared" si="3"/>
        <v>81.476554705686738</v>
      </c>
      <c r="M17" s="1311"/>
      <c r="N17" s="1311"/>
    </row>
    <row r="18" spans="1:14" hidden="1" x14ac:dyDescent="0.25">
      <c r="A18" s="1314" t="s">
        <v>328</v>
      </c>
    </row>
    <row r="19" spans="1:14" hidden="1" x14ac:dyDescent="0.25">
      <c r="A19" s="1315" t="s">
        <v>1237</v>
      </c>
    </row>
  </sheetData>
  <mergeCells count="13">
    <mergeCell ref="H6:J6"/>
    <mergeCell ref="K6:K7"/>
    <mergeCell ref="L6:N6"/>
    <mergeCell ref="A2:N2"/>
    <mergeCell ref="A3:N3"/>
    <mergeCell ref="A5:A7"/>
    <mergeCell ref="B5:B7"/>
    <mergeCell ref="C5:F5"/>
    <mergeCell ref="G5:J5"/>
    <mergeCell ref="K5:N5"/>
    <mergeCell ref="C6:C7"/>
    <mergeCell ref="D6:F6"/>
    <mergeCell ref="G6:G7"/>
  </mergeCells>
  <pageMargins left="1.38" right="0.24" top="0.75" bottom="1.03" header="0.3" footer="0.71"/>
  <pageSetup paperSize="9" firstPageNumber="112" orientation="landscape" useFirstPageNumber="1" r:id="rId1"/>
  <headerFooter>
    <oddFooter>&amp;C&amp;P</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W20"/>
  <sheetViews>
    <sheetView workbookViewId="0">
      <selection activeCell="F31" sqref="F31"/>
    </sheetView>
  </sheetViews>
  <sheetFormatPr defaultRowHeight="12.75" x14ac:dyDescent="0.25"/>
  <cols>
    <col min="1" max="1" width="4.5" style="76" customWidth="1"/>
    <col min="2" max="2" width="15.375" style="76" customWidth="1"/>
    <col min="3" max="3" width="6.625" style="76" customWidth="1"/>
    <col min="4" max="4" width="7.5" style="76" customWidth="1"/>
    <col min="5" max="5" width="7.25" style="76" customWidth="1"/>
    <col min="6" max="6" width="6.375" style="76" customWidth="1"/>
    <col min="7" max="7" width="5.75" style="76" customWidth="1"/>
    <col min="8" max="8" width="6.875" style="76" customWidth="1"/>
    <col min="9" max="9" width="6.25" style="76" customWidth="1"/>
    <col min="10" max="10" width="4.5" style="76" customWidth="1"/>
    <col min="11" max="11" width="6.25" style="76" customWidth="1"/>
    <col min="12" max="12" width="7.125" style="76" customWidth="1"/>
    <col min="13" max="13" width="6.125" style="76" customWidth="1"/>
    <col min="14" max="14" width="5.875" style="76" customWidth="1"/>
    <col min="15" max="15" width="7.125" style="76" customWidth="1"/>
    <col min="16" max="16" width="6.625" style="76" customWidth="1"/>
    <col min="17" max="19" width="5.625" style="76" customWidth="1"/>
    <col min="20" max="20" width="4.875" style="76" hidden="1" customWidth="1"/>
    <col min="21" max="22" width="5.875" style="76" customWidth="1"/>
    <col min="23" max="23" width="5.375" style="76" customWidth="1"/>
    <col min="24" max="16384" width="9" style="76"/>
  </cols>
  <sheetData>
    <row r="1" spans="1:23" ht="20.25" customHeight="1" x14ac:dyDescent="0.25">
      <c r="A1" s="1950" t="s">
        <v>1449</v>
      </c>
      <c r="B1" s="1950"/>
      <c r="C1" s="1950"/>
      <c r="D1" s="1950"/>
      <c r="E1" s="1950"/>
      <c r="F1" s="1950"/>
      <c r="G1" s="1950"/>
      <c r="H1" s="1950"/>
      <c r="I1" s="1950"/>
      <c r="J1" s="1950"/>
      <c r="K1" s="1950"/>
      <c r="L1" s="1950"/>
      <c r="M1" s="1950"/>
      <c r="N1" s="1950"/>
      <c r="O1" s="1950"/>
      <c r="P1" s="1950"/>
      <c r="Q1" s="1950"/>
      <c r="R1" s="1950"/>
      <c r="S1" s="1950"/>
      <c r="T1" s="1950"/>
      <c r="U1" s="1950"/>
      <c r="V1" s="1950"/>
      <c r="W1" s="1950"/>
    </row>
    <row r="2" spans="1:23" ht="18" customHeight="1" x14ac:dyDescent="0.25">
      <c r="A2" s="2041" t="e">
        <f>'Biểu 31'!A3:N3</f>
        <v>#REF!</v>
      </c>
      <c r="B2" s="2042"/>
      <c r="C2" s="2042"/>
      <c r="D2" s="2042"/>
      <c r="E2" s="2042"/>
      <c r="F2" s="2042"/>
      <c r="G2" s="2042"/>
      <c r="H2" s="2042"/>
      <c r="I2" s="2042"/>
      <c r="J2" s="2042"/>
      <c r="K2" s="2042"/>
      <c r="L2" s="2042"/>
      <c r="M2" s="2042"/>
      <c r="N2" s="2042"/>
      <c r="O2" s="2042"/>
      <c r="P2" s="2042"/>
      <c r="Q2" s="2042"/>
      <c r="R2" s="2042"/>
      <c r="S2" s="2042"/>
      <c r="T2" s="2042"/>
      <c r="U2" s="2042"/>
      <c r="V2" s="2042"/>
      <c r="W2" s="2042"/>
    </row>
    <row r="3" spans="1:23" ht="12.75" customHeight="1" x14ac:dyDescent="0.25"/>
    <row r="4" spans="1:23" ht="12.75" customHeight="1" x14ac:dyDescent="0.25">
      <c r="A4" s="2088" t="s">
        <v>0</v>
      </c>
      <c r="B4" s="2088" t="s">
        <v>60</v>
      </c>
      <c r="C4" s="2088" t="s">
        <v>64</v>
      </c>
      <c r="D4" s="2088" t="s">
        <v>156</v>
      </c>
      <c r="E4" s="2088" t="s">
        <v>62</v>
      </c>
      <c r="F4" s="2088"/>
      <c r="G4" s="2088"/>
      <c r="H4" s="2088"/>
      <c r="I4" s="2088"/>
      <c r="J4" s="2088"/>
      <c r="K4" s="2088"/>
      <c r="L4" s="2088"/>
      <c r="M4" s="2088"/>
      <c r="N4" s="2088"/>
      <c r="O4" s="2088"/>
      <c r="P4" s="2088"/>
      <c r="Q4" s="2088"/>
      <c r="R4" s="2088"/>
      <c r="S4" s="2088"/>
      <c r="T4" s="2088"/>
      <c r="U4" s="2088" t="s">
        <v>157</v>
      </c>
      <c r="V4" s="2088" t="s">
        <v>62</v>
      </c>
      <c r="W4" s="2088"/>
    </row>
    <row r="5" spans="1:23" ht="132.75" customHeight="1" x14ac:dyDescent="0.25">
      <c r="A5" s="2088"/>
      <c r="B5" s="2088"/>
      <c r="C5" s="2088"/>
      <c r="D5" s="2088"/>
      <c r="E5" s="93" t="s">
        <v>65</v>
      </c>
      <c r="F5" s="93" t="s">
        <v>66</v>
      </c>
      <c r="G5" s="93" t="s">
        <v>388</v>
      </c>
      <c r="H5" s="93" t="s">
        <v>389</v>
      </c>
      <c r="I5" s="93" t="s">
        <v>390</v>
      </c>
      <c r="J5" s="93" t="s">
        <v>391</v>
      </c>
      <c r="K5" s="93" t="s">
        <v>392</v>
      </c>
      <c r="L5" s="93" t="s">
        <v>393</v>
      </c>
      <c r="M5" s="93" t="s">
        <v>395</v>
      </c>
      <c r="N5" s="93" t="s">
        <v>396</v>
      </c>
      <c r="O5" s="93" t="s">
        <v>397</v>
      </c>
      <c r="P5" s="93" t="s">
        <v>398</v>
      </c>
      <c r="Q5" s="93" t="s">
        <v>399</v>
      </c>
      <c r="R5" s="93" t="s">
        <v>400</v>
      </c>
      <c r="S5" s="93" t="s">
        <v>401</v>
      </c>
      <c r="T5" s="93" t="s">
        <v>402</v>
      </c>
      <c r="U5" s="2088">
        <v>-3</v>
      </c>
      <c r="V5" s="93" t="s">
        <v>67</v>
      </c>
      <c r="W5" s="93" t="s">
        <v>403</v>
      </c>
    </row>
    <row r="6" spans="1:23" x14ac:dyDescent="0.25">
      <c r="A6" s="93" t="s">
        <v>2</v>
      </c>
      <c r="B6" s="93" t="s">
        <v>3</v>
      </c>
      <c r="C6" s="93">
        <v>1</v>
      </c>
      <c r="D6" s="93">
        <v>2</v>
      </c>
      <c r="E6" s="93">
        <v>3</v>
      </c>
      <c r="F6" s="93">
        <v>4</v>
      </c>
      <c r="G6" s="93">
        <v>5</v>
      </c>
      <c r="H6" s="93">
        <v>6</v>
      </c>
      <c r="I6" s="93">
        <v>7</v>
      </c>
      <c r="J6" s="93">
        <v>8</v>
      </c>
      <c r="K6" s="93">
        <v>9</v>
      </c>
      <c r="L6" s="93">
        <v>10</v>
      </c>
      <c r="M6" s="93">
        <v>11</v>
      </c>
      <c r="N6" s="93">
        <v>12</v>
      </c>
      <c r="O6" s="93">
        <v>13</v>
      </c>
      <c r="P6" s="93">
        <v>14</v>
      </c>
      <c r="Q6" s="93">
        <v>15</v>
      </c>
      <c r="R6" s="93">
        <v>16</v>
      </c>
      <c r="S6" s="93">
        <v>17</v>
      </c>
      <c r="T6" s="93">
        <v>5</v>
      </c>
      <c r="U6" s="93">
        <v>18</v>
      </c>
      <c r="V6" s="93">
        <v>19</v>
      </c>
      <c r="W6" s="93">
        <v>20</v>
      </c>
    </row>
    <row r="7" spans="1:23" s="80" customFormat="1" ht="20.25" customHeight="1" x14ac:dyDescent="0.25">
      <c r="A7" s="77"/>
      <c r="B7" s="78" t="s">
        <v>317</v>
      </c>
      <c r="C7" s="79">
        <f>SUM(C8:C17)</f>
        <v>700000</v>
      </c>
      <c r="D7" s="79">
        <f t="shared" ref="D7:W7" si="0">SUM(D8:D17)</f>
        <v>697000</v>
      </c>
      <c r="E7" s="79">
        <f t="shared" si="0"/>
        <v>90400</v>
      </c>
      <c r="F7" s="79">
        <f t="shared" si="0"/>
        <v>8000</v>
      </c>
      <c r="G7" s="79">
        <f t="shared" si="0"/>
        <v>1100</v>
      </c>
      <c r="H7" s="79">
        <f t="shared" si="0"/>
        <v>193000</v>
      </c>
      <c r="I7" s="79">
        <f t="shared" si="0"/>
        <v>35600</v>
      </c>
      <c r="J7" s="79">
        <f t="shared" si="0"/>
        <v>3300</v>
      </c>
      <c r="K7" s="79">
        <f t="shared" si="0"/>
        <v>9500</v>
      </c>
      <c r="L7" s="79">
        <f t="shared" si="0"/>
        <v>78000</v>
      </c>
      <c r="M7" s="79">
        <f t="shared" si="0"/>
        <v>15000</v>
      </c>
      <c r="N7" s="79">
        <f t="shared" si="0"/>
        <v>12000</v>
      </c>
      <c r="O7" s="79">
        <f t="shared" si="0"/>
        <v>74000</v>
      </c>
      <c r="P7" s="79">
        <f t="shared" si="0"/>
        <v>110500</v>
      </c>
      <c r="Q7" s="79">
        <f t="shared" si="0"/>
        <v>28000</v>
      </c>
      <c r="R7" s="79">
        <f t="shared" si="0"/>
        <v>600</v>
      </c>
      <c r="S7" s="79">
        <f t="shared" si="0"/>
        <v>38000</v>
      </c>
      <c r="T7" s="79">
        <f t="shared" si="0"/>
        <v>0</v>
      </c>
      <c r="U7" s="79">
        <f t="shared" si="0"/>
        <v>3000</v>
      </c>
      <c r="V7" s="79">
        <f t="shared" si="0"/>
        <v>3000</v>
      </c>
      <c r="W7" s="79">
        <f t="shared" si="0"/>
        <v>0</v>
      </c>
    </row>
    <row r="8" spans="1:23" s="110" customFormat="1" ht="20.25" customHeight="1" x14ac:dyDescent="0.25">
      <c r="A8" s="108">
        <v>1</v>
      </c>
      <c r="B8" s="109" t="s">
        <v>148</v>
      </c>
      <c r="C8" s="100">
        <f>D8+U8</f>
        <v>114000</v>
      </c>
      <c r="D8" s="100">
        <f>SUM(E8:T8)</f>
        <v>114000</v>
      </c>
      <c r="E8" s="100">
        <f>'Biểu số 48'!G10</f>
        <v>270</v>
      </c>
      <c r="F8" s="100">
        <f>'Biểu số 48'!G15</f>
        <v>700</v>
      </c>
      <c r="G8" s="100"/>
      <c r="H8" s="100">
        <f>'Biểu số 48'!G24</f>
        <v>25800</v>
      </c>
      <c r="I8" s="100">
        <f>'Biểu số 48'!G38</f>
        <v>17200</v>
      </c>
      <c r="J8" s="100">
        <f>'Biểu số 48'!G31</f>
        <v>250</v>
      </c>
      <c r="K8" s="100"/>
      <c r="L8" s="100">
        <f>'Biểu số 48'!G32</f>
        <v>52500</v>
      </c>
      <c r="M8" s="100"/>
      <c r="N8" s="100"/>
      <c r="O8" s="100">
        <f>'Biểu số 48'!G41</f>
        <v>2400</v>
      </c>
      <c r="P8" s="100"/>
      <c r="Q8" s="100">
        <f>'Biểu số 48'!G30</f>
        <v>10650</v>
      </c>
      <c r="R8" s="100">
        <f>'Biểu số 48'!G33</f>
        <v>330</v>
      </c>
      <c r="S8" s="100">
        <f>'Biểu số 48'!G46</f>
        <v>3900</v>
      </c>
      <c r="T8" s="100">
        <f>'Biểu số 48'!G47</f>
        <v>0</v>
      </c>
      <c r="U8" s="100"/>
      <c r="V8" s="100"/>
      <c r="W8" s="100"/>
    </row>
    <row r="9" spans="1:23" s="110" customFormat="1" ht="20.25" customHeight="1" x14ac:dyDescent="0.25">
      <c r="A9" s="108">
        <v>2</v>
      </c>
      <c r="B9" s="109" t="s">
        <v>149</v>
      </c>
      <c r="C9" s="100">
        <f t="shared" ref="C9:C17" si="1">D9+U9</f>
        <v>13330</v>
      </c>
      <c r="D9" s="100">
        <f t="shared" ref="D9:D16" si="2">SUM(E9:T9)</f>
        <v>13330</v>
      </c>
      <c r="E9" s="100">
        <f>'Biểu số 48'!I10</f>
        <v>75</v>
      </c>
      <c r="F9" s="100">
        <f>'Biểu số 48'!I15</f>
        <v>10</v>
      </c>
      <c r="G9" s="100"/>
      <c r="H9" s="100">
        <f>'Biểu số 48'!I24</f>
        <v>5735</v>
      </c>
      <c r="I9" s="100">
        <f>'Biểu số 48'!I38</f>
        <v>1600</v>
      </c>
      <c r="J9" s="100">
        <f>'Biểu số 48'!I31</f>
        <v>400</v>
      </c>
      <c r="K9" s="100"/>
      <c r="L9" s="100">
        <f>'Biểu số 48'!I32</f>
        <v>1700</v>
      </c>
      <c r="M9" s="100"/>
      <c r="N9" s="100"/>
      <c r="O9" s="100">
        <f>'Biểu số 48'!I41</f>
        <v>1120</v>
      </c>
      <c r="P9" s="100"/>
      <c r="Q9" s="100">
        <f>'Biểu số 48'!I30</f>
        <v>860</v>
      </c>
      <c r="R9" s="100">
        <f>'Biểu số 48'!I33</f>
        <v>30</v>
      </c>
      <c r="S9" s="100">
        <f>'Biểu số 48'!I46</f>
        <v>1800</v>
      </c>
      <c r="T9" s="100">
        <f>'Biểu số 48'!I47</f>
        <v>0</v>
      </c>
      <c r="U9" s="100"/>
      <c r="V9" s="100"/>
      <c r="W9" s="100"/>
    </row>
    <row r="10" spans="1:23" s="110" customFormat="1" ht="20.25" customHeight="1" x14ac:dyDescent="0.25">
      <c r="A10" s="108">
        <v>3</v>
      </c>
      <c r="B10" s="109" t="s">
        <v>385</v>
      </c>
      <c r="C10" s="100">
        <f>D10+U10</f>
        <v>14600</v>
      </c>
      <c r="D10" s="100">
        <f>SUM(E10:T10)</f>
        <v>14600</v>
      </c>
      <c r="E10" s="100">
        <f>'Biểu số 48'!K10</f>
        <v>105</v>
      </c>
      <c r="F10" s="100">
        <f>'Biểu số 48'!K15</f>
        <v>15</v>
      </c>
      <c r="G10" s="100"/>
      <c r="H10" s="100">
        <f>'Biểu số 48'!K24</f>
        <v>4280</v>
      </c>
      <c r="I10" s="100">
        <f>'Biểu số 48'!K38</f>
        <v>2600</v>
      </c>
      <c r="J10" s="100">
        <f>'Biểu số 48'!K31</f>
        <v>700</v>
      </c>
      <c r="K10" s="100"/>
      <c r="L10" s="100">
        <f>'Biểu số 48'!K32</f>
        <v>2300</v>
      </c>
      <c r="M10" s="100"/>
      <c r="N10" s="100"/>
      <c r="O10" s="100">
        <f>'Biểu số 48'!K41</f>
        <v>1570</v>
      </c>
      <c r="P10" s="100"/>
      <c r="Q10" s="100">
        <f>'Biểu số 48'!K30</f>
        <v>1200</v>
      </c>
      <c r="R10" s="100">
        <f>'Biểu số 48'!K33</f>
        <v>30</v>
      </c>
      <c r="S10" s="100">
        <f>'Biểu số 48'!K46</f>
        <v>1800</v>
      </c>
      <c r="T10" s="100">
        <f>'Biểu số 48'!K47</f>
        <v>0</v>
      </c>
      <c r="U10" s="100"/>
      <c r="V10" s="100"/>
      <c r="W10" s="100"/>
    </row>
    <row r="11" spans="1:23" s="110" customFormat="1" ht="20.25" customHeight="1" x14ac:dyDescent="0.25">
      <c r="A11" s="108">
        <v>4</v>
      </c>
      <c r="B11" s="109" t="s">
        <v>151</v>
      </c>
      <c r="C11" s="100">
        <f t="shared" si="1"/>
        <v>124600</v>
      </c>
      <c r="D11" s="100">
        <f t="shared" si="2"/>
        <v>124600</v>
      </c>
      <c r="E11" s="100">
        <f>'Biểu số 48'!M10</f>
        <v>21110</v>
      </c>
      <c r="F11" s="100">
        <f>'Biểu số 48'!M15</f>
        <v>100</v>
      </c>
      <c r="G11" s="100"/>
      <c r="H11" s="100">
        <f>'Biểu số 48'!M24</f>
        <v>33340</v>
      </c>
      <c r="I11" s="100">
        <f>'Biểu số 48'!M38</f>
        <v>3200</v>
      </c>
      <c r="J11" s="100">
        <f>'Biểu số 48'!M31</f>
        <v>550</v>
      </c>
      <c r="K11" s="100"/>
      <c r="L11" s="100">
        <f>'Biểu số 48'!M32</f>
        <v>5000</v>
      </c>
      <c r="M11" s="100"/>
      <c r="N11" s="100"/>
      <c r="O11" s="100">
        <f>'Biểu số 48'!M41</f>
        <v>56500</v>
      </c>
      <c r="P11" s="100"/>
      <c r="Q11" s="100">
        <f>'Biểu số 48'!M30</f>
        <v>1650</v>
      </c>
      <c r="R11" s="100">
        <f>'Biểu số 48'!M33</f>
        <v>150</v>
      </c>
      <c r="S11" s="100">
        <f>'Biểu số 48'!M46</f>
        <v>3000</v>
      </c>
      <c r="T11" s="100">
        <f>'Biểu số 48'!M47</f>
        <v>0</v>
      </c>
      <c r="U11" s="100"/>
      <c r="V11" s="100"/>
      <c r="W11" s="100"/>
    </row>
    <row r="12" spans="1:23" s="110" customFormat="1" ht="20.25" customHeight="1" x14ac:dyDescent="0.25">
      <c r="A12" s="108">
        <v>5</v>
      </c>
      <c r="B12" s="109" t="s">
        <v>152</v>
      </c>
      <c r="C12" s="100">
        <f t="shared" si="1"/>
        <v>18350</v>
      </c>
      <c r="D12" s="100">
        <f>SUM(E12:T12)</f>
        <v>18350</v>
      </c>
      <c r="E12" s="100">
        <f>'Biểu số 48'!O10</f>
        <v>130</v>
      </c>
      <c r="F12" s="100">
        <f>'Biểu số 48'!O15</f>
        <v>100</v>
      </c>
      <c r="G12" s="100"/>
      <c r="H12" s="100">
        <f>'Biểu số 48'!O24</f>
        <v>5520</v>
      </c>
      <c r="I12" s="100">
        <f>'Biểu số 48'!O38</f>
        <v>3600</v>
      </c>
      <c r="J12" s="100">
        <f>'Biểu số 48'!O31</f>
        <v>380</v>
      </c>
      <c r="K12" s="100"/>
      <c r="L12" s="100">
        <f>'Biểu số 48'!O32</f>
        <v>3000</v>
      </c>
      <c r="M12" s="100"/>
      <c r="N12" s="100"/>
      <c r="O12" s="100">
        <f>'Biểu số 48'!O41</f>
        <v>1700</v>
      </c>
      <c r="P12" s="100"/>
      <c r="Q12" s="100">
        <f>'Biểu số 48'!O30</f>
        <v>2000</v>
      </c>
      <c r="R12" s="100">
        <f>'Biểu số 48'!O33</f>
        <v>20</v>
      </c>
      <c r="S12" s="100">
        <f>'Biểu số 48'!O46</f>
        <v>1900</v>
      </c>
      <c r="T12" s="100">
        <f>'Biểu số 48'!O47</f>
        <v>0</v>
      </c>
      <c r="U12" s="100"/>
      <c r="V12" s="100"/>
      <c r="W12" s="100"/>
    </row>
    <row r="13" spans="1:23" s="110" customFormat="1" ht="20.25" customHeight="1" x14ac:dyDescent="0.25">
      <c r="A13" s="108">
        <v>6</v>
      </c>
      <c r="B13" s="109" t="s">
        <v>153</v>
      </c>
      <c r="C13" s="100">
        <f t="shared" si="1"/>
        <v>15220</v>
      </c>
      <c r="D13" s="100">
        <f t="shared" si="2"/>
        <v>15220</v>
      </c>
      <c r="E13" s="100">
        <f>'Biểu số 48'!Q10</f>
        <v>690</v>
      </c>
      <c r="F13" s="100">
        <f>'Biểu số 48'!Q15</f>
        <v>30</v>
      </c>
      <c r="G13" s="100"/>
      <c r="H13" s="100">
        <f>'Biểu số 48'!Q24</f>
        <v>7600</v>
      </c>
      <c r="I13" s="100">
        <f>'Biểu số 48'!Q38</f>
        <v>2200</v>
      </c>
      <c r="J13" s="100">
        <f>'Biểu số 48'!Q31</f>
        <v>340</v>
      </c>
      <c r="K13" s="100"/>
      <c r="L13" s="100">
        <f>'Biểu số 48'!Q32</f>
        <v>500</v>
      </c>
      <c r="M13" s="100"/>
      <c r="N13" s="100"/>
      <c r="O13" s="100">
        <f>'Biểu số 48'!Q41</f>
        <v>1900</v>
      </c>
      <c r="P13" s="100"/>
      <c r="Q13" s="100">
        <f>'Biểu số 48'!Q30</f>
        <v>740</v>
      </c>
      <c r="R13" s="100">
        <f>'Biểu số 48'!Q33</f>
        <v>20</v>
      </c>
      <c r="S13" s="100">
        <f>'Biểu số 48'!Q46</f>
        <v>1200</v>
      </c>
      <c r="T13" s="100">
        <f>'Biểu số 48'!Q47</f>
        <v>0</v>
      </c>
      <c r="U13" s="100"/>
      <c r="V13" s="100"/>
      <c r="W13" s="100"/>
    </row>
    <row r="14" spans="1:23" s="110" customFormat="1" ht="20.25" customHeight="1" x14ac:dyDescent="0.25">
      <c r="A14" s="108">
        <v>7</v>
      </c>
      <c r="B14" s="109" t="s">
        <v>154</v>
      </c>
      <c r="C14" s="100">
        <f t="shared" si="1"/>
        <v>32500</v>
      </c>
      <c r="D14" s="100">
        <f t="shared" si="2"/>
        <v>32500</v>
      </c>
      <c r="E14" s="100">
        <f>'Biểu số 48'!S10</f>
        <v>1400</v>
      </c>
      <c r="F14" s="100">
        <f>'Biểu số 48'!S15</f>
        <v>160</v>
      </c>
      <c r="G14" s="100"/>
      <c r="H14" s="100">
        <f>'Biểu số 48'!S24</f>
        <v>9450</v>
      </c>
      <c r="I14" s="100">
        <f>'Biểu số 48'!S38</f>
        <v>4000</v>
      </c>
      <c r="J14" s="100">
        <f>'Biểu số 48'!S31</f>
        <v>400</v>
      </c>
      <c r="K14" s="100"/>
      <c r="L14" s="100">
        <f>'Biểu số 48'!S32</f>
        <v>10000</v>
      </c>
      <c r="M14" s="100"/>
      <c r="N14" s="100"/>
      <c r="O14" s="100">
        <f>'Biểu số 48'!S41</f>
        <v>3800</v>
      </c>
      <c r="P14" s="100"/>
      <c r="Q14" s="100">
        <f>'Biểu số 48'!S30</f>
        <v>1470</v>
      </c>
      <c r="R14" s="100">
        <f>'Biểu số 48'!S33</f>
        <v>20</v>
      </c>
      <c r="S14" s="100">
        <f>'Biểu số 48'!S46</f>
        <v>1800</v>
      </c>
      <c r="T14" s="100">
        <f>'Biểu số 48'!S47</f>
        <v>0</v>
      </c>
      <c r="U14" s="100"/>
      <c r="V14" s="100"/>
      <c r="W14" s="100"/>
    </row>
    <row r="15" spans="1:23" s="110" customFormat="1" ht="20.25" customHeight="1" x14ac:dyDescent="0.25">
      <c r="A15" s="108">
        <v>8</v>
      </c>
      <c r="B15" s="109" t="s">
        <v>155</v>
      </c>
      <c r="C15" s="100">
        <f t="shared" si="1"/>
        <v>9800</v>
      </c>
      <c r="D15" s="100">
        <f t="shared" si="2"/>
        <v>9800</v>
      </c>
      <c r="E15" s="100">
        <f>'Biểu số 48'!U10</f>
        <v>90</v>
      </c>
      <c r="F15" s="100"/>
      <c r="G15" s="100"/>
      <c r="H15" s="100">
        <f>'Biểu số 48'!U24</f>
        <v>2150</v>
      </c>
      <c r="I15" s="100">
        <f>'Biểu số 48'!U38</f>
        <v>1200</v>
      </c>
      <c r="J15" s="100">
        <f>'Biểu số 48'!U31</f>
        <v>280</v>
      </c>
      <c r="K15" s="100"/>
      <c r="L15" s="100">
        <f>'Biểu số 48'!U32</f>
        <v>3000</v>
      </c>
      <c r="M15" s="100"/>
      <c r="N15" s="100"/>
      <c r="O15" s="100">
        <f>'Biểu số 48'!U41</f>
        <v>450</v>
      </c>
      <c r="P15" s="100"/>
      <c r="Q15" s="100">
        <f>'Biểu số 48'!U30</f>
        <v>630</v>
      </c>
      <c r="R15" s="100"/>
      <c r="S15" s="100">
        <f>'Biểu số 48'!U46</f>
        <v>2000</v>
      </c>
      <c r="T15" s="100">
        <f>'Biểu số 48'!U47</f>
        <v>0</v>
      </c>
      <c r="U15" s="100"/>
      <c r="V15" s="100"/>
      <c r="W15" s="100"/>
    </row>
    <row r="16" spans="1:23" s="110" customFormat="1" ht="20.25" customHeight="1" x14ac:dyDescent="0.25">
      <c r="A16" s="108">
        <v>9</v>
      </c>
      <c r="B16" s="109" t="s">
        <v>386</v>
      </c>
      <c r="C16" s="100">
        <f t="shared" si="1"/>
        <v>354600</v>
      </c>
      <c r="D16" s="100">
        <f t="shared" si="2"/>
        <v>354600</v>
      </c>
      <c r="E16" s="100">
        <f>'Biểu số 48'!W10</f>
        <v>66530</v>
      </c>
      <c r="F16" s="100">
        <f>'Biểu số 48'!W15</f>
        <v>6885</v>
      </c>
      <c r="G16" s="100">
        <f>'Biểu số 48'!W21</f>
        <v>1100</v>
      </c>
      <c r="H16" s="100">
        <f>'Biểu số 48'!W24</f>
        <v>99125</v>
      </c>
      <c r="I16" s="100"/>
      <c r="J16" s="100"/>
      <c r="K16" s="100">
        <f>'Biểu số 48'!W48</f>
        <v>9500</v>
      </c>
      <c r="L16" s="100"/>
      <c r="M16" s="100">
        <f>'Biểu số 48'!W49</f>
        <v>15000</v>
      </c>
      <c r="N16" s="100">
        <f>'Biểu số 48'!W34</f>
        <v>12000</v>
      </c>
      <c r="O16" s="100">
        <f>'Biểu số 48'!W41</f>
        <v>4560</v>
      </c>
      <c r="P16" s="100">
        <f>'Biểu số 48'!W35</f>
        <v>110500</v>
      </c>
      <c r="Q16" s="100">
        <f>'Biểu số 48'!W30</f>
        <v>8800</v>
      </c>
      <c r="R16" s="100"/>
      <c r="S16" s="100">
        <f>'Biểu số 48'!W46</f>
        <v>20600</v>
      </c>
      <c r="T16" s="100"/>
      <c r="U16" s="100"/>
      <c r="V16" s="100"/>
      <c r="W16" s="100"/>
    </row>
    <row r="17" spans="1:23" ht="20.25" customHeight="1" x14ac:dyDescent="0.25">
      <c r="A17" s="81">
        <v>10</v>
      </c>
      <c r="B17" s="82" t="s">
        <v>387</v>
      </c>
      <c r="C17" s="83">
        <f t="shared" si="1"/>
        <v>3000</v>
      </c>
      <c r="D17" s="83"/>
      <c r="E17" s="83"/>
      <c r="F17" s="83"/>
      <c r="G17" s="83"/>
      <c r="H17" s="83"/>
      <c r="I17" s="83"/>
      <c r="J17" s="83"/>
      <c r="K17" s="83"/>
      <c r="L17" s="83"/>
      <c r="M17" s="83"/>
      <c r="N17" s="83"/>
      <c r="O17" s="83"/>
      <c r="P17" s="83"/>
      <c r="Q17" s="83"/>
      <c r="R17" s="83"/>
      <c r="S17" s="83"/>
      <c r="T17" s="83"/>
      <c r="U17" s="83">
        <f>V17+W17</f>
        <v>3000</v>
      </c>
      <c r="V17" s="83">
        <f>'Biểu số 48'!C51</f>
        <v>3000</v>
      </c>
      <c r="W17" s="83"/>
    </row>
    <row r="18" spans="1:23" ht="13.5" hidden="1" x14ac:dyDescent="0.25">
      <c r="A18" s="84" t="s">
        <v>394</v>
      </c>
    </row>
    <row r="19" spans="1:23" hidden="1" x14ac:dyDescent="0.25">
      <c r="A19" s="85" t="s">
        <v>68</v>
      </c>
    </row>
    <row r="20" spans="1:23" hidden="1" x14ac:dyDescent="0.25">
      <c r="A20" s="85" t="s">
        <v>69</v>
      </c>
    </row>
  </sheetData>
  <mergeCells count="9">
    <mergeCell ref="A1:W1"/>
    <mergeCell ref="A2:W2"/>
    <mergeCell ref="U4:U5"/>
    <mergeCell ref="V4:W4"/>
    <mergeCell ref="A4:A5"/>
    <mergeCell ref="B4:B5"/>
    <mergeCell ref="C4:C5"/>
    <mergeCell ref="D4:D5"/>
    <mergeCell ref="E4:T4"/>
  </mergeCells>
  <pageMargins left="0.32" right="0.24" top="0.75" bottom="1" header="0.3" footer="0.69"/>
  <pageSetup paperSize="9" scale="92" firstPageNumber="14" orientation="landscape" useFirstPageNumber="1" r:id="rId1"/>
  <headerFooter>
    <oddHeader>&amp;RBiểu mẫu số 32</oddHeader>
    <oddFooter>&amp;C&amp;P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AL86"/>
  <sheetViews>
    <sheetView workbookViewId="0">
      <pane xSplit="2" ySplit="6" topLeftCell="C7" activePane="bottomRight" state="frozen"/>
      <selection pane="topRight" activeCell="C1" sqref="C1"/>
      <selection pane="bottomLeft" activeCell="A7" sqref="A7"/>
      <selection pane="bottomRight" activeCell="E22" sqref="E22"/>
    </sheetView>
  </sheetViews>
  <sheetFormatPr defaultRowHeight="12.75" x14ac:dyDescent="0.2"/>
  <cols>
    <col min="1" max="1" width="3" style="1324" customWidth="1"/>
    <col min="2" max="2" width="20.5" style="445" customWidth="1"/>
    <col min="3" max="3" width="7.5" style="445" customWidth="1"/>
    <col min="4" max="4" width="6.75" style="445" customWidth="1"/>
    <col min="5" max="5" width="6.25" style="445" customWidth="1"/>
    <col min="6" max="6" width="5.625" style="445" customWidth="1"/>
    <col min="7" max="7" width="5.375" style="445" customWidth="1"/>
    <col min="8" max="8" width="6.625" style="445" customWidth="1"/>
    <col min="9" max="9" width="5.625" style="445" customWidth="1"/>
    <col min="10" max="10" width="5.75" style="445" customWidth="1"/>
    <col min="11" max="11" width="5.25" style="445" customWidth="1"/>
    <col min="12" max="12" width="5.625" style="445" customWidth="1"/>
    <col min="13" max="13" width="6.375" style="445" customWidth="1"/>
    <col min="14" max="14" width="5.75" style="445" customWidth="1"/>
    <col min="15" max="15" width="6" style="445" customWidth="1"/>
    <col min="16" max="16" width="6.75" style="445" customWidth="1"/>
    <col min="17" max="17" width="5.5" style="445" customWidth="1"/>
    <col min="18" max="18" width="5" style="445" customWidth="1"/>
    <col min="19" max="19" width="6.625" style="445" customWidth="1"/>
    <col min="20" max="20" width="5.375" style="445" customWidth="1"/>
    <col min="21" max="21" width="3.5" style="445" customWidth="1"/>
    <col min="22" max="22" width="4.875" style="445" hidden="1" customWidth="1"/>
    <col min="23" max="23" width="5.125" style="445" hidden="1" customWidth="1"/>
    <col min="24" max="24" width="7.5" style="445" hidden="1" customWidth="1"/>
    <col min="25" max="25" width="5.125" style="445" hidden="1" customWidth="1"/>
    <col min="26" max="26" width="5.875" style="445" hidden="1" customWidth="1"/>
    <col min="27" max="30" width="0" style="445" hidden="1" customWidth="1"/>
    <col min="31" max="16384" width="9" style="445"/>
  </cols>
  <sheetData>
    <row r="1" spans="1:38" ht="22.5" customHeight="1" x14ac:dyDescent="0.2">
      <c r="A1" s="2094" t="s">
        <v>1306</v>
      </c>
      <c r="B1" s="2094"/>
      <c r="C1" s="2094"/>
      <c r="D1" s="2094"/>
      <c r="E1" s="2094"/>
      <c r="F1" s="2094"/>
      <c r="G1" s="2094"/>
      <c r="H1" s="2094"/>
      <c r="I1" s="2094"/>
      <c r="J1" s="2094"/>
      <c r="K1" s="2094"/>
      <c r="L1" s="2094"/>
      <c r="M1" s="2094"/>
      <c r="N1" s="2094"/>
      <c r="O1" s="2094"/>
      <c r="P1" s="2094"/>
      <c r="Q1" s="2094"/>
      <c r="R1" s="2094"/>
      <c r="S1" s="2094"/>
      <c r="T1" s="2094"/>
      <c r="U1" s="2094"/>
    </row>
    <row r="2" spans="1:38" ht="15.75" x14ac:dyDescent="0.2">
      <c r="A2" s="2044" t="e">
        <f>'Biểu 36'!A3:R3</f>
        <v>#REF!</v>
      </c>
      <c r="B2" s="2044"/>
      <c r="C2" s="2044"/>
      <c r="D2" s="2044"/>
      <c r="E2" s="2044"/>
      <c r="F2" s="2044"/>
      <c r="G2" s="2044"/>
      <c r="H2" s="2044"/>
      <c r="I2" s="2044"/>
      <c r="J2" s="2044"/>
      <c r="K2" s="2044"/>
      <c r="L2" s="2044"/>
      <c r="M2" s="2044"/>
      <c r="N2" s="2044"/>
      <c r="O2" s="2044"/>
      <c r="P2" s="2044"/>
      <c r="Q2" s="2044"/>
      <c r="R2" s="2044"/>
      <c r="S2" s="2044"/>
      <c r="T2" s="2044"/>
      <c r="U2" s="2044"/>
    </row>
    <row r="3" spans="1:38" ht="15.75" x14ac:dyDescent="0.2">
      <c r="A3" s="1316"/>
      <c r="P3" s="2095" t="s">
        <v>6</v>
      </c>
      <c r="Q3" s="2095"/>
      <c r="R3" s="2095"/>
      <c r="S3" s="2095"/>
      <c r="T3" s="2095"/>
      <c r="U3" s="2095"/>
    </row>
    <row r="4" spans="1:38" ht="20.25" customHeight="1" x14ac:dyDescent="0.2">
      <c r="A4" s="2090" t="s">
        <v>0</v>
      </c>
      <c r="B4" s="2090" t="s">
        <v>63</v>
      </c>
      <c r="C4" s="2093" t="s">
        <v>929</v>
      </c>
      <c r="D4" s="2090" t="s">
        <v>28</v>
      </c>
      <c r="E4" s="2093" t="s">
        <v>29</v>
      </c>
      <c r="F4" s="2093" t="s">
        <v>75</v>
      </c>
      <c r="G4" s="2096" t="s">
        <v>76</v>
      </c>
      <c r="H4" s="2093" t="s">
        <v>77</v>
      </c>
      <c r="I4" s="2093" t="s">
        <v>78</v>
      </c>
      <c r="J4" s="2093" t="s">
        <v>79</v>
      </c>
      <c r="K4" s="2093" t="s">
        <v>80</v>
      </c>
      <c r="L4" s="2093" t="s">
        <v>81</v>
      </c>
      <c r="M4" s="2093" t="s">
        <v>82</v>
      </c>
      <c r="N4" s="2093" t="s">
        <v>96</v>
      </c>
      <c r="O4" s="2093"/>
      <c r="P4" s="2089" t="s">
        <v>83</v>
      </c>
      <c r="Q4" s="2093" t="s">
        <v>84</v>
      </c>
      <c r="R4" s="2093" t="s">
        <v>86</v>
      </c>
      <c r="S4" s="2093" t="s">
        <v>1910</v>
      </c>
      <c r="T4" s="2093" t="s">
        <v>1227</v>
      </c>
      <c r="U4" s="2093" t="s">
        <v>623</v>
      </c>
    </row>
    <row r="5" spans="1:38" ht="103.5" customHeight="1" x14ac:dyDescent="0.2">
      <c r="A5" s="2091"/>
      <c r="B5" s="2091"/>
      <c r="C5" s="2093"/>
      <c r="D5" s="2091"/>
      <c r="E5" s="2093"/>
      <c r="F5" s="2093"/>
      <c r="G5" s="2096"/>
      <c r="H5" s="2093"/>
      <c r="I5" s="2093"/>
      <c r="J5" s="2093"/>
      <c r="K5" s="2093"/>
      <c r="L5" s="2093"/>
      <c r="M5" s="2093"/>
      <c r="N5" s="1759" t="s">
        <v>97</v>
      </c>
      <c r="O5" s="1758" t="s">
        <v>1496</v>
      </c>
      <c r="P5" s="2089"/>
      <c r="Q5" s="2093"/>
      <c r="R5" s="2093"/>
      <c r="S5" s="2093"/>
      <c r="T5" s="2093"/>
      <c r="U5" s="2093"/>
    </row>
    <row r="6" spans="1:38" x14ac:dyDescent="0.2">
      <c r="A6" s="1759" t="s">
        <v>2</v>
      </c>
      <c r="B6" s="1759" t="s">
        <v>3</v>
      </c>
      <c r="C6" s="1759">
        <v>1</v>
      </c>
      <c r="D6" s="1759">
        <v>2</v>
      </c>
      <c r="E6" s="1759">
        <v>3</v>
      </c>
      <c r="F6" s="1759">
        <v>4</v>
      </c>
      <c r="G6" s="1759">
        <v>5</v>
      </c>
      <c r="H6" s="1759">
        <v>6</v>
      </c>
      <c r="I6" s="1759">
        <v>7</v>
      </c>
      <c r="J6" s="1759">
        <v>8</v>
      </c>
      <c r="K6" s="1759">
        <v>9</v>
      </c>
      <c r="L6" s="1759">
        <v>10</v>
      </c>
      <c r="M6" s="1759">
        <v>11</v>
      </c>
      <c r="N6" s="1759">
        <v>12</v>
      </c>
      <c r="O6" s="1759">
        <v>13</v>
      </c>
      <c r="P6" s="1759">
        <v>14</v>
      </c>
      <c r="Q6" s="1759">
        <v>15</v>
      </c>
      <c r="R6" s="1759">
        <v>16</v>
      </c>
      <c r="S6" s="1759">
        <v>17</v>
      </c>
      <c r="T6" s="1759"/>
      <c r="U6" s="1759">
        <v>18</v>
      </c>
    </row>
    <row r="7" spans="1:38" s="1495" customFormat="1" ht="19.5" customHeight="1" x14ac:dyDescent="0.2">
      <c r="A7" s="1317"/>
      <c r="B7" s="1317" t="s">
        <v>89</v>
      </c>
      <c r="C7" s="1318">
        <f t="shared" ref="C7:S7" si="0">C8+C34+C37+C43+C57+C60</f>
        <v>1161726.79</v>
      </c>
      <c r="D7" s="1318">
        <f t="shared" si="0"/>
        <v>232312</v>
      </c>
      <c r="E7" s="1318">
        <f t="shared" si="0"/>
        <v>10543</v>
      </c>
      <c r="F7" s="1318">
        <f t="shared" si="0"/>
        <v>21935</v>
      </c>
      <c r="G7" s="1318">
        <f t="shared" si="0"/>
        <v>14950</v>
      </c>
      <c r="H7" s="1318">
        <f t="shared" si="0"/>
        <v>382066</v>
      </c>
      <c r="I7" s="1318">
        <f t="shared" si="0"/>
        <v>34154</v>
      </c>
      <c r="J7" s="1318">
        <f t="shared" si="0"/>
        <v>21664</v>
      </c>
      <c r="K7" s="1318">
        <f t="shared" si="0"/>
        <v>5783</v>
      </c>
      <c r="L7" s="1318">
        <f t="shared" si="0"/>
        <v>13466</v>
      </c>
      <c r="M7" s="1318">
        <f>M8+M34+M37+M43+M57+M60</f>
        <v>157469</v>
      </c>
      <c r="N7" s="1318">
        <f t="shared" si="0"/>
        <v>26173</v>
      </c>
      <c r="O7" s="1318">
        <f t="shared" si="0"/>
        <v>62470</v>
      </c>
      <c r="P7" s="1318">
        <f t="shared" si="0"/>
        <v>255417.79</v>
      </c>
      <c r="Q7" s="1318">
        <f t="shared" si="0"/>
        <v>11506</v>
      </c>
      <c r="R7" s="1318">
        <f t="shared" si="0"/>
        <v>461</v>
      </c>
      <c r="S7" s="1318">
        <f t="shared" si="0"/>
        <v>18074</v>
      </c>
      <c r="T7" s="1318">
        <f>T8+T34+T37+T43+T57+T60</f>
        <v>4658</v>
      </c>
      <c r="U7" s="1318"/>
      <c r="AE7" s="1495">
        <v>1160350</v>
      </c>
    </row>
    <row r="8" spans="1:38" s="1495" customFormat="1" ht="29.25" customHeight="1" x14ac:dyDescent="0.2">
      <c r="A8" s="442" t="s">
        <v>2</v>
      </c>
      <c r="B8" s="443" t="s">
        <v>1047</v>
      </c>
      <c r="C8" s="975">
        <f t="shared" ref="C8:R8" si="1">SUM(C9:C33)</f>
        <v>804725.79</v>
      </c>
      <c r="D8" s="975">
        <f t="shared" si="1"/>
        <v>224449</v>
      </c>
      <c r="E8" s="975">
        <f t="shared" si="1"/>
        <v>10543</v>
      </c>
      <c r="F8" s="975">
        <f t="shared" si="1"/>
        <v>0</v>
      </c>
      <c r="G8" s="975">
        <f t="shared" si="1"/>
        <v>2042</v>
      </c>
      <c r="H8" s="975">
        <f t="shared" si="1"/>
        <v>199218</v>
      </c>
      <c r="I8" s="975">
        <f t="shared" si="1"/>
        <v>23799</v>
      </c>
      <c r="J8" s="975">
        <f t="shared" si="1"/>
        <v>21664</v>
      </c>
      <c r="K8" s="975">
        <f t="shared" si="1"/>
        <v>5783</v>
      </c>
      <c r="L8" s="975">
        <f t="shared" si="1"/>
        <v>13266</v>
      </c>
      <c r="M8" s="975">
        <f t="shared" si="1"/>
        <v>113711</v>
      </c>
      <c r="N8" s="975">
        <f t="shared" si="1"/>
        <v>26173</v>
      </c>
      <c r="O8" s="975">
        <f t="shared" si="1"/>
        <v>62470</v>
      </c>
      <c r="P8" s="975">
        <f>SUM(P9:P33)</f>
        <v>178744.79</v>
      </c>
      <c r="Q8" s="975">
        <f t="shared" si="1"/>
        <v>11506</v>
      </c>
      <c r="R8" s="975">
        <f t="shared" si="1"/>
        <v>0</v>
      </c>
      <c r="S8" s="975">
        <f>SUM(S9:S33)</f>
        <v>15730</v>
      </c>
      <c r="T8" s="975">
        <f>SUM(T9:T33)</f>
        <v>3674</v>
      </c>
      <c r="U8" s="975"/>
      <c r="V8" s="1495">
        <f t="shared" ref="V8:AD8" si="2">C8+C34+C37+C43</f>
        <v>899190.79</v>
      </c>
      <c r="W8" s="1495">
        <f t="shared" si="2"/>
        <v>229746</v>
      </c>
      <c r="X8" s="1495">
        <f t="shared" si="2"/>
        <v>10543</v>
      </c>
      <c r="Y8" s="1495">
        <f t="shared" si="2"/>
        <v>0</v>
      </c>
      <c r="Z8" s="1495">
        <f t="shared" si="2"/>
        <v>2042</v>
      </c>
      <c r="AA8" s="1495">
        <f t="shared" si="2"/>
        <v>199218</v>
      </c>
      <c r="AB8" s="1495">
        <f t="shared" si="2"/>
        <v>34154</v>
      </c>
      <c r="AC8" s="1495">
        <f t="shared" si="2"/>
        <v>21664</v>
      </c>
      <c r="AD8" s="1495">
        <f t="shared" si="2"/>
        <v>5783</v>
      </c>
      <c r="AE8" s="1495">
        <f>C7-AE7</f>
        <v>1376.7900000000373</v>
      </c>
    </row>
    <row r="9" spans="1:38" ht="42" customHeight="1" x14ac:dyDescent="0.2">
      <c r="A9" s="973">
        <v>1</v>
      </c>
      <c r="B9" s="974" t="s">
        <v>1945</v>
      </c>
      <c r="C9" s="964">
        <f t="shared" ref="C9:C33" si="3">D9+E9+F9+G9+H9+I9+J9+K9+L9+M9+P9+Q9+R9</f>
        <v>27701</v>
      </c>
      <c r="D9" s="964"/>
      <c r="E9" s="964"/>
      <c r="F9" s="964"/>
      <c r="G9" s="964"/>
      <c r="H9" s="964"/>
      <c r="I9" s="964"/>
      <c r="J9" s="964"/>
      <c r="K9" s="964"/>
      <c r="L9" s="964"/>
      <c r="M9" s="964">
        <v>2715</v>
      </c>
      <c r="N9" s="964"/>
      <c r="O9" s="964"/>
      <c r="P9" s="964">
        <f>8966+176+11942+3902</f>
        <v>24986</v>
      </c>
      <c r="Q9" s="964"/>
      <c r="R9" s="964"/>
      <c r="S9" s="1325">
        <f>575+212+106</f>
        <v>893</v>
      </c>
      <c r="T9" s="1325">
        <f>287+43+21</f>
        <v>351</v>
      </c>
      <c r="U9" s="441" t="s">
        <v>1052</v>
      </c>
      <c r="V9" s="445">
        <f>S7-T57</f>
        <v>17774</v>
      </c>
      <c r="AD9" s="445">
        <f>H8+H34+H43+H37</f>
        <v>199218</v>
      </c>
      <c r="AE9" s="445">
        <f>AE8-10</f>
        <v>1366.7900000000373</v>
      </c>
      <c r="AH9" s="445">
        <f>J8+J34+J43+J37</f>
        <v>21664</v>
      </c>
      <c r="AI9" s="445" t="e">
        <f>#REF!+#REF!+#REF!+#REF!</f>
        <v>#REF!</v>
      </c>
      <c r="AJ9" s="445">
        <f>K8+K34+K43+K37</f>
        <v>5783</v>
      </c>
      <c r="AK9" s="445" t="e">
        <f>#REF!+#REF!+#REF!+#REF!</f>
        <v>#REF!</v>
      </c>
      <c r="AL9" s="445">
        <f>L8+L34+L43+L37</f>
        <v>13266</v>
      </c>
    </row>
    <row r="10" spans="1:38" ht="18" customHeight="1" x14ac:dyDescent="0.2">
      <c r="A10" s="973">
        <v>2</v>
      </c>
      <c r="B10" s="440" t="s">
        <v>160</v>
      </c>
      <c r="C10" s="964">
        <f t="shared" si="3"/>
        <v>14699</v>
      </c>
      <c r="D10" s="964">
        <v>49</v>
      </c>
      <c r="E10" s="964"/>
      <c r="F10" s="964"/>
      <c r="G10" s="964"/>
      <c r="H10" s="964"/>
      <c r="I10" s="964">
        <v>708</v>
      </c>
      <c r="J10" s="964"/>
      <c r="K10" s="964"/>
      <c r="L10" s="964"/>
      <c r="M10" s="964"/>
      <c r="N10" s="964"/>
      <c r="O10" s="964"/>
      <c r="P10" s="964">
        <v>13942</v>
      </c>
      <c r="Q10" s="964"/>
      <c r="R10" s="964"/>
      <c r="S10" s="1325">
        <v>317</v>
      </c>
      <c r="T10" s="1325">
        <v>79</v>
      </c>
      <c r="U10" s="441" t="s">
        <v>1053</v>
      </c>
    </row>
    <row r="11" spans="1:38" ht="18" customHeight="1" x14ac:dyDescent="0.2">
      <c r="A11" s="973">
        <v>3</v>
      </c>
      <c r="B11" s="440" t="s">
        <v>161</v>
      </c>
      <c r="C11" s="964">
        <f t="shared" si="3"/>
        <v>5877</v>
      </c>
      <c r="D11" s="964"/>
      <c r="E11" s="964"/>
      <c r="F11" s="964"/>
      <c r="G11" s="964"/>
      <c r="H11" s="964"/>
      <c r="I11" s="964"/>
      <c r="J11" s="964"/>
      <c r="K11" s="964"/>
      <c r="L11" s="964"/>
      <c r="M11" s="964">
        <v>333</v>
      </c>
      <c r="N11" s="964"/>
      <c r="O11" s="964"/>
      <c r="P11" s="964">
        <v>5544</v>
      </c>
      <c r="Q11" s="964"/>
      <c r="R11" s="964"/>
      <c r="S11" s="1325">
        <v>223</v>
      </c>
      <c r="T11" s="1325">
        <v>45</v>
      </c>
      <c r="U11" s="441" t="s">
        <v>1054</v>
      </c>
    </row>
    <row r="12" spans="1:38" ht="18" customHeight="1" x14ac:dyDescent="0.2">
      <c r="A12" s="973">
        <v>4</v>
      </c>
      <c r="B12" s="440" t="s">
        <v>162</v>
      </c>
      <c r="C12" s="964">
        <f t="shared" si="3"/>
        <v>16806</v>
      </c>
      <c r="D12" s="964"/>
      <c r="E12" s="964"/>
      <c r="F12" s="964"/>
      <c r="G12" s="964"/>
      <c r="H12" s="964"/>
      <c r="I12" s="964"/>
      <c r="J12" s="964"/>
      <c r="K12" s="964"/>
      <c r="L12" s="964"/>
      <c r="M12" s="964">
        <f>5697-907-4640+'Biểu 37 a DT SC Tr.sơ'!H11+'Biểu 37 a DT SC Tr.sơ'!H14</f>
        <v>5697</v>
      </c>
      <c r="N12" s="964"/>
      <c r="O12" s="964"/>
      <c r="P12" s="964">
        <f>10959+150</f>
        <v>11109</v>
      </c>
      <c r="Q12" s="964"/>
      <c r="R12" s="964"/>
      <c r="S12" s="1325">
        <v>306</v>
      </c>
      <c r="T12" s="1325">
        <v>139</v>
      </c>
      <c r="U12" s="441" t="s">
        <v>1055</v>
      </c>
    </row>
    <row r="13" spans="1:38" ht="18" customHeight="1" x14ac:dyDescent="0.2">
      <c r="A13" s="973">
        <v>5</v>
      </c>
      <c r="B13" s="440" t="s">
        <v>163</v>
      </c>
      <c r="C13" s="964">
        <f t="shared" si="3"/>
        <v>10602</v>
      </c>
      <c r="D13" s="964"/>
      <c r="E13" s="964"/>
      <c r="F13" s="964"/>
      <c r="G13" s="964"/>
      <c r="H13" s="964"/>
      <c r="I13" s="964"/>
      <c r="J13" s="964"/>
      <c r="K13" s="964"/>
      <c r="L13" s="964"/>
      <c r="M13" s="964">
        <v>455</v>
      </c>
      <c r="N13" s="964"/>
      <c r="O13" s="964"/>
      <c r="P13" s="964">
        <f>98+9415+9+11+614</f>
        <v>10147</v>
      </c>
      <c r="Q13" s="964"/>
      <c r="R13" s="964"/>
      <c r="S13" s="1325">
        <f>84+271</f>
        <v>355</v>
      </c>
      <c r="T13" s="1325">
        <f>131-9</f>
        <v>122</v>
      </c>
      <c r="U13" s="441" t="s">
        <v>1056</v>
      </c>
    </row>
    <row r="14" spans="1:38" ht="18" customHeight="1" x14ac:dyDescent="0.2">
      <c r="A14" s="973">
        <v>6</v>
      </c>
      <c r="B14" s="440" t="s">
        <v>164</v>
      </c>
      <c r="C14" s="964">
        <f t="shared" si="3"/>
        <v>32490</v>
      </c>
      <c r="D14" s="964"/>
      <c r="E14" s="964"/>
      <c r="F14" s="964"/>
      <c r="G14" s="964">
        <v>631</v>
      </c>
      <c r="H14" s="964"/>
      <c r="I14" s="964"/>
      <c r="J14" s="964"/>
      <c r="K14" s="964"/>
      <c r="L14" s="964"/>
      <c r="M14" s="964">
        <f>1000+23525-50+1</f>
        <v>24476</v>
      </c>
      <c r="N14" s="964">
        <f>M14</f>
        <v>24476</v>
      </c>
      <c r="O14" s="964"/>
      <c r="P14" s="964">
        <v>7383</v>
      </c>
      <c r="Q14" s="964"/>
      <c r="R14" s="964"/>
      <c r="S14" s="1325">
        <v>673</v>
      </c>
      <c r="T14" s="1325">
        <v>111</v>
      </c>
      <c r="U14" s="441" t="s">
        <v>1057</v>
      </c>
    </row>
    <row r="15" spans="1:38" ht="18" customHeight="1" x14ac:dyDescent="0.2">
      <c r="A15" s="973">
        <v>7</v>
      </c>
      <c r="B15" s="440" t="s">
        <v>165</v>
      </c>
      <c r="C15" s="964">
        <f t="shared" si="3"/>
        <v>6346</v>
      </c>
      <c r="D15" s="964"/>
      <c r="E15" s="964"/>
      <c r="F15" s="964"/>
      <c r="G15" s="964"/>
      <c r="H15" s="964"/>
      <c r="I15" s="964"/>
      <c r="J15" s="964"/>
      <c r="K15" s="964"/>
      <c r="L15" s="964"/>
      <c r="M15" s="964">
        <v>1028</v>
      </c>
      <c r="N15" s="964"/>
      <c r="O15" s="964"/>
      <c r="P15" s="964">
        <v>5318</v>
      </c>
      <c r="Q15" s="964"/>
      <c r="R15" s="964"/>
      <c r="S15" s="1325">
        <v>157</v>
      </c>
      <c r="T15" s="1325">
        <v>31</v>
      </c>
      <c r="U15" s="441" t="s">
        <v>1058</v>
      </c>
    </row>
    <row r="16" spans="1:38" ht="18" customHeight="1" x14ac:dyDescent="0.2">
      <c r="A16" s="973">
        <v>8</v>
      </c>
      <c r="B16" s="440" t="s">
        <v>166</v>
      </c>
      <c r="C16" s="964">
        <f t="shared" si="3"/>
        <v>8521</v>
      </c>
      <c r="D16" s="964"/>
      <c r="E16" s="964"/>
      <c r="F16" s="964"/>
      <c r="G16" s="964"/>
      <c r="H16" s="964"/>
      <c r="I16" s="964"/>
      <c r="J16" s="964"/>
      <c r="K16" s="964"/>
      <c r="L16" s="964"/>
      <c r="M16" s="964">
        <f>4065</f>
        <v>4065</v>
      </c>
      <c r="N16" s="964"/>
      <c r="O16" s="964"/>
      <c r="P16" s="964">
        <v>4456</v>
      </c>
      <c r="Q16" s="964"/>
      <c r="R16" s="964"/>
      <c r="S16" s="1325">
        <v>136</v>
      </c>
      <c r="T16" s="1325">
        <v>32</v>
      </c>
      <c r="U16" s="441" t="s">
        <v>1059</v>
      </c>
    </row>
    <row r="17" spans="1:22" ht="18" customHeight="1" x14ac:dyDescent="0.2">
      <c r="A17" s="973">
        <v>9</v>
      </c>
      <c r="B17" s="440" t="s">
        <v>167</v>
      </c>
      <c r="C17" s="964">
        <f t="shared" si="3"/>
        <v>31343</v>
      </c>
      <c r="D17" s="964"/>
      <c r="E17" s="964"/>
      <c r="F17" s="964"/>
      <c r="G17" s="964"/>
      <c r="H17" s="964">
        <v>160</v>
      </c>
      <c r="I17" s="964">
        <f>18173-10+1000+7</f>
        <v>19170</v>
      </c>
      <c r="J17" s="964">
        <v>0</v>
      </c>
      <c r="K17" s="964">
        <v>5783</v>
      </c>
      <c r="L17" s="964"/>
      <c r="M17" s="964">
        <f>1182</f>
        <v>1182</v>
      </c>
      <c r="N17" s="964"/>
      <c r="O17" s="964"/>
      <c r="P17" s="964">
        <f>5038+'CTMT TPMT'!C36</f>
        <v>5048</v>
      </c>
      <c r="Q17" s="964"/>
      <c r="R17" s="964"/>
      <c r="S17" s="1325">
        <v>960</v>
      </c>
      <c r="T17" s="1325">
        <v>192</v>
      </c>
      <c r="U17" s="441" t="s">
        <v>1060</v>
      </c>
    </row>
    <row r="18" spans="1:22" ht="18" customHeight="1" x14ac:dyDescent="0.2">
      <c r="A18" s="973">
        <v>10</v>
      </c>
      <c r="B18" s="440" t="s">
        <v>168</v>
      </c>
      <c r="C18" s="964">
        <f t="shared" si="3"/>
        <v>20066</v>
      </c>
      <c r="D18" s="964"/>
      <c r="E18" s="964"/>
      <c r="F18" s="964"/>
      <c r="G18" s="964"/>
      <c r="H18" s="964"/>
      <c r="I18" s="964"/>
      <c r="J18" s="964"/>
      <c r="K18" s="964"/>
      <c r="L18" s="964"/>
      <c r="M18" s="964">
        <v>1080</v>
      </c>
      <c r="N18" s="964"/>
      <c r="O18" s="964"/>
      <c r="P18" s="964">
        <f>940+6376+135-1+'CTMT TPMT'!C32</f>
        <v>7480</v>
      </c>
      <c r="Q18" s="964">
        <f>1868+9638</f>
        <v>11506</v>
      </c>
      <c r="R18" s="964"/>
      <c r="S18" s="1325">
        <v>281</v>
      </c>
      <c r="T18" s="1325">
        <v>68</v>
      </c>
      <c r="U18" s="441" t="s">
        <v>1061</v>
      </c>
    </row>
    <row r="19" spans="1:22" ht="18" customHeight="1" x14ac:dyDescent="0.2">
      <c r="A19" s="973">
        <v>11</v>
      </c>
      <c r="B19" s="440" t="s">
        <v>169</v>
      </c>
      <c r="C19" s="964">
        <f t="shared" si="3"/>
        <v>14852</v>
      </c>
      <c r="D19" s="964"/>
      <c r="E19" s="964">
        <f>11025-482</f>
        <v>10543</v>
      </c>
      <c r="F19" s="964"/>
      <c r="G19" s="964"/>
      <c r="H19" s="964"/>
      <c r="I19" s="964"/>
      <c r="J19" s="964"/>
      <c r="K19" s="964"/>
      <c r="L19" s="964"/>
      <c r="M19" s="964"/>
      <c r="N19" s="964"/>
      <c r="O19" s="964"/>
      <c r="P19" s="964">
        <v>4309</v>
      </c>
      <c r="Q19" s="964"/>
      <c r="R19" s="964"/>
      <c r="S19" s="1325">
        <v>187</v>
      </c>
      <c r="T19" s="1325">
        <v>34</v>
      </c>
      <c r="U19" s="441" t="s">
        <v>1062</v>
      </c>
    </row>
    <row r="20" spans="1:22" ht="18" customHeight="1" x14ac:dyDescent="0.2">
      <c r="A20" s="973">
        <v>12</v>
      </c>
      <c r="B20" s="440" t="s">
        <v>170</v>
      </c>
      <c r="C20" s="964">
        <f t="shared" si="3"/>
        <v>77837</v>
      </c>
      <c r="D20" s="964"/>
      <c r="E20" s="964"/>
      <c r="F20" s="964"/>
      <c r="G20" s="964"/>
      <c r="H20" s="964"/>
      <c r="I20" s="964"/>
      <c r="J20" s="964"/>
      <c r="K20" s="964"/>
      <c r="L20" s="964"/>
      <c r="M20" s="964">
        <f>37758+'Biểu 37 a DT SC Tr.sơ'!H10-400-784</f>
        <v>36974</v>
      </c>
      <c r="N20" s="964"/>
      <c r="O20" s="964">
        <f>M20</f>
        <v>36974</v>
      </c>
      <c r="P20" s="964">
        <v>40863</v>
      </c>
      <c r="Q20" s="964"/>
      <c r="R20" s="964"/>
      <c r="S20" s="1325">
        <v>1296</v>
      </c>
      <c r="T20" s="1325">
        <v>432</v>
      </c>
      <c r="U20" s="441" t="s">
        <v>1063</v>
      </c>
    </row>
    <row r="21" spans="1:22" ht="18" customHeight="1" x14ac:dyDescent="0.2">
      <c r="A21" s="973">
        <v>13</v>
      </c>
      <c r="B21" s="440" t="s">
        <v>171</v>
      </c>
      <c r="C21" s="964">
        <f t="shared" si="3"/>
        <v>35260</v>
      </c>
      <c r="D21" s="964"/>
      <c r="E21" s="964"/>
      <c r="F21" s="964"/>
      <c r="G21" s="964"/>
      <c r="H21" s="964"/>
      <c r="I21" s="964"/>
      <c r="J21" s="964"/>
      <c r="K21" s="964"/>
      <c r="L21" s="964">
        <v>4213</v>
      </c>
      <c r="M21" s="964">
        <f>25036+'Biểu 37 a DT SC Tr.sơ'!H15+60</f>
        <v>25496</v>
      </c>
      <c r="N21" s="964"/>
      <c r="O21" s="964">
        <f>M21</f>
        <v>25496</v>
      </c>
      <c r="P21" s="964">
        <v>5551</v>
      </c>
      <c r="Q21" s="964"/>
      <c r="R21" s="964"/>
      <c r="S21" s="1325">
        <v>1050</v>
      </c>
      <c r="T21" s="1325">
        <v>210</v>
      </c>
      <c r="U21" s="441" t="s">
        <v>1064</v>
      </c>
    </row>
    <row r="22" spans="1:22" ht="18" customHeight="1" x14ac:dyDescent="0.2">
      <c r="A22" s="973">
        <v>14</v>
      </c>
      <c r="B22" s="440" t="s">
        <v>172</v>
      </c>
      <c r="C22" s="964">
        <f t="shared" si="3"/>
        <v>211018</v>
      </c>
      <c r="D22" s="964">
        <v>4322</v>
      </c>
      <c r="E22" s="964"/>
      <c r="F22" s="964"/>
      <c r="G22" s="964"/>
      <c r="H22" s="964">
        <f>6655+189241+100+5000-1868-720+'Biểu 37 a DT SC Tr.sơ'!H16-70</f>
        <v>199058</v>
      </c>
      <c r="I22" s="964"/>
      <c r="J22" s="964"/>
      <c r="K22" s="964"/>
      <c r="L22" s="964"/>
      <c r="M22" s="964"/>
      <c r="N22" s="964"/>
      <c r="O22" s="964"/>
      <c r="P22" s="964">
        <f>7486-13+70+70+'CTMT TPMT'!C34</f>
        <v>7638</v>
      </c>
      <c r="Q22" s="964"/>
      <c r="R22" s="964"/>
      <c r="S22" s="1325">
        <v>4736</v>
      </c>
      <c r="T22" s="1325">
        <v>948</v>
      </c>
      <c r="U22" s="441" t="s">
        <v>1065</v>
      </c>
      <c r="V22" s="445">
        <v>210923</v>
      </c>
    </row>
    <row r="23" spans="1:22" ht="18" customHeight="1" x14ac:dyDescent="0.2">
      <c r="A23" s="973">
        <v>15</v>
      </c>
      <c r="B23" s="440" t="s">
        <v>173</v>
      </c>
      <c r="C23" s="964">
        <f t="shared" si="3"/>
        <v>198776</v>
      </c>
      <c r="D23" s="964">
        <v>192155</v>
      </c>
      <c r="E23" s="964"/>
      <c r="F23" s="964"/>
      <c r="G23" s="964"/>
      <c r="H23" s="964"/>
      <c r="I23" s="964"/>
      <c r="J23" s="964"/>
      <c r="K23" s="964"/>
      <c r="L23" s="964"/>
      <c r="M23" s="964"/>
      <c r="N23" s="964"/>
      <c r="O23" s="964"/>
      <c r="P23" s="964">
        <f>6611+'CTMT TPMT'!C14</f>
        <v>6621</v>
      </c>
      <c r="Q23" s="964"/>
      <c r="R23" s="964"/>
      <c r="S23" s="1325">
        <v>2451</v>
      </c>
      <c r="T23" s="1325">
        <v>496</v>
      </c>
      <c r="U23" s="441" t="s">
        <v>1066</v>
      </c>
      <c r="V23" s="445">
        <f>C22-V22</f>
        <v>95</v>
      </c>
    </row>
    <row r="24" spans="1:22" ht="27.75" customHeight="1" x14ac:dyDescent="0.2">
      <c r="A24" s="973">
        <v>16</v>
      </c>
      <c r="B24" s="974" t="s">
        <v>174</v>
      </c>
      <c r="C24" s="964">
        <f t="shared" si="3"/>
        <v>11640</v>
      </c>
      <c r="D24" s="964"/>
      <c r="E24" s="964"/>
      <c r="F24" s="964"/>
      <c r="G24" s="964"/>
      <c r="H24" s="964"/>
      <c r="I24" s="964">
        <v>3921</v>
      </c>
      <c r="J24" s="964"/>
      <c r="K24" s="964"/>
      <c r="L24" s="964"/>
      <c r="M24" s="964">
        <f>3570+700</f>
        <v>4270</v>
      </c>
      <c r="N24" s="964"/>
      <c r="O24" s="964"/>
      <c r="P24" s="964">
        <f>3439+'CTMT TPMT'!C16</f>
        <v>3449</v>
      </c>
      <c r="Q24" s="964"/>
      <c r="R24" s="964"/>
      <c r="S24" s="1325">
        <v>209</v>
      </c>
      <c r="T24" s="1325">
        <v>42</v>
      </c>
      <c r="U24" s="441" t="s">
        <v>1067</v>
      </c>
    </row>
    <row r="25" spans="1:22" ht="18.75" customHeight="1" x14ac:dyDescent="0.2">
      <c r="A25" s="973">
        <v>17</v>
      </c>
      <c r="B25" s="440" t="s">
        <v>175</v>
      </c>
      <c r="C25" s="964">
        <f t="shared" si="3"/>
        <v>5043.79</v>
      </c>
      <c r="D25" s="964"/>
      <c r="E25" s="964"/>
      <c r="F25" s="964"/>
      <c r="G25" s="964"/>
      <c r="H25" s="964"/>
      <c r="I25" s="964"/>
      <c r="J25" s="964"/>
      <c r="K25" s="964"/>
      <c r="L25" s="964"/>
      <c r="M25" s="964"/>
      <c r="N25" s="964"/>
      <c r="O25" s="964"/>
      <c r="P25" s="964">
        <v>5043.79</v>
      </c>
      <c r="Q25" s="964"/>
      <c r="R25" s="964"/>
      <c r="S25" s="1325">
        <v>92</v>
      </c>
      <c r="T25" s="1325">
        <v>12</v>
      </c>
      <c r="U25" s="441" t="s">
        <v>1068</v>
      </c>
    </row>
    <row r="26" spans="1:22" ht="18.75" customHeight="1" x14ac:dyDescent="0.2">
      <c r="A26" s="973">
        <v>18</v>
      </c>
      <c r="B26" s="440" t="s">
        <v>177</v>
      </c>
      <c r="C26" s="964">
        <f t="shared" si="3"/>
        <v>21664</v>
      </c>
      <c r="D26" s="964"/>
      <c r="E26" s="964"/>
      <c r="F26" s="964"/>
      <c r="G26" s="964"/>
      <c r="H26" s="964"/>
      <c r="I26" s="964"/>
      <c r="J26" s="964">
        <f>21654+'CTMT TPMT'!C38</f>
        <v>21664</v>
      </c>
      <c r="K26" s="964"/>
      <c r="L26" s="964"/>
      <c r="M26" s="964"/>
      <c r="N26" s="964"/>
      <c r="O26" s="964"/>
      <c r="P26" s="964"/>
      <c r="Q26" s="964"/>
      <c r="R26" s="964"/>
      <c r="S26" s="1325">
        <v>246</v>
      </c>
      <c r="T26" s="1325">
        <v>98</v>
      </c>
      <c r="U26" s="441" t="s">
        <v>1069</v>
      </c>
    </row>
    <row r="27" spans="1:22" ht="28.5" customHeight="1" x14ac:dyDescent="0.2">
      <c r="A27" s="973">
        <v>19</v>
      </c>
      <c r="B27" s="974" t="s">
        <v>1909</v>
      </c>
      <c r="C27" s="964">
        <f t="shared" si="3"/>
        <v>13877</v>
      </c>
      <c r="D27" s="964"/>
      <c r="E27" s="964"/>
      <c r="F27" s="964"/>
      <c r="G27" s="964"/>
      <c r="H27" s="964"/>
      <c r="I27" s="964"/>
      <c r="J27" s="964"/>
      <c r="K27" s="964"/>
      <c r="L27" s="964">
        <v>9053</v>
      </c>
      <c r="M27" s="964">
        <f>5584-1400+'Biểu 37 a DT SC Tr.sơ'!H13</f>
        <v>4824</v>
      </c>
      <c r="N27" s="964">
        <v>1697</v>
      </c>
      <c r="O27" s="964"/>
      <c r="P27" s="964"/>
      <c r="Q27" s="964"/>
      <c r="R27" s="964"/>
      <c r="S27" s="1325">
        <v>236</v>
      </c>
      <c r="T27" s="1325">
        <v>47</v>
      </c>
      <c r="U27" s="441" t="s">
        <v>1912</v>
      </c>
      <c r="V27" s="445">
        <f>C8+C34+C37+C43</f>
        <v>899190.79</v>
      </c>
    </row>
    <row r="28" spans="1:22" ht="16.5" customHeight="1" x14ac:dyDescent="0.2">
      <c r="A28" s="973">
        <v>20</v>
      </c>
      <c r="B28" s="440" t="s">
        <v>179</v>
      </c>
      <c r="C28" s="964">
        <f t="shared" si="3"/>
        <v>10690</v>
      </c>
      <c r="D28" s="964">
        <v>10690</v>
      </c>
      <c r="E28" s="964"/>
      <c r="F28" s="964"/>
      <c r="G28" s="964"/>
      <c r="H28" s="964"/>
      <c r="I28" s="964"/>
      <c r="J28" s="964"/>
      <c r="K28" s="964"/>
      <c r="L28" s="964"/>
      <c r="M28" s="964"/>
      <c r="N28" s="964"/>
      <c r="O28" s="964"/>
      <c r="P28" s="964"/>
      <c r="Q28" s="964"/>
      <c r="R28" s="964"/>
      <c r="S28" s="1325">
        <v>173</v>
      </c>
      <c r="T28" s="1325">
        <v>35</v>
      </c>
      <c r="U28" s="441" t="s">
        <v>1070</v>
      </c>
    </row>
    <row r="29" spans="1:22" ht="18.75" customHeight="1" x14ac:dyDescent="0.2">
      <c r="A29" s="973">
        <v>21</v>
      </c>
      <c r="B29" s="440" t="s">
        <v>180</v>
      </c>
      <c r="C29" s="964">
        <f t="shared" si="3"/>
        <v>5011</v>
      </c>
      <c r="D29" s="964"/>
      <c r="E29" s="964"/>
      <c r="F29" s="964"/>
      <c r="G29" s="964"/>
      <c r="H29" s="964"/>
      <c r="I29" s="964"/>
      <c r="J29" s="964"/>
      <c r="K29" s="964"/>
      <c r="L29" s="964"/>
      <c r="M29" s="964"/>
      <c r="N29" s="964"/>
      <c r="O29" s="964"/>
      <c r="P29" s="964">
        <f>4731+280</f>
        <v>5011</v>
      </c>
      <c r="Q29" s="964"/>
      <c r="R29" s="964"/>
      <c r="S29" s="1325">
        <v>64</v>
      </c>
      <c r="T29" s="1325">
        <v>13</v>
      </c>
      <c r="U29" s="441" t="s">
        <v>1071</v>
      </c>
    </row>
    <row r="30" spans="1:22" ht="29.25" customHeight="1" x14ac:dyDescent="0.2">
      <c r="A30" s="973">
        <v>22</v>
      </c>
      <c r="B30" s="974" t="s">
        <v>181</v>
      </c>
      <c r="C30" s="964">
        <f t="shared" si="3"/>
        <v>2933</v>
      </c>
      <c r="D30" s="964"/>
      <c r="E30" s="964"/>
      <c r="F30" s="964"/>
      <c r="G30" s="964"/>
      <c r="H30" s="964"/>
      <c r="I30" s="964"/>
      <c r="J30" s="964"/>
      <c r="K30" s="964"/>
      <c r="L30" s="964"/>
      <c r="M30" s="964">
        <v>1116</v>
      </c>
      <c r="N30" s="964"/>
      <c r="O30" s="964"/>
      <c r="P30" s="964">
        <v>1817</v>
      </c>
      <c r="Q30" s="964"/>
      <c r="R30" s="964"/>
      <c r="S30" s="1325">
        <v>72</v>
      </c>
      <c r="T30" s="1325">
        <v>14</v>
      </c>
      <c r="U30" s="446"/>
    </row>
    <row r="31" spans="1:22" ht="18.75" customHeight="1" x14ac:dyDescent="0.2">
      <c r="A31" s="973">
        <v>23</v>
      </c>
      <c r="B31" s="974" t="s">
        <v>182</v>
      </c>
      <c r="C31" s="964">
        <f t="shared" si="3"/>
        <v>1411</v>
      </c>
      <c r="D31" s="964"/>
      <c r="E31" s="964"/>
      <c r="F31" s="964"/>
      <c r="G31" s="964">
        <v>1411</v>
      </c>
      <c r="H31" s="964"/>
      <c r="I31" s="964"/>
      <c r="J31" s="964"/>
      <c r="K31" s="964"/>
      <c r="L31" s="964"/>
      <c r="M31" s="964"/>
      <c r="N31" s="964"/>
      <c r="O31" s="964"/>
      <c r="P31" s="964"/>
      <c r="Q31" s="964"/>
      <c r="R31" s="964"/>
      <c r="S31" s="1325">
        <v>59</v>
      </c>
      <c r="T31" s="1325">
        <v>12</v>
      </c>
      <c r="U31" s="446" t="s">
        <v>1072</v>
      </c>
    </row>
    <row r="32" spans="1:22" ht="27.75" customHeight="1" x14ac:dyDescent="0.2">
      <c r="A32" s="973">
        <v>24</v>
      </c>
      <c r="B32" s="974" t="s">
        <v>1913</v>
      </c>
      <c r="C32" s="964">
        <f t="shared" si="3"/>
        <v>17233</v>
      </c>
      <c r="D32" s="964">
        <f>5000+12233</f>
        <v>17233</v>
      </c>
      <c r="E32" s="964"/>
      <c r="F32" s="964"/>
      <c r="G32" s="964"/>
      <c r="H32" s="964"/>
      <c r="I32" s="964"/>
      <c r="J32" s="964"/>
      <c r="K32" s="964"/>
      <c r="L32" s="964"/>
      <c r="M32" s="964"/>
      <c r="N32" s="964"/>
      <c r="O32" s="964"/>
      <c r="P32" s="964"/>
      <c r="Q32" s="964"/>
      <c r="R32" s="964"/>
      <c r="S32" s="1325">
        <v>521</v>
      </c>
      <c r="T32" s="1325">
        <v>104</v>
      </c>
      <c r="U32" s="446" t="s">
        <v>1073</v>
      </c>
    </row>
    <row r="33" spans="1:22" ht="28.5" customHeight="1" x14ac:dyDescent="0.2">
      <c r="A33" s="973">
        <v>25</v>
      </c>
      <c r="B33" s="974" t="s">
        <v>926</v>
      </c>
      <c r="C33" s="964">
        <f t="shared" si="3"/>
        <v>3029</v>
      </c>
      <c r="D33" s="964"/>
      <c r="E33" s="964"/>
      <c r="F33" s="964"/>
      <c r="G33" s="964"/>
      <c r="H33" s="964"/>
      <c r="I33" s="964"/>
      <c r="J33" s="964"/>
      <c r="K33" s="964"/>
      <c r="L33" s="964"/>
      <c r="M33" s="964"/>
      <c r="N33" s="964"/>
      <c r="O33" s="964"/>
      <c r="P33" s="964">
        <v>3029</v>
      </c>
      <c r="Q33" s="964"/>
      <c r="R33" s="964"/>
      <c r="S33" s="1325">
        <v>37</v>
      </c>
      <c r="T33" s="1325">
        <v>7</v>
      </c>
      <c r="U33" s="446" t="s">
        <v>1160</v>
      </c>
    </row>
    <row r="34" spans="1:22" s="1495" customFormat="1" ht="17.25" customHeight="1" x14ac:dyDescent="0.2">
      <c r="A34" s="442" t="s">
        <v>3</v>
      </c>
      <c r="B34" s="447" t="s">
        <v>184</v>
      </c>
      <c r="C34" s="975">
        <f>C35+C36</f>
        <v>62894</v>
      </c>
      <c r="D34" s="975">
        <f t="shared" ref="D34:R34" si="4">D35+D36</f>
        <v>5297</v>
      </c>
      <c r="E34" s="975">
        <f t="shared" si="4"/>
        <v>0</v>
      </c>
      <c r="F34" s="975">
        <f t="shared" si="4"/>
        <v>0</v>
      </c>
      <c r="G34" s="975">
        <f t="shared" si="4"/>
        <v>0</v>
      </c>
      <c r="H34" s="975">
        <f t="shared" si="4"/>
        <v>0</v>
      </c>
      <c r="I34" s="975">
        <f t="shared" si="4"/>
        <v>10355</v>
      </c>
      <c r="J34" s="975">
        <f t="shared" si="4"/>
        <v>0</v>
      </c>
      <c r="K34" s="975">
        <f t="shared" si="4"/>
        <v>0</v>
      </c>
      <c r="L34" s="975">
        <f t="shared" si="4"/>
        <v>0</v>
      </c>
      <c r="M34" s="975">
        <f t="shared" si="4"/>
        <v>0</v>
      </c>
      <c r="N34" s="975">
        <f t="shared" si="4"/>
        <v>0</v>
      </c>
      <c r="O34" s="975">
        <f t="shared" si="4"/>
        <v>0</v>
      </c>
      <c r="P34" s="975">
        <f>P35+P36</f>
        <v>47242</v>
      </c>
      <c r="Q34" s="975">
        <f t="shared" si="4"/>
        <v>0</v>
      </c>
      <c r="R34" s="975">
        <f t="shared" si="4"/>
        <v>0</v>
      </c>
      <c r="S34" s="1326">
        <f>S35+S36</f>
        <v>1677</v>
      </c>
      <c r="T34" s="1326">
        <f>T35+T36</f>
        <v>547</v>
      </c>
      <c r="U34" s="441"/>
    </row>
    <row r="35" spans="1:22" ht="15" customHeight="1" x14ac:dyDescent="0.2">
      <c r="A35" s="973">
        <v>1</v>
      </c>
      <c r="B35" s="440" t="s">
        <v>185</v>
      </c>
      <c r="C35" s="964">
        <f>D35+E35+F35+G35+H35+I35+J35+K35+L35+M35+P35+Q35+R35</f>
        <v>57597</v>
      </c>
      <c r="D35" s="964"/>
      <c r="E35" s="964"/>
      <c r="F35" s="964"/>
      <c r="G35" s="964"/>
      <c r="H35" s="964"/>
      <c r="I35" s="964">
        <f>10+10345</f>
        <v>10355</v>
      </c>
      <c r="J35" s="964"/>
      <c r="K35" s="964"/>
      <c r="L35" s="964"/>
      <c r="M35" s="964"/>
      <c r="N35" s="964"/>
      <c r="O35" s="964"/>
      <c r="P35" s="964">
        <f>47232+'CTMT TPMT'!C30-10</f>
        <v>47242</v>
      </c>
      <c r="Q35" s="964"/>
      <c r="R35" s="964"/>
      <c r="S35" s="1325">
        <v>1584</v>
      </c>
      <c r="T35" s="1325">
        <v>528</v>
      </c>
      <c r="U35" s="441" t="s">
        <v>1074</v>
      </c>
    </row>
    <row r="36" spans="1:22" ht="15" customHeight="1" x14ac:dyDescent="0.2">
      <c r="A36" s="990">
        <v>2</v>
      </c>
      <c r="B36" s="974" t="s">
        <v>186</v>
      </c>
      <c r="C36" s="964">
        <f>D36+E36+F36+G36+H36+I36+J36+K36+L36+M36+P36+Q36+R36</f>
        <v>5297</v>
      </c>
      <c r="D36" s="964">
        <v>5297</v>
      </c>
      <c r="E36" s="964"/>
      <c r="F36" s="964"/>
      <c r="G36" s="964"/>
      <c r="H36" s="964"/>
      <c r="I36" s="964"/>
      <c r="J36" s="964"/>
      <c r="K36" s="964"/>
      <c r="L36" s="964"/>
      <c r="M36" s="964"/>
      <c r="N36" s="964"/>
      <c r="O36" s="964"/>
      <c r="P36" s="964"/>
      <c r="Q36" s="964"/>
      <c r="R36" s="964"/>
      <c r="S36" s="1325">
        <v>93</v>
      </c>
      <c r="T36" s="1325">
        <v>19</v>
      </c>
      <c r="U36" s="441" t="s">
        <v>1075</v>
      </c>
    </row>
    <row r="37" spans="1:22" s="1495" customFormat="1" ht="17.25" customHeight="1" x14ac:dyDescent="0.2">
      <c r="A37" s="442" t="s">
        <v>4</v>
      </c>
      <c r="B37" s="448" t="s">
        <v>187</v>
      </c>
      <c r="C37" s="975">
        <f>SUM(C38:C42)</f>
        <v>20103</v>
      </c>
      <c r="D37" s="975"/>
      <c r="E37" s="975"/>
      <c r="F37" s="975"/>
      <c r="G37" s="975"/>
      <c r="H37" s="975"/>
      <c r="I37" s="975"/>
      <c r="J37" s="975"/>
      <c r="K37" s="975"/>
      <c r="L37" s="975"/>
      <c r="M37" s="975">
        <f>SUM(M38:M42)</f>
        <v>500</v>
      </c>
      <c r="N37" s="975">
        <f t="shared" ref="N37:R37" si="5">SUM(N38:N42)</f>
        <v>0</v>
      </c>
      <c r="O37" s="975">
        <f t="shared" si="5"/>
        <v>0</v>
      </c>
      <c r="P37" s="975">
        <f>SUM(P38:P42)</f>
        <v>19603</v>
      </c>
      <c r="Q37" s="975">
        <f t="shared" si="5"/>
        <v>0</v>
      </c>
      <c r="R37" s="975">
        <f t="shared" si="5"/>
        <v>0</v>
      </c>
      <c r="S37" s="1327">
        <f>SUM(S38:S42)</f>
        <v>625</v>
      </c>
      <c r="T37" s="1327">
        <f>SUM(T38:T42)</f>
        <v>129</v>
      </c>
      <c r="U37" s="441"/>
    </row>
    <row r="38" spans="1:22" ht="15" customHeight="1" x14ac:dyDescent="0.2">
      <c r="A38" s="973">
        <v>1</v>
      </c>
      <c r="B38" s="440" t="s">
        <v>188</v>
      </c>
      <c r="C38" s="964">
        <f>D38+E38+F38+G38+H38+I38+J38+K38+L38+M38+P38+Q38+R38</f>
        <v>4028</v>
      </c>
      <c r="D38" s="964"/>
      <c r="E38" s="964"/>
      <c r="F38" s="964"/>
      <c r="G38" s="964"/>
      <c r="H38" s="964"/>
      <c r="I38" s="964"/>
      <c r="J38" s="964"/>
      <c r="K38" s="964"/>
      <c r="L38" s="964"/>
      <c r="M38" s="964"/>
      <c r="N38" s="964"/>
      <c r="O38" s="964"/>
      <c r="P38" s="964">
        <f>4018+'CTMT TPMT'!C26</f>
        <v>4028</v>
      </c>
      <c r="Q38" s="964"/>
      <c r="R38" s="964"/>
      <c r="S38" s="1325">
        <v>140</v>
      </c>
      <c r="T38" s="1325">
        <v>31</v>
      </c>
      <c r="U38" s="441" t="s">
        <v>1076</v>
      </c>
    </row>
    <row r="39" spans="1:22" ht="15" customHeight="1" x14ac:dyDescent="0.2">
      <c r="A39" s="973">
        <v>2</v>
      </c>
      <c r="B39" s="440" t="s">
        <v>189</v>
      </c>
      <c r="C39" s="964">
        <f>D39+E39+F39+G39+H39+I39+J39+K39+L39+M39+P39+Q39+R39</f>
        <v>4217</v>
      </c>
      <c r="D39" s="964"/>
      <c r="E39" s="964"/>
      <c r="F39" s="964"/>
      <c r="G39" s="964"/>
      <c r="H39" s="964"/>
      <c r="I39" s="964"/>
      <c r="J39" s="964"/>
      <c r="K39" s="964"/>
      <c r="L39" s="964"/>
      <c r="M39" s="964"/>
      <c r="N39" s="964"/>
      <c r="O39" s="964"/>
      <c r="P39" s="964">
        <f>4207+'CTMT TPMT'!C40</f>
        <v>4217</v>
      </c>
      <c r="Q39" s="964"/>
      <c r="R39" s="964"/>
      <c r="S39" s="1325">
        <v>107</v>
      </c>
      <c r="T39" s="1325">
        <v>21</v>
      </c>
      <c r="U39" s="441" t="s">
        <v>1077</v>
      </c>
    </row>
    <row r="40" spans="1:22" ht="15" customHeight="1" x14ac:dyDescent="0.2">
      <c r="A40" s="973">
        <v>3</v>
      </c>
      <c r="B40" s="440" t="s">
        <v>190</v>
      </c>
      <c r="C40" s="964">
        <f>D40+E40+F40+G40+H40+I40+J40+K40+L40+M40+P40+Q40+R40</f>
        <v>5312</v>
      </c>
      <c r="D40" s="964"/>
      <c r="E40" s="964"/>
      <c r="F40" s="964"/>
      <c r="G40" s="964"/>
      <c r="H40" s="964"/>
      <c r="I40" s="964"/>
      <c r="J40" s="964"/>
      <c r="K40" s="964"/>
      <c r="L40" s="964"/>
      <c r="M40" s="964"/>
      <c r="N40" s="964"/>
      <c r="O40" s="964"/>
      <c r="P40" s="964">
        <f>5277+'CTMT TPMT'!C11</f>
        <v>5312</v>
      </c>
      <c r="Q40" s="964"/>
      <c r="R40" s="964"/>
      <c r="S40" s="1325">
        <v>203</v>
      </c>
      <c r="T40" s="1325">
        <v>41</v>
      </c>
      <c r="U40" s="441" t="s">
        <v>1078</v>
      </c>
    </row>
    <row r="41" spans="1:22" ht="15" customHeight="1" x14ac:dyDescent="0.2">
      <c r="A41" s="973">
        <v>4</v>
      </c>
      <c r="B41" s="440" t="s">
        <v>191</v>
      </c>
      <c r="C41" s="964">
        <f>D41+E41+F41+G41+H41+I41+J41+K41+L41+M41+P41+Q41+R41</f>
        <v>4591</v>
      </c>
      <c r="D41" s="964"/>
      <c r="E41" s="964"/>
      <c r="F41" s="964"/>
      <c r="G41" s="964"/>
      <c r="H41" s="964"/>
      <c r="I41" s="964"/>
      <c r="J41" s="964"/>
      <c r="K41" s="964"/>
      <c r="L41" s="964"/>
      <c r="M41" s="964">
        <v>500</v>
      </c>
      <c r="N41" s="964"/>
      <c r="O41" s="964"/>
      <c r="P41" s="964">
        <f>15+4066+'CTMT TPMT'!C20</f>
        <v>4091</v>
      </c>
      <c r="Q41" s="964"/>
      <c r="R41" s="964"/>
      <c r="S41" s="1325">
        <v>104</v>
      </c>
      <c r="T41" s="1325">
        <v>21</v>
      </c>
      <c r="U41" s="441" t="s">
        <v>1079</v>
      </c>
    </row>
    <row r="42" spans="1:22" ht="17.25" customHeight="1" x14ac:dyDescent="0.2">
      <c r="A42" s="973">
        <v>5</v>
      </c>
      <c r="B42" s="440" t="s">
        <v>192</v>
      </c>
      <c r="C42" s="964">
        <f>D42+E42+F42+G42+H42+I42+J42+K42+L42+M42+P42+Q42+R42</f>
        <v>1955</v>
      </c>
      <c r="D42" s="964"/>
      <c r="E42" s="964"/>
      <c r="F42" s="964"/>
      <c r="G42" s="964"/>
      <c r="H42" s="964"/>
      <c r="I42" s="964"/>
      <c r="J42" s="964"/>
      <c r="K42" s="964"/>
      <c r="L42" s="964"/>
      <c r="M42" s="964"/>
      <c r="N42" s="964"/>
      <c r="O42" s="964"/>
      <c r="P42" s="964">
        <f>1945+'CTMT TPMT'!C28</f>
        <v>1955</v>
      </c>
      <c r="Q42" s="964"/>
      <c r="R42" s="964"/>
      <c r="S42" s="1325">
        <v>71</v>
      </c>
      <c r="T42" s="1325">
        <v>15</v>
      </c>
      <c r="U42" s="441" t="s">
        <v>1080</v>
      </c>
    </row>
    <row r="43" spans="1:22" s="1495" customFormat="1" ht="28.5" customHeight="1" x14ac:dyDescent="0.2">
      <c r="A43" s="442" t="s">
        <v>193</v>
      </c>
      <c r="B43" s="449" t="s">
        <v>194</v>
      </c>
      <c r="C43" s="975">
        <f>SUM(C44:C56)</f>
        <v>11468</v>
      </c>
      <c r="D43" s="975">
        <f t="shared" ref="D43:T43" si="6">SUM(D44:D55)</f>
        <v>0</v>
      </c>
      <c r="E43" s="975">
        <f t="shared" si="6"/>
        <v>0</v>
      </c>
      <c r="F43" s="975">
        <f t="shared" si="6"/>
        <v>0</v>
      </c>
      <c r="G43" s="975">
        <f t="shared" si="6"/>
        <v>0</v>
      </c>
      <c r="H43" s="975">
        <f t="shared" si="6"/>
        <v>0</v>
      </c>
      <c r="I43" s="975">
        <f t="shared" si="6"/>
        <v>0</v>
      </c>
      <c r="J43" s="975">
        <f t="shared" si="6"/>
        <v>0</v>
      </c>
      <c r="K43" s="975">
        <f t="shared" si="6"/>
        <v>0</v>
      </c>
      <c r="L43" s="975">
        <f t="shared" si="6"/>
        <v>0</v>
      </c>
      <c r="M43" s="975">
        <f>SUM(M44:M56)</f>
        <v>1640</v>
      </c>
      <c r="N43" s="975">
        <f t="shared" si="6"/>
        <v>0</v>
      </c>
      <c r="O43" s="975">
        <f t="shared" si="6"/>
        <v>0</v>
      </c>
      <c r="P43" s="975">
        <f>SUM(P44:P56)</f>
        <v>9828</v>
      </c>
      <c r="Q43" s="975">
        <f t="shared" si="6"/>
        <v>0</v>
      </c>
      <c r="R43" s="975">
        <f t="shared" si="6"/>
        <v>0</v>
      </c>
      <c r="S43" s="1326">
        <f t="shared" si="6"/>
        <v>42</v>
      </c>
      <c r="T43" s="1326">
        <f t="shared" si="6"/>
        <v>8</v>
      </c>
      <c r="U43" s="441"/>
      <c r="V43" s="1495">
        <f>P43+M43-C43</f>
        <v>0</v>
      </c>
    </row>
    <row r="44" spans="1:22" ht="17.25" customHeight="1" x14ac:dyDescent="0.2">
      <c r="A44" s="450">
        <v>1</v>
      </c>
      <c r="B44" s="964" t="s">
        <v>195</v>
      </c>
      <c r="C44" s="964">
        <f t="shared" ref="C44:C56" si="7">D44+E44+F44+G44+H44+I44+J44+K44+L44+M44+P44+Q44+R44</f>
        <v>1022</v>
      </c>
      <c r="D44" s="964"/>
      <c r="E44" s="964"/>
      <c r="F44" s="964"/>
      <c r="G44" s="964"/>
      <c r="H44" s="964"/>
      <c r="I44" s="964"/>
      <c r="J44" s="964"/>
      <c r="K44" s="964"/>
      <c r="L44" s="964"/>
      <c r="M44" s="964"/>
      <c r="N44" s="964"/>
      <c r="O44" s="964"/>
      <c r="P44" s="964">
        <v>1022</v>
      </c>
      <c r="Q44" s="964"/>
      <c r="R44" s="964"/>
      <c r="S44" s="1325"/>
      <c r="T44" s="1325"/>
      <c r="U44" s="441" t="s">
        <v>1081</v>
      </c>
    </row>
    <row r="45" spans="1:22" ht="17.25" customHeight="1" x14ac:dyDescent="0.2">
      <c r="A45" s="973">
        <v>2</v>
      </c>
      <c r="B45" s="440" t="s">
        <v>196</v>
      </c>
      <c r="C45" s="964">
        <f t="shared" si="7"/>
        <v>1501</v>
      </c>
      <c r="D45" s="964"/>
      <c r="E45" s="964"/>
      <c r="F45" s="964"/>
      <c r="G45" s="964"/>
      <c r="H45" s="964"/>
      <c r="I45" s="964"/>
      <c r="J45" s="964"/>
      <c r="K45" s="964"/>
      <c r="L45" s="964"/>
      <c r="M45" s="964">
        <f>'Biểu 37 a DT SC Tr.sơ'!H17</f>
        <v>640</v>
      </c>
      <c r="N45" s="964"/>
      <c r="O45" s="964"/>
      <c r="P45" s="964">
        <v>861</v>
      </c>
      <c r="Q45" s="964"/>
      <c r="R45" s="964"/>
      <c r="S45" s="1325"/>
      <c r="T45" s="1325"/>
      <c r="U45" s="441" t="s">
        <v>1082</v>
      </c>
    </row>
    <row r="46" spans="1:22" ht="17.25" customHeight="1" x14ac:dyDescent="0.2">
      <c r="A46" s="973">
        <v>3</v>
      </c>
      <c r="B46" s="440" t="s">
        <v>197</v>
      </c>
      <c r="C46" s="964">
        <f t="shared" si="7"/>
        <v>2731</v>
      </c>
      <c r="D46" s="964"/>
      <c r="E46" s="964"/>
      <c r="F46" s="964"/>
      <c r="G46" s="964"/>
      <c r="H46" s="964"/>
      <c r="I46" s="964"/>
      <c r="J46" s="964"/>
      <c r="K46" s="964"/>
      <c r="L46" s="964"/>
      <c r="M46" s="964">
        <v>1000</v>
      </c>
      <c r="N46" s="964"/>
      <c r="O46" s="964"/>
      <c r="P46" s="964">
        <v>1731</v>
      </c>
      <c r="Q46" s="964"/>
      <c r="R46" s="964"/>
      <c r="S46" s="1325">
        <v>42</v>
      </c>
      <c r="T46" s="1325">
        <v>8</v>
      </c>
      <c r="U46" s="441" t="s">
        <v>1083</v>
      </c>
    </row>
    <row r="47" spans="1:22" ht="17.25" customHeight="1" x14ac:dyDescent="0.2">
      <c r="A47" s="973">
        <v>4</v>
      </c>
      <c r="B47" s="440" t="s">
        <v>198</v>
      </c>
      <c r="C47" s="964">
        <f t="shared" si="7"/>
        <v>1935</v>
      </c>
      <c r="D47" s="964"/>
      <c r="E47" s="964"/>
      <c r="F47" s="964"/>
      <c r="G47" s="964"/>
      <c r="H47" s="964"/>
      <c r="I47" s="964"/>
      <c r="J47" s="964"/>
      <c r="K47" s="964"/>
      <c r="L47" s="964"/>
      <c r="M47" s="964"/>
      <c r="N47" s="964"/>
      <c r="O47" s="964"/>
      <c r="P47" s="964">
        <v>1935</v>
      </c>
      <c r="Q47" s="964"/>
      <c r="R47" s="964"/>
      <c r="S47" s="1325"/>
      <c r="T47" s="1325"/>
      <c r="U47" s="441" t="s">
        <v>1084</v>
      </c>
    </row>
    <row r="48" spans="1:22" ht="17.25" customHeight="1" x14ac:dyDescent="0.2">
      <c r="A48" s="973">
        <v>5</v>
      </c>
      <c r="B48" s="440" t="s">
        <v>199</v>
      </c>
      <c r="C48" s="964">
        <f t="shared" si="7"/>
        <v>860</v>
      </c>
      <c r="D48" s="964"/>
      <c r="E48" s="964"/>
      <c r="F48" s="964"/>
      <c r="G48" s="964"/>
      <c r="H48" s="964"/>
      <c r="I48" s="964"/>
      <c r="J48" s="964"/>
      <c r="K48" s="964"/>
      <c r="L48" s="964"/>
      <c r="M48" s="964"/>
      <c r="N48" s="964"/>
      <c r="O48" s="964"/>
      <c r="P48" s="964">
        <v>860</v>
      </c>
      <c r="Q48" s="964"/>
      <c r="R48" s="964"/>
      <c r="S48" s="1325"/>
      <c r="T48" s="1325"/>
      <c r="U48" s="441" t="s">
        <v>1085</v>
      </c>
    </row>
    <row r="49" spans="1:23" ht="17.25" customHeight="1" x14ac:dyDescent="0.2">
      <c r="A49" s="973">
        <v>6</v>
      </c>
      <c r="B49" s="440" t="s">
        <v>200</v>
      </c>
      <c r="C49" s="964">
        <f t="shared" si="7"/>
        <v>315</v>
      </c>
      <c r="D49" s="964"/>
      <c r="E49" s="964"/>
      <c r="F49" s="964"/>
      <c r="G49" s="964"/>
      <c r="H49" s="964"/>
      <c r="I49" s="964"/>
      <c r="J49" s="964"/>
      <c r="K49" s="964"/>
      <c r="L49" s="964"/>
      <c r="M49" s="964"/>
      <c r="N49" s="964"/>
      <c r="O49" s="964"/>
      <c r="P49" s="964">
        <v>315</v>
      </c>
      <c r="Q49" s="964"/>
      <c r="R49" s="964"/>
      <c r="S49" s="1325"/>
      <c r="T49" s="1325"/>
      <c r="U49" s="441" t="s">
        <v>1086</v>
      </c>
    </row>
    <row r="50" spans="1:23" ht="17.25" customHeight="1" x14ac:dyDescent="0.2">
      <c r="A50" s="973">
        <v>7</v>
      </c>
      <c r="B50" s="440" t="s">
        <v>201</v>
      </c>
      <c r="C50" s="964">
        <f t="shared" si="7"/>
        <v>460</v>
      </c>
      <c r="D50" s="964"/>
      <c r="E50" s="964"/>
      <c r="F50" s="964"/>
      <c r="G50" s="964"/>
      <c r="H50" s="964"/>
      <c r="I50" s="964"/>
      <c r="J50" s="964"/>
      <c r="K50" s="964"/>
      <c r="L50" s="964"/>
      <c r="M50" s="964"/>
      <c r="N50" s="964"/>
      <c r="O50" s="964"/>
      <c r="P50" s="964">
        <v>460</v>
      </c>
      <c r="Q50" s="964"/>
      <c r="R50" s="964"/>
      <c r="S50" s="1325"/>
      <c r="T50" s="1325"/>
      <c r="U50" s="441" t="s">
        <v>1087</v>
      </c>
    </row>
    <row r="51" spans="1:23" ht="17.25" customHeight="1" x14ac:dyDescent="0.2">
      <c r="A51" s="973">
        <v>8</v>
      </c>
      <c r="B51" s="440" t="s">
        <v>202</v>
      </c>
      <c r="C51" s="964">
        <f t="shared" si="7"/>
        <v>432</v>
      </c>
      <c r="D51" s="964"/>
      <c r="E51" s="964"/>
      <c r="F51" s="964"/>
      <c r="G51" s="964"/>
      <c r="H51" s="964"/>
      <c r="I51" s="964"/>
      <c r="J51" s="964"/>
      <c r="K51" s="964"/>
      <c r="L51" s="964"/>
      <c r="M51" s="964"/>
      <c r="N51" s="964"/>
      <c r="O51" s="964"/>
      <c r="P51" s="964">
        <v>432</v>
      </c>
      <c r="Q51" s="964"/>
      <c r="R51" s="964"/>
      <c r="S51" s="1325"/>
      <c r="T51" s="1325"/>
      <c r="U51" s="441" t="s">
        <v>1088</v>
      </c>
    </row>
    <row r="52" spans="1:23" ht="30" customHeight="1" x14ac:dyDescent="0.2">
      <c r="A52" s="973">
        <v>9</v>
      </c>
      <c r="B52" s="964" t="s">
        <v>203</v>
      </c>
      <c r="C52" s="964">
        <f t="shared" si="7"/>
        <v>392</v>
      </c>
      <c r="D52" s="964"/>
      <c r="E52" s="964"/>
      <c r="F52" s="964"/>
      <c r="G52" s="964"/>
      <c r="H52" s="964"/>
      <c r="I52" s="964"/>
      <c r="J52" s="964"/>
      <c r="K52" s="964"/>
      <c r="L52" s="964"/>
      <c r="M52" s="964"/>
      <c r="N52" s="964"/>
      <c r="O52" s="964"/>
      <c r="P52" s="964">
        <v>392</v>
      </c>
      <c r="Q52" s="964"/>
      <c r="R52" s="964"/>
      <c r="S52" s="1325"/>
      <c r="T52" s="1325"/>
      <c r="U52" s="441" t="s">
        <v>1089</v>
      </c>
    </row>
    <row r="53" spans="1:23" ht="30" customHeight="1" x14ac:dyDescent="0.2">
      <c r="A53" s="973">
        <v>10</v>
      </c>
      <c r="B53" s="964" t="s">
        <v>204</v>
      </c>
      <c r="C53" s="964">
        <f t="shared" si="7"/>
        <v>823</v>
      </c>
      <c r="D53" s="964"/>
      <c r="E53" s="964"/>
      <c r="F53" s="964"/>
      <c r="G53" s="964"/>
      <c r="H53" s="964"/>
      <c r="I53" s="964"/>
      <c r="J53" s="964"/>
      <c r="K53" s="964"/>
      <c r="L53" s="964"/>
      <c r="M53" s="964"/>
      <c r="N53" s="964"/>
      <c r="O53" s="964"/>
      <c r="P53" s="964">
        <v>823</v>
      </c>
      <c r="Q53" s="964"/>
      <c r="R53" s="964"/>
      <c r="S53" s="1325"/>
      <c r="T53" s="1325"/>
      <c r="U53" s="441" t="s">
        <v>1090</v>
      </c>
    </row>
    <row r="54" spans="1:23" ht="17.25" customHeight="1" x14ac:dyDescent="0.2">
      <c r="A54" s="973">
        <v>11</v>
      </c>
      <c r="B54" s="974" t="s">
        <v>205</v>
      </c>
      <c r="C54" s="964">
        <f t="shared" si="7"/>
        <v>278</v>
      </c>
      <c r="D54" s="964"/>
      <c r="E54" s="964"/>
      <c r="F54" s="964"/>
      <c r="G54" s="964"/>
      <c r="H54" s="964"/>
      <c r="I54" s="964"/>
      <c r="J54" s="964"/>
      <c r="K54" s="964"/>
      <c r="L54" s="964"/>
      <c r="M54" s="964"/>
      <c r="N54" s="964"/>
      <c r="O54" s="964"/>
      <c r="P54" s="964">
        <f>268+'CTMT TPMT'!C18</f>
        <v>278</v>
      </c>
      <c r="Q54" s="964"/>
      <c r="R54" s="964"/>
      <c r="S54" s="1325"/>
      <c r="T54" s="1325"/>
      <c r="U54" s="441" t="s">
        <v>1091</v>
      </c>
    </row>
    <row r="55" spans="1:23" ht="20.25" customHeight="1" x14ac:dyDescent="0.2">
      <c r="A55" s="973">
        <v>12</v>
      </c>
      <c r="B55" s="964" t="s">
        <v>206</v>
      </c>
      <c r="C55" s="964">
        <f t="shared" si="7"/>
        <v>639</v>
      </c>
      <c r="D55" s="964"/>
      <c r="E55" s="964"/>
      <c r="F55" s="964"/>
      <c r="G55" s="964"/>
      <c r="H55" s="964"/>
      <c r="I55" s="964"/>
      <c r="J55" s="964"/>
      <c r="K55" s="964"/>
      <c r="L55" s="964"/>
      <c r="M55" s="964"/>
      <c r="N55" s="964"/>
      <c r="O55" s="964"/>
      <c r="P55" s="964">
        <v>639</v>
      </c>
      <c r="Q55" s="964"/>
      <c r="R55" s="964"/>
      <c r="S55" s="1325"/>
      <c r="T55" s="1325"/>
      <c r="U55" s="441" t="s">
        <v>1092</v>
      </c>
    </row>
    <row r="56" spans="1:23" ht="28.5" customHeight="1" x14ac:dyDescent="0.2">
      <c r="A56" s="973">
        <v>13</v>
      </c>
      <c r="B56" s="964" t="s">
        <v>928</v>
      </c>
      <c r="C56" s="964">
        <f t="shared" si="7"/>
        <v>80</v>
      </c>
      <c r="D56" s="964"/>
      <c r="E56" s="964"/>
      <c r="F56" s="964"/>
      <c r="G56" s="964"/>
      <c r="H56" s="964"/>
      <c r="I56" s="964"/>
      <c r="J56" s="964"/>
      <c r="K56" s="964"/>
      <c r="L56" s="964"/>
      <c r="M56" s="964"/>
      <c r="N56" s="964"/>
      <c r="O56" s="964"/>
      <c r="P56" s="964">
        <v>80</v>
      </c>
      <c r="Q56" s="964"/>
      <c r="R56" s="964"/>
      <c r="S56" s="1325"/>
      <c r="T56" s="1325"/>
      <c r="U56" s="441"/>
    </row>
    <row r="57" spans="1:23" x14ac:dyDescent="0.2">
      <c r="A57" s="442" t="s">
        <v>207</v>
      </c>
      <c r="B57" s="975" t="s">
        <v>208</v>
      </c>
      <c r="C57" s="975">
        <f>C58+C59</f>
        <v>37609</v>
      </c>
      <c r="D57" s="975">
        <f t="shared" ref="D57" si="8">D58+D59</f>
        <v>2566</v>
      </c>
      <c r="E57" s="975">
        <f t="shared" ref="E57" si="9">E58+E59</f>
        <v>0</v>
      </c>
      <c r="F57" s="975">
        <f t="shared" ref="F57:R57" si="10">F58+F59</f>
        <v>21935</v>
      </c>
      <c r="G57" s="975">
        <f>G58+G59</f>
        <v>12908</v>
      </c>
      <c r="H57" s="975">
        <f t="shared" si="10"/>
        <v>0</v>
      </c>
      <c r="I57" s="975">
        <f t="shared" si="10"/>
        <v>0</v>
      </c>
      <c r="J57" s="975">
        <f t="shared" si="10"/>
        <v>0</v>
      </c>
      <c r="K57" s="975">
        <f t="shared" si="10"/>
        <v>0</v>
      </c>
      <c r="L57" s="975">
        <f t="shared" si="10"/>
        <v>200</v>
      </c>
      <c r="M57" s="975">
        <f t="shared" si="10"/>
        <v>0</v>
      </c>
      <c r="N57" s="975">
        <f t="shared" si="10"/>
        <v>0</v>
      </c>
      <c r="O57" s="975">
        <f t="shared" si="10"/>
        <v>0</v>
      </c>
      <c r="P57" s="975">
        <f t="shared" si="10"/>
        <v>0</v>
      </c>
      <c r="Q57" s="975">
        <f t="shared" si="10"/>
        <v>0</v>
      </c>
      <c r="R57" s="975">
        <f t="shared" si="10"/>
        <v>0</v>
      </c>
      <c r="S57" s="1327"/>
      <c r="T57" s="1327">
        <f>T58+T59</f>
        <v>300</v>
      </c>
      <c r="U57" s="441"/>
    </row>
    <row r="58" spans="1:23" ht="18" customHeight="1" x14ac:dyDescent="0.2">
      <c r="A58" s="973">
        <v>1</v>
      </c>
      <c r="B58" s="440" t="s">
        <v>209</v>
      </c>
      <c r="C58" s="964">
        <f>D58+E58+F58+G58+H58+I58+J58+K58+L58+M58+P58+Q58+R58</f>
        <v>24511</v>
      </c>
      <c r="D58" s="964">
        <v>2566</v>
      </c>
      <c r="E58" s="964"/>
      <c r="F58" s="964">
        <f>21795+140</f>
        <v>21935</v>
      </c>
      <c r="G58" s="964">
        <f>'CTMT TPMT'!C42</f>
        <v>10</v>
      </c>
      <c r="H58" s="964"/>
      <c r="I58" s="964"/>
      <c r="J58" s="964"/>
      <c r="K58" s="964"/>
      <c r="L58" s="964"/>
      <c r="M58" s="964"/>
      <c r="N58" s="964"/>
      <c r="O58" s="964"/>
      <c r="P58" s="964"/>
      <c r="Q58" s="964"/>
      <c r="R58" s="964"/>
      <c r="S58" s="1325"/>
      <c r="T58" s="1325">
        <v>150</v>
      </c>
      <c r="U58" s="441" t="s">
        <v>1093</v>
      </c>
      <c r="V58" s="445">
        <v>24361</v>
      </c>
      <c r="W58" s="445">
        <f>C58-V58</f>
        <v>150</v>
      </c>
    </row>
    <row r="59" spans="1:23" ht="16.5" customHeight="1" x14ac:dyDescent="0.2">
      <c r="A59" s="973">
        <v>2</v>
      </c>
      <c r="B59" s="440" t="s">
        <v>210</v>
      </c>
      <c r="C59" s="964">
        <f t="shared" ref="C59:C77" si="11">D59+E59+F59+G59+H59+I59+J59+K59+L59+M59+P59+Q59+R59</f>
        <v>13098</v>
      </c>
      <c r="D59" s="964"/>
      <c r="E59" s="964"/>
      <c r="F59" s="964"/>
      <c r="G59" s="964">
        <f>8748+3200-150+50+50+'CTMT TPMT'!C8</f>
        <v>12898</v>
      </c>
      <c r="H59" s="964"/>
      <c r="I59" s="964"/>
      <c r="J59" s="964"/>
      <c r="K59" s="964"/>
      <c r="L59" s="964">
        <v>200</v>
      </c>
      <c r="M59" s="964"/>
      <c r="N59" s="964"/>
      <c r="O59" s="964"/>
      <c r="P59" s="964"/>
      <c r="Q59" s="964"/>
      <c r="R59" s="964"/>
      <c r="S59" s="1325"/>
      <c r="T59" s="1325">
        <v>150</v>
      </c>
      <c r="U59" s="441" t="s">
        <v>1094</v>
      </c>
      <c r="V59" s="445">
        <v>12198</v>
      </c>
    </row>
    <row r="60" spans="1:23" s="1495" customFormat="1" x14ac:dyDescent="0.2">
      <c r="A60" s="442" t="s">
        <v>211</v>
      </c>
      <c r="B60" s="448" t="s">
        <v>212</v>
      </c>
      <c r="C60" s="975">
        <f>D60+E60+F60+G60+H60+I60+J60+K60+L60+M60+P60+Q60+R60</f>
        <v>224927</v>
      </c>
      <c r="D60" s="975">
        <f t="shared" ref="D60:R60" si="12">SUM(D61:D76)</f>
        <v>0</v>
      </c>
      <c r="E60" s="975">
        <f t="shared" si="12"/>
        <v>0</v>
      </c>
      <c r="F60" s="975">
        <f t="shared" si="12"/>
        <v>0</v>
      </c>
      <c r="G60" s="975">
        <f t="shared" si="12"/>
        <v>0</v>
      </c>
      <c r="H60" s="975">
        <f t="shared" si="12"/>
        <v>182848</v>
      </c>
      <c r="I60" s="975">
        <f t="shared" si="12"/>
        <v>0</v>
      </c>
      <c r="J60" s="975">
        <f t="shared" si="12"/>
        <v>0</v>
      </c>
      <c r="K60" s="975">
        <f t="shared" si="12"/>
        <v>0</v>
      </c>
      <c r="L60" s="975">
        <f t="shared" si="12"/>
        <v>0</v>
      </c>
      <c r="M60" s="975">
        <f>SUM(M61:M77)</f>
        <v>41618</v>
      </c>
      <c r="N60" s="975">
        <f t="shared" si="12"/>
        <v>0</v>
      </c>
      <c r="O60" s="975">
        <f t="shared" si="12"/>
        <v>0</v>
      </c>
      <c r="P60" s="975">
        <f t="shared" si="12"/>
        <v>0</v>
      </c>
      <c r="Q60" s="975">
        <f t="shared" si="12"/>
        <v>0</v>
      </c>
      <c r="R60" s="975">
        <f t="shared" si="12"/>
        <v>461</v>
      </c>
      <c r="S60" s="1327"/>
      <c r="T60" s="1325"/>
      <c r="U60" s="441"/>
      <c r="V60" s="1495">
        <f>V59-C59</f>
        <v>-900</v>
      </c>
    </row>
    <row r="61" spans="1:23" ht="27" customHeight="1" x14ac:dyDescent="0.2">
      <c r="A61" s="973">
        <v>1</v>
      </c>
      <c r="B61" s="964" t="s">
        <v>213</v>
      </c>
      <c r="C61" s="964">
        <f t="shared" si="11"/>
        <v>3000</v>
      </c>
      <c r="D61" s="964"/>
      <c r="E61" s="964"/>
      <c r="F61" s="964"/>
      <c r="G61" s="964"/>
      <c r="H61" s="964"/>
      <c r="I61" s="964"/>
      <c r="J61" s="964"/>
      <c r="K61" s="964"/>
      <c r="L61" s="964"/>
      <c r="M61" s="1319">
        <v>3000</v>
      </c>
      <c r="N61" s="964"/>
      <c r="O61" s="964"/>
      <c r="P61" s="964"/>
      <c r="Q61" s="964"/>
      <c r="R61" s="964"/>
      <c r="S61" s="1325"/>
      <c r="T61" s="1325"/>
      <c r="U61" s="441" t="s">
        <v>1095</v>
      </c>
    </row>
    <row r="62" spans="1:23" ht="24" customHeight="1" x14ac:dyDescent="0.2">
      <c r="A62" s="973">
        <v>2</v>
      </c>
      <c r="B62" s="964" t="s">
        <v>214</v>
      </c>
      <c r="C62" s="964">
        <f t="shared" si="11"/>
        <v>182848</v>
      </c>
      <c r="D62" s="964"/>
      <c r="E62" s="964"/>
      <c r="F62" s="964"/>
      <c r="G62" s="964"/>
      <c r="H62" s="964">
        <f>133283+'Biểu 07 DT'!W20+'Biểu 07 DT'!W21+'Biểu 07 DT'!W22</f>
        <v>182848</v>
      </c>
      <c r="I62" s="964"/>
      <c r="J62" s="964"/>
      <c r="K62" s="964"/>
      <c r="L62" s="964"/>
      <c r="M62" s="109"/>
      <c r="N62" s="964"/>
      <c r="O62" s="964"/>
      <c r="P62" s="964"/>
      <c r="Q62" s="964"/>
      <c r="R62" s="964"/>
      <c r="S62" s="1325"/>
      <c r="T62" s="1325"/>
      <c r="U62" s="441" t="s">
        <v>1096</v>
      </c>
    </row>
    <row r="63" spans="1:23" ht="30.75" customHeight="1" x14ac:dyDescent="0.2">
      <c r="A63" s="973">
        <v>3</v>
      </c>
      <c r="B63" s="964" t="s">
        <v>1507</v>
      </c>
      <c r="C63" s="964">
        <f t="shared" si="11"/>
        <v>26088</v>
      </c>
      <c r="D63" s="964"/>
      <c r="E63" s="964"/>
      <c r="F63" s="964"/>
      <c r="G63" s="964"/>
      <c r="H63" s="964"/>
      <c r="I63" s="964"/>
      <c r="J63" s="964"/>
      <c r="K63" s="964"/>
      <c r="L63" s="964"/>
      <c r="M63" s="1319">
        <v>26088</v>
      </c>
      <c r="N63" s="964"/>
      <c r="O63" s="964"/>
      <c r="P63" s="964"/>
      <c r="Q63" s="964"/>
      <c r="R63" s="964"/>
      <c r="S63" s="1325"/>
      <c r="T63" s="1325"/>
      <c r="U63" s="441" t="s">
        <v>1097</v>
      </c>
    </row>
    <row r="64" spans="1:23" ht="29.25" customHeight="1" x14ac:dyDescent="0.2">
      <c r="A64" s="973">
        <v>4</v>
      </c>
      <c r="B64" s="964" t="s">
        <v>1522</v>
      </c>
      <c r="C64" s="964">
        <f t="shared" si="11"/>
        <v>90</v>
      </c>
      <c r="D64" s="964"/>
      <c r="E64" s="964"/>
      <c r="F64" s="964"/>
      <c r="G64" s="964"/>
      <c r="H64" s="964"/>
      <c r="I64" s="964"/>
      <c r="J64" s="964"/>
      <c r="K64" s="964"/>
      <c r="L64" s="964"/>
      <c r="M64" s="1319">
        <v>90</v>
      </c>
      <c r="N64" s="964"/>
      <c r="O64" s="964"/>
      <c r="P64" s="964"/>
      <c r="Q64" s="964"/>
      <c r="R64" s="964"/>
      <c r="S64" s="1325"/>
      <c r="T64" s="1325"/>
      <c r="U64" s="441" t="s">
        <v>1098</v>
      </c>
    </row>
    <row r="65" spans="1:21" ht="50.25" customHeight="1" x14ac:dyDescent="0.2">
      <c r="A65" s="973">
        <v>5</v>
      </c>
      <c r="B65" s="964" t="s">
        <v>215</v>
      </c>
      <c r="C65" s="964">
        <f t="shared" si="11"/>
        <v>10570</v>
      </c>
      <c r="D65" s="964"/>
      <c r="E65" s="964"/>
      <c r="F65" s="964"/>
      <c r="G65" s="964"/>
      <c r="H65" s="964"/>
      <c r="I65" s="964"/>
      <c r="J65" s="964"/>
      <c r="K65" s="964"/>
      <c r="L65" s="964"/>
      <c r="M65" s="1319">
        <v>10570</v>
      </c>
      <c r="N65" s="964"/>
      <c r="O65" s="964"/>
      <c r="P65" s="964"/>
      <c r="Q65" s="964"/>
      <c r="R65" s="964"/>
      <c r="S65" s="1325"/>
      <c r="T65" s="1325"/>
      <c r="U65" s="441" t="s">
        <v>1099</v>
      </c>
    </row>
    <row r="66" spans="1:21" ht="31.5" customHeight="1" x14ac:dyDescent="0.2">
      <c r="A66" s="973">
        <v>6</v>
      </c>
      <c r="B66" s="964" t="s">
        <v>605</v>
      </c>
      <c r="C66" s="964">
        <f t="shared" si="11"/>
        <v>1526</v>
      </c>
      <c r="D66" s="964"/>
      <c r="E66" s="964"/>
      <c r="F66" s="964"/>
      <c r="G66" s="964"/>
      <c r="H66" s="964"/>
      <c r="I66" s="964"/>
      <c r="J66" s="964"/>
      <c r="K66" s="964"/>
      <c r="L66" s="964"/>
      <c r="M66" s="1319">
        <f>216+1310</f>
        <v>1526</v>
      </c>
      <c r="N66" s="964"/>
      <c r="O66" s="964"/>
      <c r="P66" s="964"/>
      <c r="Q66" s="964"/>
      <c r="R66" s="964"/>
      <c r="S66" s="1325"/>
      <c r="T66" s="1325"/>
      <c r="U66" s="441" t="s">
        <v>1100</v>
      </c>
    </row>
    <row r="67" spans="1:21" ht="16.5" customHeight="1" x14ac:dyDescent="0.2">
      <c r="A67" s="973">
        <v>7</v>
      </c>
      <c r="B67" s="964" t="s">
        <v>938</v>
      </c>
      <c r="C67" s="964">
        <f t="shared" si="11"/>
        <v>33</v>
      </c>
      <c r="D67" s="964"/>
      <c r="E67" s="964"/>
      <c r="F67" s="964"/>
      <c r="G67" s="964"/>
      <c r="H67" s="964"/>
      <c r="I67" s="964"/>
      <c r="J67" s="964"/>
      <c r="K67" s="964"/>
      <c r="L67" s="964"/>
      <c r="M67" s="1319">
        <v>33</v>
      </c>
      <c r="N67" s="964"/>
      <c r="O67" s="964"/>
      <c r="P67" s="964"/>
      <c r="Q67" s="964"/>
      <c r="R67" s="964"/>
      <c r="S67" s="1325"/>
      <c r="T67" s="1325"/>
      <c r="U67" s="441" t="s">
        <v>1101</v>
      </c>
    </row>
    <row r="68" spans="1:21" ht="29.25" customHeight="1" x14ac:dyDescent="0.2">
      <c r="A68" s="973">
        <v>8</v>
      </c>
      <c r="B68" s="964" t="s">
        <v>1499</v>
      </c>
      <c r="C68" s="964">
        <f t="shared" si="11"/>
        <v>28</v>
      </c>
      <c r="D68" s="964"/>
      <c r="E68" s="964"/>
      <c r="F68" s="964"/>
      <c r="G68" s="964"/>
      <c r="H68" s="964"/>
      <c r="I68" s="964"/>
      <c r="J68" s="964"/>
      <c r="K68" s="964"/>
      <c r="L68" s="964"/>
      <c r="M68" s="1319">
        <v>28</v>
      </c>
      <c r="N68" s="964"/>
      <c r="O68" s="964"/>
      <c r="P68" s="964"/>
      <c r="Q68" s="964"/>
      <c r="R68" s="964"/>
      <c r="S68" s="440"/>
      <c r="T68" s="440"/>
      <c r="U68" s="441" t="s">
        <v>1102</v>
      </c>
    </row>
    <row r="69" spans="1:21" ht="29.25" customHeight="1" x14ac:dyDescent="0.2">
      <c r="A69" s="973">
        <v>9</v>
      </c>
      <c r="B69" s="964" t="s">
        <v>1498</v>
      </c>
      <c r="C69" s="964">
        <f t="shared" si="11"/>
        <v>52</v>
      </c>
      <c r="D69" s="964"/>
      <c r="E69" s="964"/>
      <c r="F69" s="964"/>
      <c r="G69" s="964"/>
      <c r="H69" s="964"/>
      <c r="I69" s="964"/>
      <c r="J69" s="964"/>
      <c r="K69" s="964"/>
      <c r="L69" s="964"/>
      <c r="M69" s="1319">
        <v>52</v>
      </c>
      <c r="N69" s="964"/>
      <c r="O69" s="964"/>
      <c r="P69" s="964"/>
      <c r="Q69" s="964"/>
      <c r="R69" s="964"/>
      <c r="S69" s="440"/>
      <c r="T69" s="440"/>
      <c r="U69" s="441" t="s">
        <v>1103</v>
      </c>
    </row>
    <row r="70" spans="1:21" ht="27.75" customHeight="1" x14ac:dyDescent="0.2">
      <c r="A70" s="973">
        <v>10</v>
      </c>
      <c r="B70" s="964" t="s">
        <v>527</v>
      </c>
      <c r="C70" s="964">
        <f t="shared" si="11"/>
        <v>111</v>
      </c>
      <c r="D70" s="964"/>
      <c r="E70" s="964"/>
      <c r="F70" s="964"/>
      <c r="G70" s="964"/>
      <c r="H70" s="964"/>
      <c r="I70" s="964"/>
      <c r="J70" s="964"/>
      <c r="K70" s="964"/>
      <c r="L70" s="964"/>
      <c r="M70" s="1319">
        <v>111</v>
      </c>
      <c r="N70" s="964"/>
      <c r="O70" s="964"/>
      <c r="P70" s="964"/>
      <c r="Q70" s="964"/>
      <c r="R70" s="964"/>
      <c r="S70" s="440"/>
      <c r="T70" s="440"/>
      <c r="U70" s="441" t="s">
        <v>1161</v>
      </c>
    </row>
    <row r="71" spans="1:21" ht="19.5" customHeight="1" x14ac:dyDescent="0.2">
      <c r="A71" s="973">
        <v>11</v>
      </c>
      <c r="B71" s="964" t="s">
        <v>216</v>
      </c>
      <c r="C71" s="964">
        <f t="shared" si="11"/>
        <v>21</v>
      </c>
      <c r="D71" s="964"/>
      <c r="E71" s="964"/>
      <c r="F71" s="964"/>
      <c r="G71" s="964"/>
      <c r="H71" s="964"/>
      <c r="I71" s="964"/>
      <c r="J71" s="964"/>
      <c r="K71" s="964"/>
      <c r="L71" s="964"/>
      <c r="M71" s="964"/>
      <c r="N71" s="964"/>
      <c r="O71" s="964"/>
      <c r="P71" s="964"/>
      <c r="Q71" s="964"/>
      <c r="R71" s="964">
        <v>21</v>
      </c>
      <c r="S71" s="440"/>
      <c r="T71" s="440"/>
      <c r="U71" s="441" t="s">
        <v>1162</v>
      </c>
    </row>
    <row r="72" spans="1:21" ht="19.5" customHeight="1" x14ac:dyDescent="0.2">
      <c r="A72" s="973">
        <v>12</v>
      </c>
      <c r="B72" s="964" t="s">
        <v>936</v>
      </c>
      <c r="C72" s="964">
        <f t="shared" si="11"/>
        <v>27</v>
      </c>
      <c r="D72" s="964"/>
      <c r="E72" s="964"/>
      <c r="F72" s="964"/>
      <c r="G72" s="964"/>
      <c r="H72" s="964"/>
      <c r="I72" s="964"/>
      <c r="J72" s="964"/>
      <c r="K72" s="964"/>
      <c r="L72" s="964"/>
      <c r="M72" s="964"/>
      <c r="N72" s="964"/>
      <c r="O72" s="964"/>
      <c r="P72" s="964"/>
      <c r="Q72" s="964"/>
      <c r="R72" s="964">
        <f>17+'CTMT TPMT'!C22</f>
        <v>27</v>
      </c>
      <c r="S72" s="440"/>
      <c r="T72" s="440"/>
      <c r="U72" s="441" t="s">
        <v>1163</v>
      </c>
    </row>
    <row r="73" spans="1:21" ht="27" customHeight="1" x14ac:dyDescent="0.2">
      <c r="A73" s="973">
        <v>13</v>
      </c>
      <c r="B73" s="337" t="s">
        <v>939</v>
      </c>
      <c r="C73" s="964">
        <f t="shared" si="11"/>
        <v>10</v>
      </c>
      <c r="D73" s="964"/>
      <c r="E73" s="964"/>
      <c r="F73" s="964"/>
      <c r="G73" s="964"/>
      <c r="H73" s="964"/>
      <c r="I73" s="964"/>
      <c r="J73" s="964"/>
      <c r="K73" s="964"/>
      <c r="L73" s="964"/>
      <c r="M73" s="964"/>
      <c r="N73" s="964"/>
      <c r="O73" s="964"/>
      <c r="P73" s="964"/>
      <c r="Q73" s="964"/>
      <c r="R73" s="964">
        <f>'CTMT TPMT'!C24</f>
        <v>10</v>
      </c>
      <c r="S73" s="440"/>
      <c r="T73" s="440"/>
      <c r="U73" s="441" t="s">
        <v>1943</v>
      </c>
    </row>
    <row r="74" spans="1:21" ht="18.75" customHeight="1" x14ac:dyDescent="0.2">
      <c r="A74" s="973">
        <v>14</v>
      </c>
      <c r="B74" s="964" t="s">
        <v>937</v>
      </c>
      <c r="C74" s="964">
        <f t="shared" si="11"/>
        <v>21</v>
      </c>
      <c r="D74" s="964"/>
      <c r="E74" s="964"/>
      <c r="F74" s="964"/>
      <c r="G74" s="964"/>
      <c r="H74" s="964"/>
      <c r="I74" s="964"/>
      <c r="J74" s="964"/>
      <c r="K74" s="964"/>
      <c r="L74" s="964"/>
      <c r="M74" s="964"/>
      <c r="N74" s="964"/>
      <c r="O74" s="964"/>
      <c r="P74" s="964"/>
      <c r="Q74" s="964"/>
      <c r="R74" s="964">
        <v>21</v>
      </c>
      <c r="S74" s="440"/>
      <c r="T74" s="440"/>
      <c r="U74" s="441" t="s">
        <v>1944</v>
      </c>
    </row>
    <row r="75" spans="1:21" ht="25.5" x14ac:dyDescent="0.2">
      <c r="A75" s="973">
        <v>15</v>
      </c>
      <c r="B75" s="964" t="s">
        <v>217</v>
      </c>
      <c r="C75" s="964">
        <f t="shared" si="11"/>
        <v>370</v>
      </c>
      <c r="D75" s="964"/>
      <c r="E75" s="964"/>
      <c r="F75" s="964"/>
      <c r="G75" s="964"/>
      <c r="H75" s="964"/>
      <c r="I75" s="964"/>
      <c r="J75" s="964"/>
      <c r="K75" s="964"/>
      <c r="L75" s="964"/>
      <c r="M75" s="964"/>
      <c r="N75" s="964"/>
      <c r="O75" s="964"/>
      <c r="P75" s="964"/>
      <c r="Q75" s="964"/>
      <c r="R75" s="964">
        <f>350+10+'CTMT TPMT'!C44</f>
        <v>370</v>
      </c>
      <c r="S75" s="440"/>
      <c r="T75" s="440"/>
      <c r="U75" s="441" t="s">
        <v>1164</v>
      </c>
    </row>
    <row r="76" spans="1:21" x14ac:dyDescent="0.2">
      <c r="A76" s="1924">
        <v>16</v>
      </c>
      <c r="B76" s="1925" t="s">
        <v>218</v>
      </c>
      <c r="C76" s="1151">
        <f t="shared" si="11"/>
        <v>12</v>
      </c>
      <c r="D76" s="1151"/>
      <c r="E76" s="1151"/>
      <c r="F76" s="1151"/>
      <c r="G76" s="1151"/>
      <c r="H76" s="1151"/>
      <c r="I76" s="1151"/>
      <c r="J76" s="1151"/>
      <c r="K76" s="1151"/>
      <c r="L76" s="1151"/>
      <c r="M76" s="1151"/>
      <c r="N76" s="1151"/>
      <c r="O76" s="1151"/>
      <c r="P76" s="1151"/>
      <c r="Q76" s="1151"/>
      <c r="R76" s="1151">
        <v>12</v>
      </c>
      <c r="S76" s="1925"/>
      <c r="T76" s="1925"/>
      <c r="U76" s="446" t="s">
        <v>2352</v>
      </c>
    </row>
    <row r="77" spans="1:21" ht="44.25" customHeight="1" x14ac:dyDescent="0.2">
      <c r="A77" s="976">
        <v>17</v>
      </c>
      <c r="B77" s="1320" t="s">
        <v>2422</v>
      </c>
      <c r="C77" s="1320">
        <f t="shared" si="11"/>
        <v>120</v>
      </c>
      <c r="D77" s="1320"/>
      <c r="E77" s="1320"/>
      <c r="F77" s="1320"/>
      <c r="G77" s="1320"/>
      <c r="H77" s="1320"/>
      <c r="I77" s="1320"/>
      <c r="J77" s="1320"/>
      <c r="K77" s="1320"/>
      <c r="L77" s="1320"/>
      <c r="M77" s="1926">
        <v>120</v>
      </c>
      <c r="N77" s="1320"/>
      <c r="O77" s="1320"/>
      <c r="P77" s="1320"/>
      <c r="Q77" s="1320"/>
      <c r="R77" s="1320"/>
      <c r="S77" s="1927"/>
      <c r="T77" s="1927"/>
      <c r="U77" s="1926" t="s">
        <v>2423</v>
      </c>
    </row>
    <row r="78" spans="1:21" ht="39.75" customHeight="1" x14ac:dyDescent="0.2">
      <c r="A78" s="1321"/>
      <c r="B78" s="2092" t="s">
        <v>2354</v>
      </c>
      <c r="C78" s="2092"/>
      <c r="D78" s="2092"/>
      <c r="E78" s="2092"/>
      <c r="F78" s="2092"/>
      <c r="G78" s="2092"/>
      <c r="H78" s="2092"/>
      <c r="I78" s="2092"/>
      <c r="J78" s="2092"/>
      <c r="K78" s="2092"/>
      <c r="L78" s="2092"/>
      <c r="M78" s="2092"/>
      <c r="N78" s="2092"/>
      <c r="O78" s="2092"/>
      <c r="P78" s="2092"/>
      <c r="Q78" s="2092"/>
      <c r="R78" s="2092"/>
      <c r="S78" s="2092"/>
      <c r="T78" s="2092"/>
      <c r="U78" s="2092"/>
    </row>
    <row r="79" spans="1:21" hidden="1" x14ac:dyDescent="0.2">
      <c r="A79" s="1321"/>
      <c r="B79" s="1322"/>
      <c r="C79" s="1323"/>
      <c r="D79" s="1323"/>
      <c r="E79" s="1323"/>
      <c r="F79" s="1323"/>
      <c r="G79" s="1323"/>
      <c r="H79" s="1323"/>
      <c r="I79" s="1323"/>
      <c r="J79" s="1323"/>
      <c r="K79" s="1323"/>
      <c r="L79" s="1323"/>
      <c r="M79" s="1323"/>
      <c r="N79" s="1323"/>
      <c r="O79" s="1323"/>
      <c r="P79" s="1323"/>
      <c r="Q79" s="1323"/>
      <c r="R79" s="1323"/>
    </row>
    <row r="80" spans="1:21" hidden="1" x14ac:dyDescent="0.2">
      <c r="A80" s="1321"/>
      <c r="B80" s="1322"/>
      <c r="C80" s="1323">
        <f>C7-C57-C60</f>
        <v>899190.79</v>
      </c>
      <c r="D80" s="1323"/>
      <c r="E80" s="1323"/>
      <c r="F80" s="1323"/>
      <c r="G80" s="1323"/>
      <c r="H80" s="1323"/>
      <c r="I80" s="1323"/>
      <c r="J80" s="1323"/>
      <c r="K80" s="1323"/>
      <c r="L80" s="1323"/>
      <c r="M80" s="1323">
        <f>M7-M60</f>
        <v>115851</v>
      </c>
      <c r="N80" s="1323">
        <f>N7-N60</f>
        <v>26173</v>
      </c>
      <c r="O80" s="1323">
        <f>O7-O60</f>
        <v>62470</v>
      </c>
      <c r="P80" s="1323">
        <f>P7-P60+351</f>
        <v>255768.79</v>
      </c>
      <c r="Q80" s="1323">
        <f>Q7-Q60</f>
        <v>11506</v>
      </c>
      <c r="R80" s="1323"/>
    </row>
    <row r="81" spans="2:16" ht="12.75" hidden="1" customHeight="1" x14ac:dyDescent="0.2">
      <c r="P81" s="445">
        <v>254633</v>
      </c>
    </row>
    <row r="82" spans="2:16" ht="12.75" hidden="1" customHeight="1" x14ac:dyDescent="0.2">
      <c r="P82" s="445">
        <f>P80-P81</f>
        <v>1135.7900000000081</v>
      </c>
    </row>
    <row r="83" spans="2:16" ht="12.75" hidden="1" customHeight="1" x14ac:dyDescent="0.2">
      <c r="P83" s="445">
        <v>351</v>
      </c>
    </row>
    <row r="84" spans="2:16" ht="12.75" hidden="1" customHeight="1" x14ac:dyDescent="0.2">
      <c r="P84" s="445">
        <f>P82+P83</f>
        <v>1486.7900000000081</v>
      </c>
    </row>
    <row r="85" spans="2:16" ht="12.75" hidden="1" customHeight="1" x14ac:dyDescent="0.2"/>
    <row r="86" spans="2:16" ht="13.5" customHeight="1" x14ac:dyDescent="0.2">
      <c r="B86" s="445" t="s">
        <v>2427</v>
      </c>
    </row>
  </sheetData>
  <mergeCells count="24">
    <mergeCell ref="A1:U1"/>
    <mergeCell ref="P3:U3"/>
    <mergeCell ref="U4:U5"/>
    <mergeCell ref="S4:S5"/>
    <mergeCell ref="M4:M5"/>
    <mergeCell ref="N4:O4"/>
    <mergeCell ref="I4:I5"/>
    <mergeCell ref="A4:A5"/>
    <mergeCell ref="A2:U2"/>
    <mergeCell ref="K4:K5"/>
    <mergeCell ref="G4:G5"/>
    <mergeCell ref="Q4:Q5"/>
    <mergeCell ref="R4:R5"/>
    <mergeCell ref="L4:L5"/>
    <mergeCell ref="T4:T5"/>
    <mergeCell ref="H4:H5"/>
    <mergeCell ref="P4:P5"/>
    <mergeCell ref="D4:D5"/>
    <mergeCell ref="B78:U78"/>
    <mergeCell ref="E4:E5"/>
    <mergeCell ref="J4:J5"/>
    <mergeCell ref="F4:F5"/>
    <mergeCell ref="B4:B5"/>
    <mergeCell ref="C4:C5"/>
  </mergeCells>
  <pageMargins left="0.2" right="0.2" top="0.54" bottom="0.42" header="0.25" footer="0.2"/>
  <pageSetup paperSize="9" firstPageNumber="16" orientation="landscape" useFirstPageNumber="1" r:id="rId1"/>
  <headerFooter>
    <oddHeader>&amp;RBiểu mẫu số 37</oddHeader>
    <oddFooter>&amp;C&amp;P</oddFooter>
  </headerFooter>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20"/>
  <sheetViews>
    <sheetView workbookViewId="0">
      <selection activeCell="K12" sqref="K12"/>
    </sheetView>
  </sheetViews>
  <sheetFormatPr defaultRowHeight="12.75" x14ac:dyDescent="0.2"/>
  <cols>
    <col min="1" max="1" width="5.625" style="1890" customWidth="1"/>
    <col min="2" max="2" width="36.625" style="1890" customWidth="1"/>
    <col min="3" max="3" width="10.25" style="1922" customWidth="1"/>
    <col min="4" max="4" width="8.5" style="1922" customWidth="1"/>
    <col min="5" max="5" width="16.75" style="1922" customWidth="1"/>
    <col min="6" max="6" width="10.875" style="1890" customWidth="1"/>
    <col min="7" max="7" width="8.25" style="1890" customWidth="1"/>
    <col min="8" max="8" width="6.875" style="1890" customWidth="1"/>
    <col min="9" max="9" width="8.25" style="1890" customWidth="1"/>
    <col min="10" max="10" width="17.375" style="1890" customWidth="1"/>
    <col min="11" max="11" width="9.625" style="1890" customWidth="1"/>
    <col min="12" max="256" width="9" style="1890"/>
    <col min="257" max="257" width="4.5" style="1890" customWidth="1"/>
    <col min="258" max="258" width="27.5" style="1890" customWidth="1"/>
    <col min="259" max="259" width="12.625" style="1890" customWidth="1"/>
    <col min="260" max="260" width="8.5" style="1890" customWidth="1"/>
    <col min="261" max="261" width="12.125" style="1890" customWidth="1"/>
    <col min="262" max="262" width="10.125" style="1890" customWidth="1"/>
    <col min="263" max="263" width="10.625" style="1890" customWidth="1"/>
    <col min="264" max="265" width="8.25" style="1890" customWidth="1"/>
    <col min="266" max="266" width="10.375" style="1890" customWidth="1"/>
    <col min="267" max="512" width="9" style="1890"/>
    <col min="513" max="513" width="4.5" style="1890" customWidth="1"/>
    <col min="514" max="514" width="27.5" style="1890" customWidth="1"/>
    <col min="515" max="515" width="12.625" style="1890" customWidth="1"/>
    <col min="516" max="516" width="8.5" style="1890" customWidth="1"/>
    <col min="517" max="517" width="12.125" style="1890" customWidth="1"/>
    <col min="518" max="518" width="10.125" style="1890" customWidth="1"/>
    <col min="519" max="519" width="10.625" style="1890" customWidth="1"/>
    <col min="520" max="521" width="8.25" style="1890" customWidth="1"/>
    <col min="522" max="522" width="10.375" style="1890" customWidth="1"/>
    <col min="523" max="768" width="9" style="1890"/>
    <col min="769" max="769" width="4.5" style="1890" customWidth="1"/>
    <col min="770" max="770" width="27.5" style="1890" customWidth="1"/>
    <col min="771" max="771" width="12.625" style="1890" customWidth="1"/>
    <col min="772" max="772" width="8.5" style="1890" customWidth="1"/>
    <col min="773" max="773" width="12.125" style="1890" customWidth="1"/>
    <col min="774" max="774" width="10.125" style="1890" customWidth="1"/>
    <col min="775" max="775" width="10.625" style="1890" customWidth="1"/>
    <col min="776" max="777" width="8.25" style="1890" customWidth="1"/>
    <col min="778" max="778" width="10.375" style="1890" customWidth="1"/>
    <col min="779" max="1024" width="9" style="1890"/>
    <col min="1025" max="1025" width="4.5" style="1890" customWidth="1"/>
    <col min="1026" max="1026" width="27.5" style="1890" customWidth="1"/>
    <col min="1027" max="1027" width="12.625" style="1890" customWidth="1"/>
    <col min="1028" max="1028" width="8.5" style="1890" customWidth="1"/>
    <col min="1029" max="1029" width="12.125" style="1890" customWidth="1"/>
    <col min="1030" max="1030" width="10.125" style="1890" customWidth="1"/>
    <col min="1031" max="1031" width="10.625" style="1890" customWidth="1"/>
    <col min="1032" max="1033" width="8.25" style="1890" customWidth="1"/>
    <col min="1034" max="1034" width="10.375" style="1890" customWidth="1"/>
    <col min="1035" max="1280" width="9" style="1890"/>
    <col min="1281" max="1281" width="4.5" style="1890" customWidth="1"/>
    <col min="1282" max="1282" width="27.5" style="1890" customWidth="1"/>
    <col min="1283" max="1283" width="12.625" style="1890" customWidth="1"/>
    <col min="1284" max="1284" width="8.5" style="1890" customWidth="1"/>
    <col min="1285" max="1285" width="12.125" style="1890" customWidth="1"/>
    <col min="1286" max="1286" width="10.125" style="1890" customWidth="1"/>
    <col min="1287" max="1287" width="10.625" style="1890" customWidth="1"/>
    <col min="1288" max="1289" width="8.25" style="1890" customWidth="1"/>
    <col min="1290" max="1290" width="10.375" style="1890" customWidth="1"/>
    <col min="1291" max="1536" width="9" style="1890"/>
    <col min="1537" max="1537" width="4.5" style="1890" customWidth="1"/>
    <col min="1538" max="1538" width="27.5" style="1890" customWidth="1"/>
    <col min="1539" max="1539" width="12.625" style="1890" customWidth="1"/>
    <col min="1540" max="1540" width="8.5" style="1890" customWidth="1"/>
    <col min="1541" max="1541" width="12.125" style="1890" customWidth="1"/>
    <col min="1542" max="1542" width="10.125" style="1890" customWidth="1"/>
    <col min="1543" max="1543" width="10.625" style="1890" customWidth="1"/>
    <col min="1544" max="1545" width="8.25" style="1890" customWidth="1"/>
    <col min="1546" max="1546" width="10.375" style="1890" customWidth="1"/>
    <col min="1547" max="1792" width="9" style="1890"/>
    <col min="1793" max="1793" width="4.5" style="1890" customWidth="1"/>
    <col min="1794" max="1794" width="27.5" style="1890" customWidth="1"/>
    <col min="1795" max="1795" width="12.625" style="1890" customWidth="1"/>
    <col min="1796" max="1796" width="8.5" style="1890" customWidth="1"/>
    <col min="1797" max="1797" width="12.125" style="1890" customWidth="1"/>
    <col min="1798" max="1798" width="10.125" style="1890" customWidth="1"/>
    <col min="1799" max="1799" width="10.625" style="1890" customWidth="1"/>
    <col min="1800" max="1801" width="8.25" style="1890" customWidth="1"/>
    <col min="1802" max="1802" width="10.375" style="1890" customWidth="1"/>
    <col min="1803" max="2048" width="9" style="1890"/>
    <col min="2049" max="2049" width="4.5" style="1890" customWidth="1"/>
    <col min="2050" max="2050" width="27.5" style="1890" customWidth="1"/>
    <col min="2051" max="2051" width="12.625" style="1890" customWidth="1"/>
    <col min="2052" max="2052" width="8.5" style="1890" customWidth="1"/>
    <col min="2053" max="2053" width="12.125" style="1890" customWidth="1"/>
    <col min="2054" max="2054" width="10.125" style="1890" customWidth="1"/>
    <col min="2055" max="2055" width="10.625" style="1890" customWidth="1"/>
    <col min="2056" max="2057" width="8.25" style="1890" customWidth="1"/>
    <col min="2058" max="2058" width="10.375" style="1890" customWidth="1"/>
    <col min="2059" max="2304" width="9" style="1890"/>
    <col min="2305" max="2305" width="4.5" style="1890" customWidth="1"/>
    <col min="2306" max="2306" width="27.5" style="1890" customWidth="1"/>
    <col min="2307" max="2307" width="12.625" style="1890" customWidth="1"/>
    <col min="2308" max="2308" width="8.5" style="1890" customWidth="1"/>
    <col min="2309" max="2309" width="12.125" style="1890" customWidth="1"/>
    <col min="2310" max="2310" width="10.125" style="1890" customWidth="1"/>
    <col min="2311" max="2311" width="10.625" style="1890" customWidth="1"/>
    <col min="2312" max="2313" width="8.25" style="1890" customWidth="1"/>
    <col min="2314" max="2314" width="10.375" style="1890" customWidth="1"/>
    <col min="2315" max="2560" width="9" style="1890"/>
    <col min="2561" max="2561" width="4.5" style="1890" customWidth="1"/>
    <col min="2562" max="2562" width="27.5" style="1890" customWidth="1"/>
    <col min="2563" max="2563" width="12.625" style="1890" customWidth="1"/>
    <col min="2564" max="2564" width="8.5" style="1890" customWidth="1"/>
    <col min="2565" max="2565" width="12.125" style="1890" customWidth="1"/>
    <col min="2566" max="2566" width="10.125" style="1890" customWidth="1"/>
    <col min="2567" max="2567" width="10.625" style="1890" customWidth="1"/>
    <col min="2568" max="2569" width="8.25" style="1890" customWidth="1"/>
    <col min="2570" max="2570" width="10.375" style="1890" customWidth="1"/>
    <col min="2571" max="2816" width="9" style="1890"/>
    <col min="2817" max="2817" width="4.5" style="1890" customWidth="1"/>
    <col min="2818" max="2818" width="27.5" style="1890" customWidth="1"/>
    <col min="2819" max="2819" width="12.625" style="1890" customWidth="1"/>
    <col min="2820" max="2820" width="8.5" style="1890" customWidth="1"/>
    <col min="2821" max="2821" width="12.125" style="1890" customWidth="1"/>
    <col min="2822" max="2822" width="10.125" style="1890" customWidth="1"/>
    <col min="2823" max="2823" width="10.625" style="1890" customWidth="1"/>
    <col min="2824" max="2825" width="8.25" style="1890" customWidth="1"/>
    <col min="2826" max="2826" width="10.375" style="1890" customWidth="1"/>
    <col min="2827" max="3072" width="9" style="1890"/>
    <col min="3073" max="3073" width="4.5" style="1890" customWidth="1"/>
    <col min="3074" max="3074" width="27.5" style="1890" customWidth="1"/>
    <col min="3075" max="3075" width="12.625" style="1890" customWidth="1"/>
    <col min="3076" max="3076" width="8.5" style="1890" customWidth="1"/>
    <col min="3077" max="3077" width="12.125" style="1890" customWidth="1"/>
    <col min="3078" max="3078" width="10.125" style="1890" customWidth="1"/>
    <col min="3079" max="3079" width="10.625" style="1890" customWidth="1"/>
    <col min="3080" max="3081" width="8.25" style="1890" customWidth="1"/>
    <col min="3082" max="3082" width="10.375" style="1890" customWidth="1"/>
    <col min="3083" max="3328" width="9" style="1890"/>
    <col min="3329" max="3329" width="4.5" style="1890" customWidth="1"/>
    <col min="3330" max="3330" width="27.5" style="1890" customWidth="1"/>
    <col min="3331" max="3331" width="12.625" style="1890" customWidth="1"/>
    <col min="3332" max="3332" width="8.5" style="1890" customWidth="1"/>
    <col min="3333" max="3333" width="12.125" style="1890" customWidth="1"/>
    <col min="3334" max="3334" width="10.125" style="1890" customWidth="1"/>
    <col min="3335" max="3335" width="10.625" style="1890" customWidth="1"/>
    <col min="3336" max="3337" width="8.25" style="1890" customWidth="1"/>
    <col min="3338" max="3338" width="10.375" style="1890" customWidth="1"/>
    <col min="3339" max="3584" width="9" style="1890"/>
    <col min="3585" max="3585" width="4.5" style="1890" customWidth="1"/>
    <col min="3586" max="3586" width="27.5" style="1890" customWidth="1"/>
    <col min="3587" max="3587" width="12.625" style="1890" customWidth="1"/>
    <col min="3588" max="3588" width="8.5" style="1890" customWidth="1"/>
    <col min="3589" max="3589" width="12.125" style="1890" customWidth="1"/>
    <col min="3590" max="3590" width="10.125" style="1890" customWidth="1"/>
    <col min="3591" max="3591" width="10.625" style="1890" customWidth="1"/>
    <col min="3592" max="3593" width="8.25" style="1890" customWidth="1"/>
    <col min="3594" max="3594" width="10.375" style="1890" customWidth="1"/>
    <col min="3595" max="3840" width="9" style="1890"/>
    <col min="3841" max="3841" width="4.5" style="1890" customWidth="1"/>
    <col min="3842" max="3842" width="27.5" style="1890" customWidth="1"/>
    <col min="3843" max="3843" width="12.625" style="1890" customWidth="1"/>
    <col min="3844" max="3844" width="8.5" style="1890" customWidth="1"/>
    <col min="3845" max="3845" width="12.125" style="1890" customWidth="1"/>
    <col min="3846" max="3846" width="10.125" style="1890" customWidth="1"/>
    <col min="3847" max="3847" width="10.625" style="1890" customWidth="1"/>
    <col min="3848" max="3849" width="8.25" style="1890" customWidth="1"/>
    <col min="3850" max="3850" width="10.375" style="1890" customWidth="1"/>
    <col min="3851" max="4096" width="9" style="1890"/>
    <col min="4097" max="4097" width="4.5" style="1890" customWidth="1"/>
    <col min="4098" max="4098" width="27.5" style="1890" customWidth="1"/>
    <col min="4099" max="4099" width="12.625" style="1890" customWidth="1"/>
    <col min="4100" max="4100" width="8.5" style="1890" customWidth="1"/>
    <col min="4101" max="4101" width="12.125" style="1890" customWidth="1"/>
    <col min="4102" max="4102" width="10.125" style="1890" customWidth="1"/>
    <col min="4103" max="4103" width="10.625" style="1890" customWidth="1"/>
    <col min="4104" max="4105" width="8.25" style="1890" customWidth="1"/>
    <col min="4106" max="4106" width="10.375" style="1890" customWidth="1"/>
    <col min="4107" max="4352" width="9" style="1890"/>
    <col min="4353" max="4353" width="4.5" style="1890" customWidth="1"/>
    <col min="4354" max="4354" width="27.5" style="1890" customWidth="1"/>
    <col min="4355" max="4355" width="12.625" style="1890" customWidth="1"/>
    <col min="4356" max="4356" width="8.5" style="1890" customWidth="1"/>
    <col min="4357" max="4357" width="12.125" style="1890" customWidth="1"/>
    <col min="4358" max="4358" width="10.125" style="1890" customWidth="1"/>
    <col min="4359" max="4359" width="10.625" style="1890" customWidth="1"/>
    <col min="4360" max="4361" width="8.25" style="1890" customWidth="1"/>
    <col min="4362" max="4362" width="10.375" style="1890" customWidth="1"/>
    <col min="4363" max="4608" width="9" style="1890"/>
    <col min="4609" max="4609" width="4.5" style="1890" customWidth="1"/>
    <col min="4610" max="4610" width="27.5" style="1890" customWidth="1"/>
    <col min="4611" max="4611" width="12.625" style="1890" customWidth="1"/>
    <col min="4612" max="4612" width="8.5" style="1890" customWidth="1"/>
    <col min="4613" max="4613" width="12.125" style="1890" customWidth="1"/>
    <col min="4614" max="4614" width="10.125" style="1890" customWidth="1"/>
    <col min="4615" max="4615" width="10.625" style="1890" customWidth="1"/>
    <col min="4616" max="4617" width="8.25" style="1890" customWidth="1"/>
    <col min="4618" max="4618" width="10.375" style="1890" customWidth="1"/>
    <col min="4619" max="4864" width="9" style="1890"/>
    <col min="4865" max="4865" width="4.5" style="1890" customWidth="1"/>
    <col min="4866" max="4866" width="27.5" style="1890" customWidth="1"/>
    <col min="4867" max="4867" width="12.625" style="1890" customWidth="1"/>
    <col min="4868" max="4868" width="8.5" style="1890" customWidth="1"/>
    <col min="4869" max="4869" width="12.125" style="1890" customWidth="1"/>
    <col min="4870" max="4870" width="10.125" style="1890" customWidth="1"/>
    <col min="4871" max="4871" width="10.625" style="1890" customWidth="1"/>
    <col min="4872" max="4873" width="8.25" style="1890" customWidth="1"/>
    <col min="4874" max="4874" width="10.375" style="1890" customWidth="1"/>
    <col min="4875" max="5120" width="9" style="1890"/>
    <col min="5121" max="5121" width="4.5" style="1890" customWidth="1"/>
    <col min="5122" max="5122" width="27.5" style="1890" customWidth="1"/>
    <col min="5123" max="5123" width="12.625" style="1890" customWidth="1"/>
    <col min="5124" max="5124" width="8.5" style="1890" customWidth="1"/>
    <col min="5125" max="5125" width="12.125" style="1890" customWidth="1"/>
    <col min="5126" max="5126" width="10.125" style="1890" customWidth="1"/>
    <col min="5127" max="5127" width="10.625" style="1890" customWidth="1"/>
    <col min="5128" max="5129" width="8.25" style="1890" customWidth="1"/>
    <col min="5130" max="5130" width="10.375" style="1890" customWidth="1"/>
    <col min="5131" max="5376" width="9" style="1890"/>
    <col min="5377" max="5377" width="4.5" style="1890" customWidth="1"/>
    <col min="5378" max="5378" width="27.5" style="1890" customWidth="1"/>
    <col min="5379" max="5379" width="12.625" style="1890" customWidth="1"/>
    <col min="5380" max="5380" width="8.5" style="1890" customWidth="1"/>
    <col min="5381" max="5381" width="12.125" style="1890" customWidth="1"/>
    <col min="5382" max="5382" width="10.125" style="1890" customWidth="1"/>
    <col min="5383" max="5383" width="10.625" style="1890" customWidth="1"/>
    <col min="5384" max="5385" width="8.25" style="1890" customWidth="1"/>
    <col min="5386" max="5386" width="10.375" style="1890" customWidth="1"/>
    <col min="5387" max="5632" width="9" style="1890"/>
    <col min="5633" max="5633" width="4.5" style="1890" customWidth="1"/>
    <col min="5634" max="5634" width="27.5" style="1890" customWidth="1"/>
    <col min="5635" max="5635" width="12.625" style="1890" customWidth="1"/>
    <col min="5636" max="5636" width="8.5" style="1890" customWidth="1"/>
    <col min="5637" max="5637" width="12.125" style="1890" customWidth="1"/>
    <col min="5638" max="5638" width="10.125" style="1890" customWidth="1"/>
    <col min="5639" max="5639" width="10.625" style="1890" customWidth="1"/>
    <col min="5640" max="5641" width="8.25" style="1890" customWidth="1"/>
    <col min="5642" max="5642" width="10.375" style="1890" customWidth="1"/>
    <col min="5643" max="5888" width="9" style="1890"/>
    <col min="5889" max="5889" width="4.5" style="1890" customWidth="1"/>
    <col min="5890" max="5890" width="27.5" style="1890" customWidth="1"/>
    <col min="5891" max="5891" width="12.625" style="1890" customWidth="1"/>
    <col min="5892" max="5892" width="8.5" style="1890" customWidth="1"/>
    <col min="5893" max="5893" width="12.125" style="1890" customWidth="1"/>
    <col min="5894" max="5894" width="10.125" style="1890" customWidth="1"/>
    <col min="5895" max="5895" width="10.625" style="1890" customWidth="1"/>
    <col min="5896" max="5897" width="8.25" style="1890" customWidth="1"/>
    <col min="5898" max="5898" width="10.375" style="1890" customWidth="1"/>
    <col min="5899" max="6144" width="9" style="1890"/>
    <col min="6145" max="6145" width="4.5" style="1890" customWidth="1"/>
    <col min="6146" max="6146" width="27.5" style="1890" customWidth="1"/>
    <col min="6147" max="6147" width="12.625" style="1890" customWidth="1"/>
    <col min="6148" max="6148" width="8.5" style="1890" customWidth="1"/>
    <col min="6149" max="6149" width="12.125" style="1890" customWidth="1"/>
    <col min="6150" max="6150" width="10.125" style="1890" customWidth="1"/>
    <col min="6151" max="6151" width="10.625" style="1890" customWidth="1"/>
    <col min="6152" max="6153" width="8.25" style="1890" customWidth="1"/>
    <col min="6154" max="6154" width="10.375" style="1890" customWidth="1"/>
    <col min="6155" max="6400" width="9" style="1890"/>
    <col min="6401" max="6401" width="4.5" style="1890" customWidth="1"/>
    <col min="6402" max="6402" width="27.5" style="1890" customWidth="1"/>
    <col min="6403" max="6403" width="12.625" style="1890" customWidth="1"/>
    <col min="6404" max="6404" width="8.5" style="1890" customWidth="1"/>
    <col min="6405" max="6405" width="12.125" style="1890" customWidth="1"/>
    <col min="6406" max="6406" width="10.125" style="1890" customWidth="1"/>
    <col min="6407" max="6407" width="10.625" style="1890" customWidth="1"/>
    <col min="6408" max="6409" width="8.25" style="1890" customWidth="1"/>
    <col min="6410" max="6410" width="10.375" style="1890" customWidth="1"/>
    <col min="6411" max="6656" width="9" style="1890"/>
    <col min="6657" max="6657" width="4.5" style="1890" customWidth="1"/>
    <col min="6658" max="6658" width="27.5" style="1890" customWidth="1"/>
    <col min="6659" max="6659" width="12.625" style="1890" customWidth="1"/>
    <col min="6660" max="6660" width="8.5" style="1890" customWidth="1"/>
    <col min="6661" max="6661" width="12.125" style="1890" customWidth="1"/>
    <col min="6662" max="6662" width="10.125" style="1890" customWidth="1"/>
    <col min="6663" max="6663" width="10.625" style="1890" customWidth="1"/>
    <col min="6664" max="6665" width="8.25" style="1890" customWidth="1"/>
    <col min="6666" max="6666" width="10.375" style="1890" customWidth="1"/>
    <col min="6667" max="6912" width="9" style="1890"/>
    <col min="6913" max="6913" width="4.5" style="1890" customWidth="1"/>
    <col min="6914" max="6914" width="27.5" style="1890" customWidth="1"/>
    <col min="6915" max="6915" width="12.625" style="1890" customWidth="1"/>
    <col min="6916" max="6916" width="8.5" style="1890" customWidth="1"/>
    <col min="6917" max="6917" width="12.125" style="1890" customWidth="1"/>
    <col min="6918" max="6918" width="10.125" style="1890" customWidth="1"/>
    <col min="6919" max="6919" width="10.625" style="1890" customWidth="1"/>
    <col min="6920" max="6921" width="8.25" style="1890" customWidth="1"/>
    <col min="6922" max="6922" width="10.375" style="1890" customWidth="1"/>
    <col min="6923" max="7168" width="9" style="1890"/>
    <col min="7169" max="7169" width="4.5" style="1890" customWidth="1"/>
    <col min="7170" max="7170" width="27.5" style="1890" customWidth="1"/>
    <col min="7171" max="7171" width="12.625" style="1890" customWidth="1"/>
    <col min="7172" max="7172" width="8.5" style="1890" customWidth="1"/>
    <col min="7173" max="7173" width="12.125" style="1890" customWidth="1"/>
    <col min="7174" max="7174" width="10.125" style="1890" customWidth="1"/>
    <col min="7175" max="7175" width="10.625" style="1890" customWidth="1"/>
    <col min="7176" max="7177" width="8.25" style="1890" customWidth="1"/>
    <col min="7178" max="7178" width="10.375" style="1890" customWidth="1"/>
    <col min="7179" max="7424" width="9" style="1890"/>
    <col min="7425" max="7425" width="4.5" style="1890" customWidth="1"/>
    <col min="7426" max="7426" width="27.5" style="1890" customWidth="1"/>
    <col min="7427" max="7427" width="12.625" style="1890" customWidth="1"/>
    <col min="7428" max="7428" width="8.5" style="1890" customWidth="1"/>
    <col min="7429" max="7429" width="12.125" style="1890" customWidth="1"/>
    <col min="7430" max="7430" width="10.125" style="1890" customWidth="1"/>
    <col min="7431" max="7431" width="10.625" style="1890" customWidth="1"/>
    <col min="7432" max="7433" width="8.25" style="1890" customWidth="1"/>
    <col min="7434" max="7434" width="10.375" style="1890" customWidth="1"/>
    <col min="7435" max="7680" width="9" style="1890"/>
    <col min="7681" max="7681" width="4.5" style="1890" customWidth="1"/>
    <col min="7682" max="7682" width="27.5" style="1890" customWidth="1"/>
    <col min="7683" max="7683" width="12.625" style="1890" customWidth="1"/>
    <col min="7684" max="7684" width="8.5" style="1890" customWidth="1"/>
    <col min="7685" max="7685" width="12.125" style="1890" customWidth="1"/>
    <col min="7686" max="7686" width="10.125" style="1890" customWidth="1"/>
    <col min="7687" max="7687" width="10.625" style="1890" customWidth="1"/>
    <col min="7688" max="7689" width="8.25" style="1890" customWidth="1"/>
    <col min="7690" max="7690" width="10.375" style="1890" customWidth="1"/>
    <col min="7691" max="7936" width="9" style="1890"/>
    <col min="7937" max="7937" width="4.5" style="1890" customWidth="1"/>
    <col min="7938" max="7938" width="27.5" style="1890" customWidth="1"/>
    <col min="7939" max="7939" width="12.625" style="1890" customWidth="1"/>
    <col min="7940" max="7940" width="8.5" style="1890" customWidth="1"/>
    <col min="7941" max="7941" width="12.125" style="1890" customWidth="1"/>
    <col min="7942" max="7942" width="10.125" style="1890" customWidth="1"/>
    <col min="7943" max="7943" width="10.625" style="1890" customWidth="1"/>
    <col min="7944" max="7945" width="8.25" style="1890" customWidth="1"/>
    <col min="7946" max="7946" width="10.375" style="1890" customWidth="1"/>
    <col min="7947" max="8192" width="9" style="1890"/>
    <col min="8193" max="8193" width="4.5" style="1890" customWidth="1"/>
    <col min="8194" max="8194" width="27.5" style="1890" customWidth="1"/>
    <col min="8195" max="8195" width="12.625" style="1890" customWidth="1"/>
    <col min="8196" max="8196" width="8.5" style="1890" customWidth="1"/>
    <col min="8197" max="8197" width="12.125" style="1890" customWidth="1"/>
    <col min="8198" max="8198" width="10.125" style="1890" customWidth="1"/>
    <col min="8199" max="8199" width="10.625" style="1890" customWidth="1"/>
    <col min="8200" max="8201" width="8.25" style="1890" customWidth="1"/>
    <col min="8202" max="8202" width="10.375" style="1890" customWidth="1"/>
    <col min="8203" max="8448" width="9" style="1890"/>
    <col min="8449" max="8449" width="4.5" style="1890" customWidth="1"/>
    <col min="8450" max="8450" width="27.5" style="1890" customWidth="1"/>
    <col min="8451" max="8451" width="12.625" style="1890" customWidth="1"/>
    <col min="8452" max="8452" width="8.5" style="1890" customWidth="1"/>
    <col min="8453" max="8453" width="12.125" style="1890" customWidth="1"/>
    <col min="8454" max="8454" width="10.125" style="1890" customWidth="1"/>
    <col min="8455" max="8455" width="10.625" style="1890" customWidth="1"/>
    <col min="8456" max="8457" width="8.25" style="1890" customWidth="1"/>
    <col min="8458" max="8458" width="10.375" style="1890" customWidth="1"/>
    <col min="8459" max="8704" width="9" style="1890"/>
    <col min="8705" max="8705" width="4.5" style="1890" customWidth="1"/>
    <col min="8706" max="8706" width="27.5" style="1890" customWidth="1"/>
    <col min="8707" max="8707" width="12.625" style="1890" customWidth="1"/>
    <col min="8708" max="8708" width="8.5" style="1890" customWidth="1"/>
    <col min="8709" max="8709" width="12.125" style="1890" customWidth="1"/>
    <col min="8710" max="8710" width="10.125" style="1890" customWidth="1"/>
    <col min="8711" max="8711" width="10.625" style="1890" customWidth="1"/>
    <col min="8712" max="8713" width="8.25" style="1890" customWidth="1"/>
    <col min="8714" max="8714" width="10.375" style="1890" customWidth="1"/>
    <col min="8715" max="8960" width="9" style="1890"/>
    <col min="8961" max="8961" width="4.5" style="1890" customWidth="1"/>
    <col min="8962" max="8962" width="27.5" style="1890" customWidth="1"/>
    <col min="8963" max="8963" width="12.625" style="1890" customWidth="1"/>
    <col min="8964" max="8964" width="8.5" style="1890" customWidth="1"/>
    <col min="8965" max="8965" width="12.125" style="1890" customWidth="1"/>
    <col min="8966" max="8966" width="10.125" style="1890" customWidth="1"/>
    <col min="8967" max="8967" width="10.625" style="1890" customWidth="1"/>
    <col min="8968" max="8969" width="8.25" style="1890" customWidth="1"/>
    <col min="8970" max="8970" width="10.375" style="1890" customWidth="1"/>
    <col min="8971" max="9216" width="9" style="1890"/>
    <col min="9217" max="9217" width="4.5" style="1890" customWidth="1"/>
    <col min="9218" max="9218" width="27.5" style="1890" customWidth="1"/>
    <col min="9219" max="9219" width="12.625" style="1890" customWidth="1"/>
    <col min="9220" max="9220" width="8.5" style="1890" customWidth="1"/>
    <col min="9221" max="9221" width="12.125" style="1890" customWidth="1"/>
    <col min="9222" max="9222" width="10.125" style="1890" customWidth="1"/>
    <col min="9223" max="9223" width="10.625" style="1890" customWidth="1"/>
    <col min="9224" max="9225" width="8.25" style="1890" customWidth="1"/>
    <col min="9226" max="9226" width="10.375" style="1890" customWidth="1"/>
    <col min="9227" max="9472" width="9" style="1890"/>
    <col min="9473" max="9473" width="4.5" style="1890" customWidth="1"/>
    <col min="9474" max="9474" width="27.5" style="1890" customWidth="1"/>
    <col min="9475" max="9475" width="12.625" style="1890" customWidth="1"/>
    <col min="9476" max="9476" width="8.5" style="1890" customWidth="1"/>
    <col min="9477" max="9477" width="12.125" style="1890" customWidth="1"/>
    <col min="9478" max="9478" width="10.125" style="1890" customWidth="1"/>
    <col min="9479" max="9479" width="10.625" style="1890" customWidth="1"/>
    <col min="9480" max="9481" width="8.25" style="1890" customWidth="1"/>
    <col min="9482" max="9482" width="10.375" style="1890" customWidth="1"/>
    <col min="9483" max="9728" width="9" style="1890"/>
    <col min="9729" max="9729" width="4.5" style="1890" customWidth="1"/>
    <col min="9730" max="9730" width="27.5" style="1890" customWidth="1"/>
    <col min="9731" max="9731" width="12.625" style="1890" customWidth="1"/>
    <col min="9732" max="9732" width="8.5" style="1890" customWidth="1"/>
    <col min="9733" max="9733" width="12.125" style="1890" customWidth="1"/>
    <col min="9734" max="9734" width="10.125" style="1890" customWidth="1"/>
    <col min="9735" max="9735" width="10.625" style="1890" customWidth="1"/>
    <col min="9736" max="9737" width="8.25" style="1890" customWidth="1"/>
    <col min="9738" max="9738" width="10.375" style="1890" customWidth="1"/>
    <col min="9739" max="9984" width="9" style="1890"/>
    <col min="9985" max="9985" width="4.5" style="1890" customWidth="1"/>
    <col min="9986" max="9986" width="27.5" style="1890" customWidth="1"/>
    <col min="9987" max="9987" width="12.625" style="1890" customWidth="1"/>
    <col min="9988" max="9988" width="8.5" style="1890" customWidth="1"/>
    <col min="9989" max="9989" width="12.125" style="1890" customWidth="1"/>
    <col min="9990" max="9990" width="10.125" style="1890" customWidth="1"/>
    <col min="9991" max="9991" width="10.625" style="1890" customWidth="1"/>
    <col min="9992" max="9993" width="8.25" style="1890" customWidth="1"/>
    <col min="9994" max="9994" width="10.375" style="1890" customWidth="1"/>
    <col min="9995" max="10240" width="9" style="1890"/>
    <col min="10241" max="10241" width="4.5" style="1890" customWidth="1"/>
    <col min="10242" max="10242" width="27.5" style="1890" customWidth="1"/>
    <col min="10243" max="10243" width="12.625" style="1890" customWidth="1"/>
    <col min="10244" max="10244" width="8.5" style="1890" customWidth="1"/>
    <col min="10245" max="10245" width="12.125" style="1890" customWidth="1"/>
    <col min="10246" max="10246" width="10.125" style="1890" customWidth="1"/>
    <col min="10247" max="10247" width="10.625" style="1890" customWidth="1"/>
    <col min="10248" max="10249" width="8.25" style="1890" customWidth="1"/>
    <col min="10250" max="10250" width="10.375" style="1890" customWidth="1"/>
    <col min="10251" max="10496" width="9" style="1890"/>
    <col min="10497" max="10497" width="4.5" style="1890" customWidth="1"/>
    <col min="10498" max="10498" width="27.5" style="1890" customWidth="1"/>
    <col min="10499" max="10499" width="12.625" style="1890" customWidth="1"/>
    <col min="10500" max="10500" width="8.5" style="1890" customWidth="1"/>
    <col min="10501" max="10501" width="12.125" style="1890" customWidth="1"/>
    <col min="10502" max="10502" width="10.125" style="1890" customWidth="1"/>
    <col min="10503" max="10503" width="10.625" style="1890" customWidth="1"/>
    <col min="10504" max="10505" width="8.25" style="1890" customWidth="1"/>
    <col min="10506" max="10506" width="10.375" style="1890" customWidth="1"/>
    <col min="10507" max="10752" width="9" style="1890"/>
    <col min="10753" max="10753" width="4.5" style="1890" customWidth="1"/>
    <col min="10754" max="10754" width="27.5" style="1890" customWidth="1"/>
    <col min="10755" max="10755" width="12.625" style="1890" customWidth="1"/>
    <col min="10756" max="10756" width="8.5" style="1890" customWidth="1"/>
    <col min="10757" max="10757" width="12.125" style="1890" customWidth="1"/>
    <col min="10758" max="10758" width="10.125" style="1890" customWidth="1"/>
    <col min="10759" max="10759" width="10.625" style="1890" customWidth="1"/>
    <col min="10760" max="10761" width="8.25" style="1890" customWidth="1"/>
    <col min="10762" max="10762" width="10.375" style="1890" customWidth="1"/>
    <col min="10763" max="11008" width="9" style="1890"/>
    <col min="11009" max="11009" width="4.5" style="1890" customWidth="1"/>
    <col min="11010" max="11010" width="27.5" style="1890" customWidth="1"/>
    <col min="11011" max="11011" width="12.625" style="1890" customWidth="1"/>
    <col min="11012" max="11012" width="8.5" style="1890" customWidth="1"/>
    <col min="11013" max="11013" width="12.125" style="1890" customWidth="1"/>
    <col min="11014" max="11014" width="10.125" style="1890" customWidth="1"/>
    <col min="11015" max="11015" width="10.625" style="1890" customWidth="1"/>
    <col min="11016" max="11017" width="8.25" style="1890" customWidth="1"/>
    <col min="11018" max="11018" width="10.375" style="1890" customWidth="1"/>
    <col min="11019" max="11264" width="9" style="1890"/>
    <col min="11265" max="11265" width="4.5" style="1890" customWidth="1"/>
    <col min="11266" max="11266" width="27.5" style="1890" customWidth="1"/>
    <col min="11267" max="11267" width="12.625" style="1890" customWidth="1"/>
    <col min="11268" max="11268" width="8.5" style="1890" customWidth="1"/>
    <col min="11269" max="11269" width="12.125" style="1890" customWidth="1"/>
    <col min="11270" max="11270" width="10.125" style="1890" customWidth="1"/>
    <col min="11271" max="11271" width="10.625" style="1890" customWidth="1"/>
    <col min="11272" max="11273" width="8.25" style="1890" customWidth="1"/>
    <col min="11274" max="11274" width="10.375" style="1890" customWidth="1"/>
    <col min="11275" max="11520" width="9" style="1890"/>
    <col min="11521" max="11521" width="4.5" style="1890" customWidth="1"/>
    <col min="11522" max="11522" width="27.5" style="1890" customWidth="1"/>
    <col min="11523" max="11523" width="12.625" style="1890" customWidth="1"/>
    <col min="11524" max="11524" width="8.5" style="1890" customWidth="1"/>
    <col min="11525" max="11525" width="12.125" style="1890" customWidth="1"/>
    <col min="11526" max="11526" width="10.125" style="1890" customWidth="1"/>
    <col min="11527" max="11527" width="10.625" style="1890" customWidth="1"/>
    <col min="11528" max="11529" width="8.25" style="1890" customWidth="1"/>
    <col min="11530" max="11530" width="10.375" style="1890" customWidth="1"/>
    <col min="11531" max="11776" width="9" style="1890"/>
    <col min="11777" max="11777" width="4.5" style="1890" customWidth="1"/>
    <col min="11778" max="11778" width="27.5" style="1890" customWidth="1"/>
    <col min="11779" max="11779" width="12.625" style="1890" customWidth="1"/>
    <col min="11780" max="11780" width="8.5" style="1890" customWidth="1"/>
    <col min="11781" max="11781" width="12.125" style="1890" customWidth="1"/>
    <col min="11782" max="11782" width="10.125" style="1890" customWidth="1"/>
    <col min="11783" max="11783" width="10.625" style="1890" customWidth="1"/>
    <col min="11784" max="11785" width="8.25" style="1890" customWidth="1"/>
    <col min="11786" max="11786" width="10.375" style="1890" customWidth="1"/>
    <col min="11787" max="12032" width="9" style="1890"/>
    <col min="12033" max="12033" width="4.5" style="1890" customWidth="1"/>
    <col min="12034" max="12034" width="27.5" style="1890" customWidth="1"/>
    <col min="12035" max="12035" width="12.625" style="1890" customWidth="1"/>
    <col min="12036" max="12036" width="8.5" style="1890" customWidth="1"/>
    <col min="12037" max="12037" width="12.125" style="1890" customWidth="1"/>
    <col min="12038" max="12038" width="10.125" style="1890" customWidth="1"/>
    <col min="12039" max="12039" width="10.625" style="1890" customWidth="1"/>
    <col min="12040" max="12041" width="8.25" style="1890" customWidth="1"/>
    <col min="12042" max="12042" width="10.375" style="1890" customWidth="1"/>
    <col min="12043" max="12288" width="9" style="1890"/>
    <col min="12289" max="12289" width="4.5" style="1890" customWidth="1"/>
    <col min="12290" max="12290" width="27.5" style="1890" customWidth="1"/>
    <col min="12291" max="12291" width="12.625" style="1890" customWidth="1"/>
    <col min="12292" max="12292" width="8.5" style="1890" customWidth="1"/>
    <col min="12293" max="12293" width="12.125" style="1890" customWidth="1"/>
    <col min="12294" max="12294" width="10.125" style="1890" customWidth="1"/>
    <col min="12295" max="12295" width="10.625" style="1890" customWidth="1"/>
    <col min="12296" max="12297" width="8.25" style="1890" customWidth="1"/>
    <col min="12298" max="12298" width="10.375" style="1890" customWidth="1"/>
    <col min="12299" max="12544" width="9" style="1890"/>
    <col min="12545" max="12545" width="4.5" style="1890" customWidth="1"/>
    <col min="12546" max="12546" width="27.5" style="1890" customWidth="1"/>
    <col min="12547" max="12547" width="12.625" style="1890" customWidth="1"/>
    <col min="12548" max="12548" width="8.5" style="1890" customWidth="1"/>
    <col min="12549" max="12549" width="12.125" style="1890" customWidth="1"/>
    <col min="12550" max="12550" width="10.125" style="1890" customWidth="1"/>
    <col min="12551" max="12551" width="10.625" style="1890" customWidth="1"/>
    <col min="12552" max="12553" width="8.25" style="1890" customWidth="1"/>
    <col min="12554" max="12554" width="10.375" style="1890" customWidth="1"/>
    <col min="12555" max="12800" width="9" style="1890"/>
    <col min="12801" max="12801" width="4.5" style="1890" customWidth="1"/>
    <col min="12802" max="12802" width="27.5" style="1890" customWidth="1"/>
    <col min="12803" max="12803" width="12.625" style="1890" customWidth="1"/>
    <col min="12804" max="12804" width="8.5" style="1890" customWidth="1"/>
    <col min="12805" max="12805" width="12.125" style="1890" customWidth="1"/>
    <col min="12806" max="12806" width="10.125" style="1890" customWidth="1"/>
    <col min="12807" max="12807" width="10.625" style="1890" customWidth="1"/>
    <col min="12808" max="12809" width="8.25" style="1890" customWidth="1"/>
    <col min="12810" max="12810" width="10.375" style="1890" customWidth="1"/>
    <col min="12811" max="13056" width="9" style="1890"/>
    <col min="13057" max="13057" width="4.5" style="1890" customWidth="1"/>
    <col min="13058" max="13058" width="27.5" style="1890" customWidth="1"/>
    <col min="13059" max="13059" width="12.625" style="1890" customWidth="1"/>
    <col min="13060" max="13060" width="8.5" style="1890" customWidth="1"/>
    <col min="13061" max="13061" width="12.125" style="1890" customWidth="1"/>
    <col min="13062" max="13062" width="10.125" style="1890" customWidth="1"/>
    <col min="13063" max="13063" width="10.625" style="1890" customWidth="1"/>
    <col min="13064" max="13065" width="8.25" style="1890" customWidth="1"/>
    <col min="13066" max="13066" width="10.375" style="1890" customWidth="1"/>
    <col min="13067" max="13312" width="9" style="1890"/>
    <col min="13313" max="13313" width="4.5" style="1890" customWidth="1"/>
    <col min="13314" max="13314" width="27.5" style="1890" customWidth="1"/>
    <col min="13315" max="13315" width="12.625" style="1890" customWidth="1"/>
    <col min="13316" max="13316" width="8.5" style="1890" customWidth="1"/>
    <col min="13317" max="13317" width="12.125" style="1890" customWidth="1"/>
    <col min="13318" max="13318" width="10.125" style="1890" customWidth="1"/>
    <col min="13319" max="13319" width="10.625" style="1890" customWidth="1"/>
    <col min="13320" max="13321" width="8.25" style="1890" customWidth="1"/>
    <col min="13322" max="13322" width="10.375" style="1890" customWidth="1"/>
    <col min="13323" max="13568" width="9" style="1890"/>
    <col min="13569" max="13569" width="4.5" style="1890" customWidth="1"/>
    <col min="13570" max="13570" width="27.5" style="1890" customWidth="1"/>
    <col min="13571" max="13571" width="12.625" style="1890" customWidth="1"/>
    <col min="13572" max="13572" width="8.5" style="1890" customWidth="1"/>
    <col min="13573" max="13573" width="12.125" style="1890" customWidth="1"/>
    <col min="13574" max="13574" width="10.125" style="1890" customWidth="1"/>
    <col min="13575" max="13575" width="10.625" style="1890" customWidth="1"/>
    <col min="13576" max="13577" width="8.25" style="1890" customWidth="1"/>
    <col min="13578" max="13578" width="10.375" style="1890" customWidth="1"/>
    <col min="13579" max="13824" width="9" style="1890"/>
    <col min="13825" max="13825" width="4.5" style="1890" customWidth="1"/>
    <col min="13826" max="13826" width="27.5" style="1890" customWidth="1"/>
    <col min="13827" max="13827" width="12.625" style="1890" customWidth="1"/>
    <col min="13828" max="13828" width="8.5" style="1890" customWidth="1"/>
    <col min="13829" max="13829" width="12.125" style="1890" customWidth="1"/>
    <col min="13830" max="13830" width="10.125" style="1890" customWidth="1"/>
    <col min="13831" max="13831" width="10.625" style="1890" customWidth="1"/>
    <col min="13832" max="13833" width="8.25" style="1890" customWidth="1"/>
    <col min="13834" max="13834" width="10.375" style="1890" customWidth="1"/>
    <col min="13835" max="14080" width="9" style="1890"/>
    <col min="14081" max="14081" width="4.5" style="1890" customWidth="1"/>
    <col min="14082" max="14082" width="27.5" style="1890" customWidth="1"/>
    <col min="14083" max="14083" width="12.625" style="1890" customWidth="1"/>
    <col min="14084" max="14084" width="8.5" style="1890" customWidth="1"/>
    <col min="14085" max="14085" width="12.125" style="1890" customWidth="1"/>
    <col min="14086" max="14086" width="10.125" style="1890" customWidth="1"/>
    <col min="14087" max="14087" width="10.625" style="1890" customWidth="1"/>
    <col min="14088" max="14089" width="8.25" style="1890" customWidth="1"/>
    <col min="14090" max="14090" width="10.375" style="1890" customWidth="1"/>
    <col min="14091" max="14336" width="9" style="1890"/>
    <col min="14337" max="14337" width="4.5" style="1890" customWidth="1"/>
    <col min="14338" max="14338" width="27.5" style="1890" customWidth="1"/>
    <col min="14339" max="14339" width="12.625" style="1890" customWidth="1"/>
    <col min="14340" max="14340" width="8.5" style="1890" customWidth="1"/>
    <col min="14341" max="14341" width="12.125" style="1890" customWidth="1"/>
    <col min="14342" max="14342" width="10.125" style="1890" customWidth="1"/>
    <col min="14343" max="14343" width="10.625" style="1890" customWidth="1"/>
    <col min="14344" max="14345" width="8.25" style="1890" customWidth="1"/>
    <col min="14346" max="14346" width="10.375" style="1890" customWidth="1"/>
    <col min="14347" max="14592" width="9" style="1890"/>
    <col min="14593" max="14593" width="4.5" style="1890" customWidth="1"/>
    <col min="14594" max="14594" width="27.5" style="1890" customWidth="1"/>
    <col min="14595" max="14595" width="12.625" style="1890" customWidth="1"/>
    <col min="14596" max="14596" width="8.5" style="1890" customWidth="1"/>
    <col min="14597" max="14597" width="12.125" style="1890" customWidth="1"/>
    <col min="14598" max="14598" width="10.125" style="1890" customWidth="1"/>
    <col min="14599" max="14599" width="10.625" style="1890" customWidth="1"/>
    <col min="14600" max="14601" width="8.25" style="1890" customWidth="1"/>
    <col min="14602" max="14602" width="10.375" style="1890" customWidth="1"/>
    <col min="14603" max="14848" width="9" style="1890"/>
    <col min="14849" max="14849" width="4.5" style="1890" customWidth="1"/>
    <col min="14850" max="14850" width="27.5" style="1890" customWidth="1"/>
    <col min="14851" max="14851" width="12.625" style="1890" customWidth="1"/>
    <col min="14852" max="14852" width="8.5" style="1890" customWidth="1"/>
    <col min="14853" max="14853" width="12.125" style="1890" customWidth="1"/>
    <col min="14854" max="14854" width="10.125" style="1890" customWidth="1"/>
    <col min="14855" max="14855" width="10.625" style="1890" customWidth="1"/>
    <col min="14856" max="14857" width="8.25" style="1890" customWidth="1"/>
    <col min="14858" max="14858" width="10.375" style="1890" customWidth="1"/>
    <col min="14859" max="15104" width="9" style="1890"/>
    <col min="15105" max="15105" width="4.5" style="1890" customWidth="1"/>
    <col min="15106" max="15106" width="27.5" style="1890" customWidth="1"/>
    <col min="15107" max="15107" width="12.625" style="1890" customWidth="1"/>
    <col min="15108" max="15108" width="8.5" style="1890" customWidth="1"/>
    <col min="15109" max="15109" width="12.125" style="1890" customWidth="1"/>
    <col min="15110" max="15110" width="10.125" style="1890" customWidth="1"/>
    <col min="15111" max="15111" width="10.625" style="1890" customWidth="1"/>
    <col min="15112" max="15113" width="8.25" style="1890" customWidth="1"/>
    <col min="15114" max="15114" width="10.375" style="1890" customWidth="1"/>
    <col min="15115" max="15360" width="9" style="1890"/>
    <col min="15361" max="15361" width="4.5" style="1890" customWidth="1"/>
    <col min="15362" max="15362" width="27.5" style="1890" customWidth="1"/>
    <col min="15363" max="15363" width="12.625" style="1890" customWidth="1"/>
    <col min="15364" max="15364" width="8.5" style="1890" customWidth="1"/>
    <col min="15365" max="15365" width="12.125" style="1890" customWidth="1"/>
    <col min="15366" max="15366" width="10.125" style="1890" customWidth="1"/>
    <col min="15367" max="15367" width="10.625" style="1890" customWidth="1"/>
    <col min="15368" max="15369" width="8.25" style="1890" customWidth="1"/>
    <col min="15370" max="15370" width="10.375" style="1890" customWidth="1"/>
    <col min="15371" max="15616" width="9" style="1890"/>
    <col min="15617" max="15617" width="4.5" style="1890" customWidth="1"/>
    <col min="15618" max="15618" width="27.5" style="1890" customWidth="1"/>
    <col min="15619" max="15619" width="12.625" style="1890" customWidth="1"/>
    <col min="15620" max="15620" width="8.5" style="1890" customWidth="1"/>
    <col min="15621" max="15621" width="12.125" style="1890" customWidth="1"/>
    <col min="15622" max="15622" width="10.125" style="1890" customWidth="1"/>
    <col min="15623" max="15623" width="10.625" style="1890" customWidth="1"/>
    <col min="15624" max="15625" width="8.25" style="1890" customWidth="1"/>
    <col min="15626" max="15626" width="10.375" style="1890" customWidth="1"/>
    <col min="15627" max="15872" width="9" style="1890"/>
    <col min="15873" max="15873" width="4.5" style="1890" customWidth="1"/>
    <col min="15874" max="15874" width="27.5" style="1890" customWidth="1"/>
    <col min="15875" max="15875" width="12.625" style="1890" customWidth="1"/>
    <col min="15876" max="15876" width="8.5" style="1890" customWidth="1"/>
    <col min="15877" max="15877" width="12.125" style="1890" customWidth="1"/>
    <col min="15878" max="15878" width="10.125" style="1890" customWidth="1"/>
    <col min="15879" max="15879" width="10.625" style="1890" customWidth="1"/>
    <col min="15880" max="15881" width="8.25" style="1890" customWidth="1"/>
    <col min="15882" max="15882" width="10.375" style="1890" customWidth="1"/>
    <col min="15883" max="16128" width="9" style="1890"/>
    <col min="16129" max="16129" width="4.5" style="1890" customWidth="1"/>
    <col min="16130" max="16130" width="27.5" style="1890" customWidth="1"/>
    <col min="16131" max="16131" width="12.625" style="1890" customWidth="1"/>
    <col min="16132" max="16132" width="8.5" style="1890" customWidth="1"/>
    <col min="16133" max="16133" width="12.125" style="1890" customWidth="1"/>
    <col min="16134" max="16134" width="10.125" style="1890" customWidth="1"/>
    <col min="16135" max="16135" width="10.625" style="1890" customWidth="1"/>
    <col min="16136" max="16137" width="8.25" style="1890" customWidth="1"/>
    <col min="16138" max="16138" width="10.375" style="1890" customWidth="1"/>
    <col min="16139" max="16384" width="9" style="1890"/>
  </cols>
  <sheetData>
    <row r="1" spans="1:12" ht="21" customHeight="1" x14ac:dyDescent="0.3">
      <c r="A1" s="2097" t="s">
        <v>1905</v>
      </c>
      <c r="B1" s="2097"/>
      <c r="C1" s="2097"/>
      <c r="D1" s="2097"/>
      <c r="E1" s="2097"/>
      <c r="F1" s="2097"/>
      <c r="G1" s="2097"/>
      <c r="H1" s="2097"/>
      <c r="I1" s="2097"/>
      <c r="J1" s="2097"/>
    </row>
    <row r="2" spans="1:12" ht="18.75" x14ac:dyDescent="0.3">
      <c r="A2" s="2098" t="e">
        <f>'Biểu 37'!A2:U2</f>
        <v>#REF!</v>
      </c>
      <c r="B2" s="2098"/>
      <c r="C2" s="2098"/>
      <c r="D2" s="2098"/>
      <c r="E2" s="2098"/>
      <c r="F2" s="2098"/>
      <c r="G2" s="2098"/>
      <c r="H2" s="2098"/>
      <c r="I2" s="2098"/>
      <c r="J2" s="2098"/>
    </row>
    <row r="3" spans="1:12" x14ac:dyDescent="0.2">
      <c r="A3" s="1891"/>
      <c r="B3" s="1891"/>
      <c r="C3" s="1891"/>
      <c r="D3" s="1891"/>
      <c r="E3" s="1891"/>
      <c r="F3" s="1891"/>
      <c r="G3" s="1891"/>
      <c r="H3" s="2099" t="s">
        <v>6</v>
      </c>
      <c r="I3" s="2099"/>
      <c r="J3" s="2099"/>
    </row>
    <row r="4" spans="1:12" ht="27" customHeight="1" x14ac:dyDescent="0.2">
      <c r="A4" s="2100" t="s">
        <v>915</v>
      </c>
      <c r="B4" s="2103" t="s">
        <v>916</v>
      </c>
      <c r="C4" s="2103" t="s">
        <v>143</v>
      </c>
      <c r="D4" s="2103" t="s">
        <v>917</v>
      </c>
      <c r="E4" s="2103" t="s">
        <v>918</v>
      </c>
      <c r="F4" s="2106" t="s">
        <v>919</v>
      </c>
      <c r="G4" s="2106" t="s">
        <v>1502</v>
      </c>
      <c r="H4" s="2106" t="s">
        <v>1501</v>
      </c>
      <c r="I4" s="2106" t="s">
        <v>1503</v>
      </c>
      <c r="J4" s="2106" t="s">
        <v>920</v>
      </c>
    </row>
    <row r="5" spans="1:12" ht="27" customHeight="1" x14ac:dyDescent="0.2">
      <c r="A5" s="2101"/>
      <c r="B5" s="2104"/>
      <c r="C5" s="2104"/>
      <c r="D5" s="2104"/>
      <c r="E5" s="2104"/>
      <c r="F5" s="2107"/>
      <c r="G5" s="2107"/>
      <c r="H5" s="2107"/>
      <c r="I5" s="2107"/>
      <c r="J5" s="2107"/>
    </row>
    <row r="6" spans="1:12" ht="27" customHeight="1" x14ac:dyDescent="0.2">
      <c r="A6" s="2101"/>
      <c r="B6" s="2104"/>
      <c r="C6" s="2104"/>
      <c r="D6" s="2104"/>
      <c r="E6" s="2104"/>
      <c r="F6" s="2107"/>
      <c r="G6" s="2107"/>
      <c r="H6" s="2107"/>
      <c r="I6" s="2107"/>
      <c r="J6" s="2107"/>
    </row>
    <row r="7" spans="1:12" ht="38.25" customHeight="1" x14ac:dyDescent="0.2">
      <c r="A7" s="2102"/>
      <c r="B7" s="2105"/>
      <c r="C7" s="2105"/>
      <c r="D7" s="2105"/>
      <c r="E7" s="2105"/>
      <c r="F7" s="2108"/>
      <c r="G7" s="2108"/>
      <c r="H7" s="2108"/>
      <c r="I7" s="2108"/>
      <c r="J7" s="2108"/>
    </row>
    <row r="8" spans="1:12" ht="20.25" customHeight="1" x14ac:dyDescent="0.2">
      <c r="A8" s="1892"/>
      <c r="B8" s="1893" t="s">
        <v>651</v>
      </c>
      <c r="C8" s="1893"/>
      <c r="D8" s="1893"/>
      <c r="E8" s="1893"/>
      <c r="F8" s="1894">
        <f>F9+F12</f>
        <v>15333</v>
      </c>
      <c r="G8" s="1894">
        <f>G9+G12</f>
        <v>5226</v>
      </c>
      <c r="H8" s="1894">
        <f>H9+H12</f>
        <v>8347</v>
      </c>
      <c r="I8" s="1894"/>
      <c r="J8" s="1895"/>
      <c r="K8" s="1896"/>
    </row>
    <row r="9" spans="1:12" s="1903" customFormat="1" ht="20.25" customHeight="1" x14ac:dyDescent="0.25">
      <c r="A9" s="1897">
        <v>1</v>
      </c>
      <c r="B9" s="1898" t="s">
        <v>921</v>
      </c>
      <c r="C9" s="1899"/>
      <c r="D9" s="1899"/>
      <c r="E9" s="1899"/>
      <c r="F9" s="1900">
        <f>F10+F11</f>
        <v>6533</v>
      </c>
      <c r="G9" s="1900">
        <f>G10+G11</f>
        <v>5226</v>
      </c>
      <c r="H9" s="1900">
        <f>H10+H11</f>
        <v>1307</v>
      </c>
      <c r="I9" s="1900"/>
      <c r="J9" s="1901"/>
      <c r="K9" s="1902"/>
      <c r="L9" s="1902"/>
    </row>
    <row r="10" spans="1:12" s="1903" customFormat="1" ht="34.5" customHeight="1" x14ac:dyDescent="0.2">
      <c r="A10" s="1904" t="s">
        <v>438</v>
      </c>
      <c r="B10" s="1905" t="s">
        <v>923</v>
      </c>
      <c r="C10" s="1906" t="s">
        <v>148</v>
      </c>
      <c r="D10" s="1906">
        <v>2018</v>
      </c>
      <c r="E10" s="1906" t="s">
        <v>1906</v>
      </c>
      <c r="F10" s="1907">
        <v>2000</v>
      </c>
      <c r="G10" s="1907">
        <v>1600</v>
      </c>
      <c r="H10" s="1907">
        <v>400</v>
      </c>
      <c r="I10" s="1907">
        <f>(G10+H10)/F10*100</f>
        <v>100</v>
      </c>
      <c r="J10" s="1906" t="s">
        <v>1907</v>
      </c>
    </row>
    <row r="11" spans="1:12" s="1903" customFormat="1" ht="35.25" customHeight="1" x14ac:dyDescent="0.2">
      <c r="A11" s="1904" t="s">
        <v>439</v>
      </c>
      <c r="B11" s="1905" t="s">
        <v>925</v>
      </c>
      <c r="C11" s="1906" t="str">
        <f>C10</f>
        <v>Thành phố Bắc Kạn</v>
      </c>
      <c r="D11" s="1906">
        <v>2018</v>
      </c>
      <c r="E11" s="1906" t="s">
        <v>1218</v>
      </c>
      <c r="F11" s="1907">
        <v>4533</v>
      </c>
      <c r="G11" s="1907">
        <v>3626</v>
      </c>
      <c r="H11" s="1907">
        <v>907</v>
      </c>
      <c r="I11" s="1907">
        <f t="shared" ref="I11" si="0">(G11+H11)/F11*100</f>
        <v>100</v>
      </c>
      <c r="J11" s="1906" t="s">
        <v>162</v>
      </c>
      <c r="K11" s="1902"/>
    </row>
    <row r="12" spans="1:12" s="1912" customFormat="1" ht="21" customHeight="1" x14ac:dyDescent="0.25">
      <c r="A12" s="1897">
        <v>2</v>
      </c>
      <c r="B12" s="1908" t="s">
        <v>922</v>
      </c>
      <c r="C12" s="1909"/>
      <c r="D12" s="1909"/>
      <c r="E12" s="1906"/>
      <c r="F12" s="1910">
        <f>SUM(F13:F17)</f>
        <v>8800</v>
      </c>
      <c r="G12" s="1910">
        <f t="shared" ref="G12" si="1">SUM(G13:G17)</f>
        <v>0</v>
      </c>
      <c r="H12" s="1910">
        <f>SUM(H13:H17)</f>
        <v>7040</v>
      </c>
      <c r="I12" s="1907"/>
      <c r="J12" s="1909"/>
      <c r="K12" s="1911"/>
      <c r="L12" s="1911"/>
    </row>
    <row r="13" spans="1:12" s="1912" customFormat="1" ht="41.25" customHeight="1" x14ac:dyDescent="0.25">
      <c r="A13" s="1906" t="s">
        <v>947</v>
      </c>
      <c r="B13" s="1905" t="s">
        <v>1570</v>
      </c>
      <c r="C13" s="1909"/>
      <c r="D13" s="1923">
        <v>2019</v>
      </c>
      <c r="E13" s="1906" t="s">
        <v>2421</v>
      </c>
      <c r="F13" s="1907">
        <v>800</v>
      </c>
      <c r="G13" s="1907"/>
      <c r="H13" s="1907">
        <f>F13*80%</f>
        <v>640</v>
      </c>
      <c r="I13" s="1907">
        <f>(G13+H13)/F13*100</f>
        <v>80</v>
      </c>
      <c r="J13" s="1913" t="s">
        <v>1909</v>
      </c>
      <c r="K13" s="1911"/>
      <c r="L13" s="1911"/>
    </row>
    <row r="14" spans="1:12" s="1912" customFormat="1" ht="42" customHeight="1" x14ac:dyDescent="0.25">
      <c r="A14" s="1906" t="s">
        <v>948</v>
      </c>
      <c r="B14" s="1905" t="s">
        <v>1508</v>
      </c>
      <c r="C14" s="1909"/>
      <c r="D14" s="1906">
        <v>2019</v>
      </c>
      <c r="E14" s="1906" t="s">
        <v>2420</v>
      </c>
      <c r="F14" s="1907">
        <v>5800</v>
      </c>
      <c r="G14" s="1907"/>
      <c r="H14" s="1907">
        <v>4640</v>
      </c>
      <c r="I14" s="1907">
        <f>(G14+H14)/F14*100</f>
        <v>80</v>
      </c>
      <c r="J14" s="1906" t="str">
        <f>J11</f>
        <v>Sở Tài chính</v>
      </c>
      <c r="K14" s="1911"/>
      <c r="L14" s="1911"/>
    </row>
    <row r="15" spans="1:12" s="1912" customFormat="1" ht="36" customHeight="1" x14ac:dyDescent="0.25">
      <c r="A15" s="1906" t="s">
        <v>949</v>
      </c>
      <c r="B15" s="1905" t="s">
        <v>1566</v>
      </c>
      <c r="C15" s="1909"/>
      <c r="D15" s="1906">
        <v>2019</v>
      </c>
      <c r="E15" s="1906"/>
      <c r="F15" s="1907">
        <v>500</v>
      </c>
      <c r="G15" s="1907"/>
      <c r="H15" s="1907">
        <f>F15*80%</f>
        <v>400</v>
      </c>
      <c r="I15" s="1907">
        <f>(G15+H15)/F15*100</f>
        <v>80</v>
      </c>
      <c r="J15" s="1906" t="s">
        <v>1577</v>
      </c>
      <c r="K15" s="1911"/>
      <c r="L15" s="1911"/>
    </row>
    <row r="16" spans="1:12" s="1912" customFormat="1" ht="47.25" customHeight="1" x14ac:dyDescent="0.25">
      <c r="A16" s="1906" t="s">
        <v>950</v>
      </c>
      <c r="B16" s="1905" t="s">
        <v>1567</v>
      </c>
      <c r="C16" s="1909"/>
      <c r="D16" s="1906">
        <v>2019</v>
      </c>
      <c r="E16" s="1906"/>
      <c r="F16" s="1907">
        <v>900</v>
      </c>
      <c r="G16" s="1907"/>
      <c r="H16" s="1907">
        <f>F16*80%</f>
        <v>720</v>
      </c>
      <c r="I16" s="1907">
        <f>(G16+H16)/F16*100</f>
        <v>80</v>
      </c>
      <c r="J16" s="1906" t="s">
        <v>1578</v>
      </c>
      <c r="K16" s="1911"/>
      <c r="L16" s="1911"/>
    </row>
    <row r="17" spans="1:10" s="1903" customFormat="1" ht="42.75" customHeight="1" x14ac:dyDescent="0.2">
      <c r="A17" s="1914" t="s">
        <v>951</v>
      </c>
      <c r="B17" s="1915" t="s">
        <v>1576</v>
      </c>
      <c r="C17" s="1914"/>
      <c r="D17" s="1914">
        <v>2019</v>
      </c>
      <c r="E17" s="1918" t="s">
        <v>2419</v>
      </c>
      <c r="F17" s="1916">
        <v>800</v>
      </c>
      <c r="G17" s="1916"/>
      <c r="H17" s="1916">
        <f>F17*80%</f>
        <v>640</v>
      </c>
      <c r="I17" s="1917">
        <f>H17/F17*100</f>
        <v>80</v>
      </c>
      <c r="J17" s="1918" t="s">
        <v>196</v>
      </c>
    </row>
    <row r="18" spans="1:10" hidden="1" x14ac:dyDescent="0.2">
      <c r="A18" s="1919"/>
      <c r="B18" s="1919"/>
      <c r="C18" s="1920"/>
      <c r="D18" s="1920"/>
      <c r="E18" s="1920"/>
      <c r="F18" s="1919"/>
      <c r="G18" s="1919"/>
      <c r="H18" s="1919"/>
      <c r="I18" s="1919"/>
      <c r="J18" s="1919"/>
    </row>
    <row r="20" spans="1:10" x14ac:dyDescent="0.2">
      <c r="B20" s="1921" t="s">
        <v>1605</v>
      </c>
    </row>
  </sheetData>
  <mergeCells count="13">
    <mergeCell ref="A1:J1"/>
    <mergeCell ref="A2:J2"/>
    <mergeCell ref="H3:J3"/>
    <mergeCell ref="A4:A7"/>
    <mergeCell ref="B4:B7"/>
    <mergeCell ref="C4:C7"/>
    <mergeCell ref="D4:D7"/>
    <mergeCell ref="E4:E7"/>
    <mergeCell ref="F4:F7"/>
    <mergeCell ref="G4:G7"/>
    <mergeCell ref="H4:H7"/>
    <mergeCell ref="I4:I7"/>
    <mergeCell ref="J4:J7"/>
  </mergeCells>
  <pageMargins left="0.61" right="0.2" top="0.39" bottom="0.59" header="0.2" footer="0.31"/>
  <pageSetup paperSize="9" firstPageNumber="20" orientation="landscape" useFirstPageNumber="1" r:id="rId1"/>
  <headerFooter>
    <oddHeader>&amp;RBiểu mẫu số 37a</oddHeader>
    <oddFooter>&amp;C&amp;P</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U23"/>
  <sheetViews>
    <sheetView workbookViewId="0">
      <pane xSplit="2" ySplit="8" topLeftCell="C9" activePane="bottomRight" state="frozen"/>
      <selection pane="topRight" activeCell="C1" sqref="C1"/>
      <selection pane="bottomLeft" activeCell="A9" sqref="A9"/>
      <selection pane="bottomRight" activeCell="L18" sqref="L18"/>
    </sheetView>
  </sheetViews>
  <sheetFormatPr defaultRowHeight="12.75" x14ac:dyDescent="0.2"/>
  <cols>
    <col min="1" max="1" width="3.5" style="29" customWidth="1"/>
    <col min="2" max="2" width="16.25" style="29" customWidth="1"/>
    <col min="3" max="3" width="10.375" style="29" customWidth="1"/>
    <col min="4" max="4" width="10.125" style="29" customWidth="1"/>
    <col min="5" max="5" width="9" style="29" customWidth="1"/>
    <col min="6" max="6" width="6.25" style="29" hidden="1" customWidth="1"/>
    <col min="7" max="7" width="0" style="29" hidden="1" customWidth="1"/>
    <col min="8" max="8" width="9" style="29"/>
    <col min="9" max="9" width="0" style="29" hidden="1" customWidth="1"/>
    <col min="10" max="10" width="7.5" style="29" customWidth="1"/>
    <col min="11" max="11" width="8.125" style="29" customWidth="1"/>
    <col min="12" max="12" width="8" style="29" customWidth="1"/>
    <col min="13" max="14" width="0" style="29" hidden="1" customWidth="1"/>
    <col min="15" max="16" width="7" style="29" customWidth="1"/>
    <col min="17" max="17" width="7.5" style="29" customWidth="1"/>
    <col min="18" max="18" width="7.25" style="29" customWidth="1"/>
    <col min="19" max="19" width="6.875" style="29" customWidth="1"/>
    <col min="20" max="20" width="7.875" style="29" customWidth="1"/>
    <col min="21" max="21" width="7.875" style="29" hidden="1" customWidth="1"/>
    <col min="22" max="16384" width="9" style="29"/>
  </cols>
  <sheetData>
    <row r="1" spans="1:21" ht="18.75" x14ac:dyDescent="0.2">
      <c r="A1" s="2110" t="s">
        <v>1450</v>
      </c>
      <c r="B1" s="2110"/>
      <c r="C1" s="2110"/>
      <c r="D1" s="2110"/>
      <c r="E1" s="2110"/>
      <c r="F1" s="2110"/>
      <c r="G1" s="2110"/>
      <c r="H1" s="2110"/>
      <c r="I1" s="2110"/>
      <c r="J1" s="2110"/>
      <c r="K1" s="2110"/>
      <c r="L1" s="2110"/>
      <c r="M1" s="2110"/>
      <c r="N1" s="2110"/>
      <c r="O1" s="2110"/>
      <c r="P1" s="2110"/>
      <c r="Q1" s="2110"/>
      <c r="R1" s="2110"/>
      <c r="S1" s="2110"/>
      <c r="T1" s="2110"/>
      <c r="U1" s="2110"/>
    </row>
    <row r="2" spans="1:21" ht="15.75" x14ac:dyDescent="0.2">
      <c r="A2" s="2020" t="e">
        <f>#REF!</f>
        <v>#REF!</v>
      </c>
      <c r="B2" s="2021"/>
      <c r="C2" s="2021"/>
      <c r="D2" s="2021"/>
      <c r="E2" s="2021"/>
      <c r="F2" s="2021"/>
      <c r="G2" s="2021"/>
      <c r="H2" s="2021"/>
      <c r="I2" s="2021"/>
      <c r="J2" s="2021"/>
      <c r="K2" s="2021"/>
      <c r="L2" s="2021"/>
      <c r="M2" s="2021"/>
      <c r="N2" s="2021"/>
      <c r="O2" s="2021"/>
      <c r="P2" s="2021"/>
      <c r="Q2" s="2021"/>
      <c r="R2" s="2021"/>
      <c r="S2" s="2021"/>
      <c r="T2" s="2021"/>
      <c r="U2" s="2021"/>
    </row>
    <row r="3" spans="1:21" ht="15.75" customHeight="1" x14ac:dyDescent="0.2">
      <c r="A3" s="260"/>
      <c r="R3" s="2109" t="s">
        <v>6</v>
      </c>
      <c r="S3" s="2109"/>
      <c r="T3" s="2109"/>
      <c r="U3" s="2109"/>
    </row>
    <row r="4" spans="1:21" ht="19.5" customHeight="1" x14ac:dyDescent="0.2">
      <c r="A4" s="2025" t="s">
        <v>0</v>
      </c>
      <c r="B4" s="2025" t="s">
        <v>1222</v>
      </c>
      <c r="C4" s="2025" t="s">
        <v>129</v>
      </c>
      <c r="D4" s="2025" t="s">
        <v>130</v>
      </c>
      <c r="E4" s="2025"/>
      <c r="F4" s="2025"/>
      <c r="G4" s="2025"/>
      <c r="H4" s="2025"/>
      <c r="I4" s="2025"/>
      <c r="J4" s="2025"/>
      <c r="K4" s="2025"/>
      <c r="L4" s="2025"/>
      <c r="M4" s="2025"/>
      <c r="N4" s="2025"/>
      <c r="O4" s="2025"/>
      <c r="P4" s="2025"/>
      <c r="Q4" s="2025" t="s">
        <v>131</v>
      </c>
      <c r="R4" s="2025"/>
      <c r="S4" s="2025"/>
      <c r="T4" s="2025"/>
      <c r="U4" s="2025" t="s">
        <v>22</v>
      </c>
    </row>
    <row r="5" spans="1:21" ht="30" customHeight="1" x14ac:dyDescent="0.2">
      <c r="A5" s="2025"/>
      <c r="B5" s="2025"/>
      <c r="C5" s="2025"/>
      <c r="D5" s="2025" t="s">
        <v>61</v>
      </c>
      <c r="E5" s="2025" t="s">
        <v>24</v>
      </c>
      <c r="F5" s="2025"/>
      <c r="G5" s="2025"/>
      <c r="H5" s="2025"/>
      <c r="I5" s="2025"/>
      <c r="J5" s="2025"/>
      <c r="K5" s="2025" t="s">
        <v>19</v>
      </c>
      <c r="L5" s="2025"/>
      <c r="M5" s="2025"/>
      <c r="N5" s="2025" t="s">
        <v>20</v>
      </c>
      <c r="O5" s="2025" t="s">
        <v>21</v>
      </c>
      <c r="P5" s="2025" t="s">
        <v>132</v>
      </c>
      <c r="Q5" s="2025" t="s">
        <v>61</v>
      </c>
      <c r="R5" s="2025" t="s">
        <v>133</v>
      </c>
      <c r="S5" s="2025" t="s">
        <v>134</v>
      </c>
      <c r="T5" s="2025" t="s">
        <v>135</v>
      </c>
      <c r="U5" s="2025"/>
    </row>
    <row r="6" spans="1:21" ht="22.5" customHeight="1" x14ac:dyDescent="0.2">
      <c r="A6" s="2025"/>
      <c r="B6" s="2025"/>
      <c r="C6" s="2025"/>
      <c r="D6" s="2025"/>
      <c r="E6" s="2025" t="s">
        <v>61</v>
      </c>
      <c r="F6" s="2025" t="s">
        <v>96</v>
      </c>
      <c r="G6" s="2025"/>
      <c r="H6" s="2025" t="s">
        <v>99</v>
      </c>
      <c r="I6" s="2025" t="s">
        <v>100</v>
      </c>
      <c r="J6" s="2025" t="s">
        <v>26</v>
      </c>
      <c r="K6" s="2025" t="s">
        <v>61</v>
      </c>
      <c r="L6" s="2025" t="s">
        <v>96</v>
      </c>
      <c r="M6" s="2025"/>
      <c r="N6" s="2025"/>
      <c r="O6" s="2025"/>
      <c r="P6" s="2025"/>
      <c r="Q6" s="2025"/>
      <c r="R6" s="2025"/>
      <c r="S6" s="2025"/>
      <c r="T6" s="2025"/>
      <c r="U6" s="2025"/>
    </row>
    <row r="7" spans="1:21" ht="101.25" customHeight="1" x14ac:dyDescent="0.2">
      <c r="A7" s="2025"/>
      <c r="B7" s="2025"/>
      <c r="C7" s="2025"/>
      <c r="D7" s="2025"/>
      <c r="E7" s="2025"/>
      <c r="F7" s="256" t="s">
        <v>101</v>
      </c>
      <c r="G7" s="256" t="s">
        <v>29</v>
      </c>
      <c r="H7" s="2025"/>
      <c r="I7" s="2025"/>
      <c r="J7" s="2025"/>
      <c r="K7" s="2025"/>
      <c r="L7" s="256" t="s">
        <v>101</v>
      </c>
      <c r="M7" s="256" t="s">
        <v>52</v>
      </c>
      <c r="N7" s="2025"/>
      <c r="O7" s="2025"/>
      <c r="P7" s="2025"/>
      <c r="Q7" s="2025"/>
      <c r="R7" s="2025"/>
      <c r="S7" s="2025"/>
      <c r="T7" s="2025"/>
      <c r="U7" s="2025"/>
    </row>
    <row r="8" spans="1:21" ht="25.5" x14ac:dyDescent="0.2">
      <c r="A8" s="261" t="s">
        <v>2</v>
      </c>
      <c r="B8" s="261" t="s">
        <v>3</v>
      </c>
      <c r="C8" s="261" t="s">
        <v>1243</v>
      </c>
      <c r="D8" s="261" t="s">
        <v>1244</v>
      </c>
      <c r="E8" s="261" t="s">
        <v>1241</v>
      </c>
      <c r="F8" s="261">
        <v>4</v>
      </c>
      <c r="G8" s="261">
        <v>5</v>
      </c>
      <c r="H8" s="261">
        <v>4</v>
      </c>
      <c r="I8" s="261">
        <v>7</v>
      </c>
      <c r="J8" s="261">
        <v>5</v>
      </c>
      <c r="K8" s="261">
        <v>6</v>
      </c>
      <c r="L8" s="261">
        <v>7</v>
      </c>
      <c r="M8" s="261">
        <v>11</v>
      </c>
      <c r="N8" s="261">
        <v>12</v>
      </c>
      <c r="O8" s="261">
        <v>8</v>
      </c>
      <c r="P8" s="261">
        <v>9</v>
      </c>
      <c r="Q8" s="261" t="s">
        <v>1242</v>
      </c>
      <c r="R8" s="261">
        <v>11</v>
      </c>
      <c r="S8" s="261">
        <v>12</v>
      </c>
      <c r="T8" s="261">
        <v>13</v>
      </c>
      <c r="U8" s="261">
        <v>19</v>
      </c>
    </row>
    <row r="9" spans="1:21" ht="19.5" customHeight="1" x14ac:dyDescent="0.2">
      <c r="A9" s="262"/>
      <c r="B9" s="451" t="s">
        <v>89</v>
      </c>
      <c r="C9" s="263">
        <f>SUM(C10:C17)</f>
        <v>2215630</v>
      </c>
      <c r="D9" s="263">
        <f t="shared" ref="D9:U9" si="0">SUM(D10:D17)</f>
        <v>2110966</v>
      </c>
      <c r="E9" s="263">
        <f t="shared" si="0"/>
        <v>154347</v>
      </c>
      <c r="F9" s="263">
        <f t="shared" si="0"/>
        <v>0</v>
      </c>
      <c r="G9" s="263">
        <f t="shared" si="0"/>
        <v>0</v>
      </c>
      <c r="H9" s="263">
        <f t="shared" si="0"/>
        <v>84147</v>
      </c>
      <c r="I9" s="263">
        <f t="shared" si="0"/>
        <v>0</v>
      </c>
      <c r="J9" s="263">
        <f t="shared" si="0"/>
        <v>70200</v>
      </c>
      <c r="K9" s="263">
        <f t="shared" si="0"/>
        <v>1911276</v>
      </c>
      <c r="L9" s="263">
        <f t="shared" si="0"/>
        <v>1044057</v>
      </c>
      <c r="M9" s="263">
        <f t="shared" si="0"/>
        <v>0</v>
      </c>
      <c r="N9" s="263">
        <f t="shared" si="0"/>
        <v>0</v>
      </c>
      <c r="O9" s="263">
        <f t="shared" si="0"/>
        <v>45343</v>
      </c>
      <c r="P9" s="263">
        <f t="shared" si="0"/>
        <v>0</v>
      </c>
      <c r="Q9" s="263">
        <f t="shared" si="0"/>
        <v>104664</v>
      </c>
      <c r="R9" s="263">
        <f t="shared" si="0"/>
        <v>0</v>
      </c>
      <c r="S9" s="263">
        <f t="shared" si="0"/>
        <v>97964</v>
      </c>
      <c r="T9" s="263">
        <f t="shared" si="0"/>
        <v>6700</v>
      </c>
      <c r="U9" s="263">
        <f t="shared" si="0"/>
        <v>0</v>
      </c>
    </row>
    <row r="10" spans="1:21" ht="20.25" customHeight="1" x14ac:dyDescent="0.2">
      <c r="A10" s="262">
        <v>1</v>
      </c>
      <c r="B10" s="264" t="s">
        <v>148</v>
      </c>
      <c r="C10" s="265">
        <f>D10+Q10</f>
        <v>256802</v>
      </c>
      <c r="D10" s="265">
        <f>E10+K10+O10</f>
        <v>249370</v>
      </c>
      <c r="E10" s="266">
        <f>H10+I10+J10</f>
        <v>62005</v>
      </c>
      <c r="F10" s="266"/>
      <c r="G10" s="266"/>
      <c r="H10" s="266">
        <f>'Biểu 09DT'!D15</f>
        <v>14755</v>
      </c>
      <c r="I10" s="266"/>
      <c r="J10" s="266">
        <f>'Biểu 09DT'!D17</f>
        <v>47250</v>
      </c>
      <c r="K10" s="266">
        <f>'Biểu 09DT'!D19-S10</f>
        <v>182083</v>
      </c>
      <c r="L10" s="266">
        <f>'Biểu 09DT'!D23</f>
        <v>78557</v>
      </c>
      <c r="M10" s="266"/>
      <c r="N10" s="266"/>
      <c r="O10" s="266">
        <f>'Biểu 09DT'!D33</f>
        <v>5282</v>
      </c>
      <c r="P10" s="266"/>
      <c r="Q10" s="266">
        <f>R10+S10+T10</f>
        <v>7432</v>
      </c>
      <c r="R10" s="266"/>
      <c r="S10" s="266">
        <f>'Biểu 44.'!D6</f>
        <v>7432</v>
      </c>
      <c r="T10" s="266">
        <f>'Biểu 43.'!C9</f>
        <v>0</v>
      </c>
      <c r="U10" s="266"/>
    </row>
    <row r="11" spans="1:21" ht="20.25" customHeight="1" x14ac:dyDescent="0.2">
      <c r="A11" s="262">
        <v>2</v>
      </c>
      <c r="B11" s="264" t="s">
        <v>149</v>
      </c>
      <c r="C11" s="265">
        <f t="shared" ref="C11:C17" si="1">D11+Q11</f>
        <v>223987</v>
      </c>
      <c r="D11" s="265">
        <f t="shared" ref="D11:D17" si="2">E11+K11+O11</f>
        <v>211395</v>
      </c>
      <c r="E11" s="266">
        <f t="shared" ref="E11:E17" si="3">H11+I11+J11</f>
        <v>9729</v>
      </c>
      <c r="F11" s="266"/>
      <c r="G11" s="266"/>
      <c r="H11" s="266">
        <f>'Biểu 09DT'!E15</f>
        <v>8199</v>
      </c>
      <c r="I11" s="266"/>
      <c r="J11" s="266">
        <f>'Biểu 09DT'!E17</f>
        <v>1530</v>
      </c>
      <c r="K11" s="266">
        <f>'Biểu 09DT'!E19-S11</f>
        <v>197087</v>
      </c>
      <c r="L11" s="266">
        <f>'Biểu 09DT'!E23</f>
        <v>98339</v>
      </c>
      <c r="M11" s="266"/>
      <c r="N11" s="266"/>
      <c r="O11" s="266">
        <f>'Biểu 09DT'!E33</f>
        <v>4579</v>
      </c>
      <c r="P11" s="266"/>
      <c r="Q11" s="266">
        <f t="shared" ref="Q11:Q17" si="4">R11+S11+T11</f>
        <v>12592</v>
      </c>
      <c r="R11" s="266"/>
      <c r="S11" s="266">
        <f>'Biểu 44.'!F6</f>
        <v>11592</v>
      </c>
      <c r="T11" s="266">
        <f>'Biểu 43.'!C10</f>
        <v>1000</v>
      </c>
      <c r="U11" s="266"/>
    </row>
    <row r="12" spans="1:21" ht="20.25" customHeight="1" x14ac:dyDescent="0.2">
      <c r="A12" s="262">
        <v>3</v>
      </c>
      <c r="B12" s="264" t="s">
        <v>150</v>
      </c>
      <c r="C12" s="265">
        <f t="shared" si="1"/>
        <v>230138</v>
      </c>
      <c r="D12" s="265">
        <f t="shared" si="2"/>
        <v>221240</v>
      </c>
      <c r="E12" s="266">
        <f t="shared" si="3"/>
        <v>8957</v>
      </c>
      <c r="F12" s="266"/>
      <c r="G12" s="266"/>
      <c r="H12" s="266">
        <f>'Biểu 09DT'!F15</f>
        <v>6887</v>
      </c>
      <c r="I12" s="266"/>
      <c r="J12" s="266">
        <f>'Biểu 09DT'!F17</f>
        <v>2070</v>
      </c>
      <c r="K12" s="266">
        <f>'Biểu 09DT'!F19-S12</f>
        <v>207426</v>
      </c>
      <c r="L12" s="266">
        <f>'Biểu 09DT'!F23</f>
        <v>107259</v>
      </c>
      <c r="M12" s="266"/>
      <c r="N12" s="266"/>
      <c r="O12" s="266">
        <f>'Biểu 09DT'!F33</f>
        <v>4857</v>
      </c>
      <c r="P12" s="266"/>
      <c r="Q12" s="266">
        <f t="shared" si="4"/>
        <v>8898</v>
      </c>
      <c r="R12" s="266"/>
      <c r="S12" s="266">
        <f>'Biểu 44.'!H6</f>
        <v>8198</v>
      </c>
      <c r="T12" s="266">
        <f>'Biểu 43.'!C11</f>
        <v>700</v>
      </c>
      <c r="U12" s="266"/>
    </row>
    <row r="13" spans="1:21" ht="20.25" customHeight="1" x14ac:dyDescent="0.2">
      <c r="A13" s="262">
        <v>4</v>
      </c>
      <c r="B13" s="264" t="s">
        <v>151</v>
      </c>
      <c r="C13" s="265">
        <f t="shared" si="1"/>
        <v>334939</v>
      </c>
      <c r="D13" s="265">
        <f t="shared" si="2"/>
        <v>320117</v>
      </c>
      <c r="E13" s="266">
        <f t="shared" si="3"/>
        <v>19069</v>
      </c>
      <c r="F13" s="266"/>
      <c r="G13" s="266"/>
      <c r="H13" s="266">
        <f>'Biểu 09DT'!G15</f>
        <v>14569</v>
      </c>
      <c r="I13" s="266"/>
      <c r="J13" s="266">
        <f>'Biểu 09DT'!G17</f>
        <v>4500</v>
      </c>
      <c r="K13" s="266">
        <f>'Biểu 09DT'!G19-S13</f>
        <v>294072</v>
      </c>
      <c r="L13" s="266">
        <f>'Biểu 09DT'!G23</f>
        <v>152907</v>
      </c>
      <c r="M13" s="266"/>
      <c r="N13" s="266"/>
      <c r="O13" s="266">
        <f>'Biểu 09DT'!G33</f>
        <v>6976</v>
      </c>
      <c r="P13" s="266"/>
      <c r="Q13" s="266">
        <f t="shared" si="4"/>
        <v>14822</v>
      </c>
      <c r="R13" s="266"/>
      <c r="S13" s="266">
        <f>'Biểu 44.'!J6</f>
        <v>13822</v>
      </c>
      <c r="T13" s="266">
        <f>'Biểu 43.'!C12</f>
        <v>1000</v>
      </c>
      <c r="U13" s="266"/>
    </row>
    <row r="14" spans="1:21" ht="20.25" customHeight="1" x14ac:dyDescent="0.2">
      <c r="A14" s="262">
        <v>5</v>
      </c>
      <c r="B14" s="264" t="s">
        <v>152</v>
      </c>
      <c r="C14" s="265">
        <f t="shared" si="1"/>
        <v>341326</v>
      </c>
      <c r="D14" s="265">
        <f t="shared" si="2"/>
        <v>324794</v>
      </c>
      <c r="E14" s="266">
        <f t="shared" si="3"/>
        <v>16444</v>
      </c>
      <c r="F14" s="266"/>
      <c r="G14" s="266"/>
      <c r="H14" s="266">
        <f>'Biểu 09DT'!H15</f>
        <v>13744</v>
      </c>
      <c r="I14" s="266"/>
      <c r="J14" s="266">
        <f>'Biểu 09DT'!H17</f>
        <v>2700</v>
      </c>
      <c r="K14" s="266">
        <f>'Biểu 09DT'!H19-S14</f>
        <v>301499</v>
      </c>
      <c r="L14" s="266">
        <f>'Biểu 09DT'!H23</f>
        <v>167361</v>
      </c>
      <c r="M14" s="266"/>
      <c r="N14" s="266"/>
      <c r="O14" s="266">
        <f>'Biểu 09DT'!H33</f>
        <v>6851</v>
      </c>
      <c r="P14" s="266"/>
      <c r="Q14" s="266">
        <f t="shared" si="4"/>
        <v>16532</v>
      </c>
      <c r="R14" s="266"/>
      <c r="S14" s="266">
        <f>'Biểu 44.'!L6</f>
        <v>15532</v>
      </c>
      <c r="T14" s="266">
        <f>'Biểu 43.'!C13</f>
        <v>1000</v>
      </c>
      <c r="U14" s="266"/>
    </row>
    <row r="15" spans="1:21" ht="20.25" customHeight="1" x14ac:dyDescent="0.2">
      <c r="A15" s="262">
        <v>6</v>
      </c>
      <c r="B15" s="264" t="s">
        <v>153</v>
      </c>
      <c r="C15" s="265">
        <f t="shared" si="1"/>
        <v>239675</v>
      </c>
      <c r="D15" s="265">
        <f t="shared" si="2"/>
        <v>223652</v>
      </c>
      <c r="E15" s="266">
        <f t="shared" si="3"/>
        <v>9451</v>
      </c>
      <c r="F15" s="266"/>
      <c r="G15" s="266"/>
      <c r="H15" s="266">
        <f>'Biểu 09DT'!I15</f>
        <v>9001</v>
      </c>
      <c r="I15" s="266"/>
      <c r="J15" s="266">
        <f>'Biểu 09DT'!I17</f>
        <v>450</v>
      </c>
      <c r="K15" s="266">
        <f>'Biểu 09DT'!I19-S15</f>
        <v>209454</v>
      </c>
      <c r="L15" s="266">
        <f>'Biểu 09DT'!I23</f>
        <v>125753</v>
      </c>
      <c r="M15" s="266"/>
      <c r="N15" s="266"/>
      <c r="O15" s="266">
        <f>'Biểu 09DT'!I33</f>
        <v>4747</v>
      </c>
      <c r="P15" s="266"/>
      <c r="Q15" s="266">
        <f t="shared" si="4"/>
        <v>16023</v>
      </c>
      <c r="R15" s="266"/>
      <c r="S15" s="266">
        <f>'Biểu 44.'!N6</f>
        <v>15023</v>
      </c>
      <c r="T15" s="266">
        <f>'Biểu 43.'!C14</f>
        <v>1000</v>
      </c>
      <c r="U15" s="266"/>
    </row>
    <row r="16" spans="1:21" ht="20.25" customHeight="1" x14ac:dyDescent="0.2">
      <c r="A16" s="262">
        <v>7</v>
      </c>
      <c r="B16" s="264" t="s">
        <v>154</v>
      </c>
      <c r="C16" s="265">
        <f t="shared" si="1"/>
        <v>337902</v>
      </c>
      <c r="D16" s="265">
        <f t="shared" si="2"/>
        <v>324268</v>
      </c>
      <c r="E16" s="266">
        <f t="shared" si="3"/>
        <v>16411</v>
      </c>
      <c r="F16" s="266"/>
      <c r="G16" s="266"/>
      <c r="H16" s="266">
        <f>'Biểu 09DT'!J15</f>
        <v>7411</v>
      </c>
      <c r="I16" s="266"/>
      <c r="J16" s="266">
        <f>'Biểu 09DT'!J17</f>
        <v>9000</v>
      </c>
      <c r="K16" s="266">
        <f>'Biểu 09DT'!J19-S16</f>
        <v>300837</v>
      </c>
      <c r="L16" s="266">
        <f>'Biểu 09DT'!J23</f>
        <v>176448</v>
      </c>
      <c r="M16" s="266"/>
      <c r="N16" s="266"/>
      <c r="O16" s="266">
        <f>'Biểu 09DT'!J33</f>
        <v>7020</v>
      </c>
      <c r="P16" s="266"/>
      <c r="Q16" s="266">
        <f t="shared" si="4"/>
        <v>13634</v>
      </c>
      <c r="R16" s="266"/>
      <c r="S16" s="266">
        <f>'Biểu 44.'!P6</f>
        <v>12634</v>
      </c>
      <c r="T16" s="266">
        <f>'Biểu 43.'!C15</f>
        <v>1000</v>
      </c>
      <c r="U16" s="266"/>
    </row>
    <row r="17" spans="1:21" ht="20.25" customHeight="1" x14ac:dyDescent="0.2">
      <c r="A17" s="262">
        <v>8</v>
      </c>
      <c r="B17" s="264" t="s">
        <v>155</v>
      </c>
      <c r="C17" s="265">
        <f t="shared" si="1"/>
        <v>250861</v>
      </c>
      <c r="D17" s="265">
        <f t="shared" si="2"/>
        <v>236130</v>
      </c>
      <c r="E17" s="266">
        <f t="shared" si="3"/>
        <v>12281</v>
      </c>
      <c r="F17" s="266"/>
      <c r="G17" s="266"/>
      <c r="H17" s="266">
        <f>'Biểu 09DT'!K15</f>
        <v>9581</v>
      </c>
      <c r="I17" s="266"/>
      <c r="J17" s="266">
        <f>'Biểu 09DT'!K17</f>
        <v>2700</v>
      </c>
      <c r="K17" s="266">
        <f>'Biểu 09DT'!K19-S17</f>
        <v>218818</v>
      </c>
      <c r="L17" s="266">
        <f>'Biểu 09DT'!K23</f>
        <v>137433</v>
      </c>
      <c r="M17" s="266"/>
      <c r="N17" s="266"/>
      <c r="O17" s="266">
        <f>'Biểu 09DT'!K33</f>
        <v>5031</v>
      </c>
      <c r="P17" s="266"/>
      <c r="Q17" s="266">
        <f t="shared" si="4"/>
        <v>14731</v>
      </c>
      <c r="R17" s="266"/>
      <c r="S17" s="266">
        <f>'Biểu 44.'!R6</f>
        <v>13731</v>
      </c>
      <c r="T17" s="266">
        <f>'Biểu 43.'!C16</f>
        <v>1000</v>
      </c>
      <c r="U17" s="266"/>
    </row>
    <row r="18" spans="1:21" x14ac:dyDescent="0.2">
      <c r="A18" s="267"/>
      <c r="B18" s="268"/>
      <c r="C18" s="267"/>
      <c r="D18" s="267"/>
      <c r="E18" s="267"/>
      <c r="F18" s="267"/>
      <c r="G18" s="267"/>
      <c r="H18" s="267"/>
      <c r="I18" s="267"/>
      <c r="J18" s="267"/>
      <c r="K18" s="267"/>
      <c r="L18" s="267"/>
      <c r="M18" s="267"/>
      <c r="N18" s="267"/>
      <c r="O18" s="267"/>
      <c r="P18" s="267"/>
      <c r="Q18" s="267"/>
      <c r="R18" s="267"/>
      <c r="S18" s="267"/>
      <c r="T18" s="267"/>
      <c r="U18" s="267"/>
    </row>
    <row r="19" spans="1:21" ht="13.5" x14ac:dyDescent="0.2">
      <c r="A19" s="2111"/>
      <c r="B19" s="2111"/>
      <c r="C19" s="2111"/>
      <c r="D19" s="2111"/>
      <c r="E19" s="2111"/>
      <c r="F19" s="2111"/>
      <c r="G19" s="2111"/>
      <c r="H19" s="2111"/>
      <c r="I19" s="2111"/>
      <c r="J19" s="2111"/>
      <c r="K19" s="2111"/>
      <c r="L19" s="2111"/>
      <c r="M19" s="2111"/>
      <c r="N19" s="2111"/>
      <c r="O19" s="2111"/>
      <c r="P19" s="2111"/>
      <c r="Q19" s="2111"/>
      <c r="R19" s="2111"/>
      <c r="S19" s="2111"/>
      <c r="T19" s="2111"/>
      <c r="U19" s="2111"/>
    </row>
    <row r="20" spans="1:21" x14ac:dyDescent="0.2">
      <c r="A20" s="2112"/>
      <c r="B20" s="2112"/>
      <c r="C20" s="2112"/>
      <c r="D20" s="2112"/>
      <c r="E20" s="2112"/>
      <c r="F20" s="2112"/>
      <c r="G20" s="2112"/>
      <c r="H20" s="2112"/>
      <c r="I20" s="2112"/>
      <c r="J20" s="2112"/>
      <c r="K20" s="2112"/>
      <c r="L20" s="2112"/>
      <c r="M20" s="2112"/>
      <c r="N20" s="2112"/>
      <c r="O20" s="2112"/>
      <c r="P20" s="2112"/>
      <c r="Q20" s="2112"/>
      <c r="R20" s="2112"/>
      <c r="S20" s="2112"/>
      <c r="T20" s="2112"/>
      <c r="U20" s="2112"/>
    </row>
    <row r="21" spans="1:21" x14ac:dyDescent="0.2">
      <c r="A21" s="269"/>
    </row>
    <row r="22" spans="1:21" x14ac:dyDescent="0.2">
      <c r="D22" s="270"/>
    </row>
    <row r="23" spans="1:21" x14ac:dyDescent="0.2">
      <c r="D23" s="270"/>
    </row>
  </sheetData>
  <mergeCells count="28">
    <mergeCell ref="U4:U7"/>
    <mergeCell ref="D5:D7"/>
    <mergeCell ref="E5:J5"/>
    <mergeCell ref="K5:M5"/>
    <mergeCell ref="N5:N7"/>
    <mergeCell ref="T5:T7"/>
    <mergeCell ref="K6:K7"/>
    <mergeCell ref="E6:E7"/>
    <mergeCell ref="F6:G6"/>
    <mergeCell ref="H6:H7"/>
    <mergeCell ref="I6:I7"/>
    <mergeCell ref="J6:J7"/>
    <mergeCell ref="R3:U3"/>
    <mergeCell ref="A1:U1"/>
    <mergeCell ref="A2:U2"/>
    <mergeCell ref="A19:U19"/>
    <mergeCell ref="A20:U20"/>
    <mergeCell ref="A4:A7"/>
    <mergeCell ref="B4:B7"/>
    <mergeCell ref="C4:C7"/>
    <mergeCell ref="D4:P4"/>
    <mergeCell ref="Q4:T4"/>
    <mergeCell ref="O5:O7"/>
    <mergeCell ref="P5:P7"/>
    <mergeCell ref="Q5:Q7"/>
    <mergeCell ref="R5:R7"/>
    <mergeCell ref="S5:S7"/>
    <mergeCell ref="L6:M6"/>
  </mergeCells>
  <pageMargins left="0.84" right="0.2" top="0.75" bottom="0.97" header="0.43" footer="0.53"/>
  <pageSetup paperSize="9" firstPageNumber="23" orientation="landscape" useFirstPageNumber="1" r:id="rId1"/>
  <headerFooter>
    <oddHeader>&amp;RBiểu mẫu số 41</oddHeader>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K39"/>
  <sheetViews>
    <sheetView workbookViewId="0">
      <pane xSplit="2" ySplit="6" topLeftCell="C7" activePane="bottomRight" state="frozen"/>
      <selection pane="topRight" activeCell="C1" sqref="C1"/>
      <selection pane="bottomLeft" activeCell="A7" sqref="A7"/>
      <selection pane="bottomRight" activeCell="I21" sqref="I21"/>
    </sheetView>
  </sheetViews>
  <sheetFormatPr defaultRowHeight="15" x14ac:dyDescent="0.25"/>
  <cols>
    <col min="1" max="1" width="4.125" style="1011" customWidth="1"/>
    <col min="2" max="2" width="32.625" style="1011" customWidth="1"/>
    <col min="3" max="3" width="9.625" style="1011" customWidth="1"/>
    <col min="4" max="5" width="9.875" style="1011" customWidth="1"/>
    <col min="6" max="6" width="9.625" style="1011" customWidth="1"/>
    <col min="7" max="7" width="10" style="1011" customWidth="1"/>
    <col min="8" max="8" width="13.625" style="1011" customWidth="1"/>
    <col min="9" max="9" width="10.25" style="1011" bestFit="1" customWidth="1"/>
    <col min="10" max="10" width="11.125" style="1011" customWidth="1"/>
    <col min="11" max="16384" width="9" style="1011"/>
  </cols>
  <sheetData>
    <row r="1" spans="1:10" ht="39" customHeight="1" x14ac:dyDescent="0.25">
      <c r="A1" s="1946" t="s">
        <v>1378</v>
      </c>
      <c r="B1" s="1946"/>
      <c r="C1" s="1946"/>
      <c r="D1" s="1946"/>
      <c r="E1" s="1946"/>
      <c r="F1" s="1946"/>
      <c r="G1" s="1946"/>
    </row>
    <row r="2" spans="1:10" ht="16.5" x14ac:dyDescent="0.25">
      <c r="A2" s="1947" t="str">
        <f>'03N Biểu 07'!A2:I2</f>
        <v>(Kèm theo Báo cáo số               /BC-UBND ngày       tháng 11 năm 2018 của UBND tỉnh Bắc Kạn)</v>
      </c>
      <c r="B2" s="1947"/>
      <c r="C2" s="1947"/>
      <c r="D2" s="1947"/>
      <c r="E2" s="1947"/>
      <c r="F2" s="1947"/>
      <c r="G2" s="1947"/>
    </row>
    <row r="3" spans="1:10" ht="18.75" customHeight="1" x14ac:dyDescent="0.25">
      <c r="A3" s="1012"/>
      <c r="F3" s="1941" t="s">
        <v>6</v>
      </c>
      <c r="G3" s="1941"/>
    </row>
    <row r="4" spans="1:10" ht="63" customHeight="1" x14ac:dyDescent="0.25">
      <c r="A4" s="1187" t="s">
        <v>0</v>
      </c>
      <c r="B4" s="1187" t="s">
        <v>1</v>
      </c>
      <c r="C4" s="1187" t="s">
        <v>219</v>
      </c>
      <c r="D4" s="1187" t="s">
        <v>1255</v>
      </c>
      <c r="E4" s="1187" t="s">
        <v>1307</v>
      </c>
      <c r="F4" s="1187" t="s">
        <v>1320</v>
      </c>
      <c r="G4" s="1187" t="s">
        <v>1377</v>
      </c>
    </row>
    <row r="5" spans="1:10" x14ac:dyDescent="0.25">
      <c r="A5" s="1187" t="s">
        <v>2</v>
      </c>
      <c r="B5" s="1187" t="s">
        <v>3</v>
      </c>
      <c r="C5" s="1187">
        <v>1</v>
      </c>
      <c r="D5" s="1187">
        <v>2</v>
      </c>
      <c r="E5" s="1187">
        <v>3</v>
      </c>
      <c r="F5" s="1187">
        <v>4</v>
      </c>
      <c r="G5" s="1187">
        <v>5</v>
      </c>
    </row>
    <row r="6" spans="1:10" s="1158" customFormat="1" ht="14.25" x14ac:dyDescent="0.2">
      <c r="A6" s="1015" t="s">
        <v>2</v>
      </c>
      <c r="B6" s="1173" t="s">
        <v>1341</v>
      </c>
      <c r="C6" s="1199"/>
      <c r="D6" s="1199"/>
      <c r="E6" s="1199"/>
      <c r="F6" s="1199"/>
      <c r="G6" s="1199"/>
    </row>
    <row r="7" spans="1:10" s="1158" customFormat="1" ht="14.25" x14ac:dyDescent="0.2">
      <c r="A7" s="414" t="s">
        <v>9</v>
      </c>
      <c r="B7" s="402" t="s">
        <v>306</v>
      </c>
      <c r="C7" s="1200">
        <f>C8+C9+C15</f>
        <v>4864377</v>
      </c>
      <c r="D7" s="1224">
        <f>D8+D9+D15+D14</f>
        <v>5314216</v>
      </c>
      <c r="E7" s="1224" t="e">
        <f>E8+E9+E15</f>
        <v>#REF!</v>
      </c>
      <c r="F7" s="1224" t="e">
        <f t="shared" ref="F7:G7" si="0">F8+F9+F15</f>
        <v>#REF!</v>
      </c>
      <c r="G7" s="1224" t="e">
        <f t="shared" si="0"/>
        <v>#REF!</v>
      </c>
    </row>
    <row r="8" spans="1:10" x14ac:dyDescent="0.25">
      <c r="A8" s="1016">
        <v>1</v>
      </c>
      <c r="B8" s="415" t="s">
        <v>54</v>
      </c>
      <c r="C8" s="1159">
        <f>'Biểu 19'!C9</f>
        <v>235550</v>
      </c>
      <c r="D8" s="1159">
        <f>'Biểu 19'!D9</f>
        <v>242925</v>
      </c>
      <c r="E8" s="98" t="e">
        <f>#REF!</f>
        <v>#REF!</v>
      </c>
      <c r="F8" s="98">
        <f>'3 năm Thuế gửi'!G9</f>
        <v>318328.59999999998</v>
      </c>
      <c r="G8" s="98">
        <f>'3 năm Thuế gửi'!J9</f>
        <v>361672.12</v>
      </c>
      <c r="H8" s="1202"/>
    </row>
    <row r="9" spans="1:10" x14ac:dyDescent="0.25">
      <c r="A9" s="1016">
        <v>2</v>
      </c>
      <c r="B9" s="415" t="s">
        <v>55</v>
      </c>
      <c r="C9" s="1159">
        <f>C10+C12+C11</f>
        <v>4628827</v>
      </c>
      <c r="D9" s="1159">
        <f>D10+D12+D11</f>
        <v>4507091</v>
      </c>
      <c r="E9" s="98" t="e">
        <f>E10+E12+E11</f>
        <v>#REF!</v>
      </c>
      <c r="F9" s="98" t="e">
        <f>F10+F12+F11</f>
        <v>#REF!</v>
      </c>
      <c r="G9" s="98" t="e">
        <f>G10+G12+G11</f>
        <v>#REF!</v>
      </c>
    </row>
    <row r="10" spans="1:10" x14ac:dyDescent="0.25">
      <c r="A10" s="1016" t="s">
        <v>23</v>
      </c>
      <c r="B10" s="415" t="s">
        <v>12</v>
      </c>
      <c r="C10" s="1159">
        <f>'Biểu 19'!C11</f>
        <v>2802252</v>
      </c>
      <c r="D10" s="1159">
        <f>'Biểu 19'!D11</f>
        <v>2802252</v>
      </c>
      <c r="E10" s="98" t="e">
        <f>#REF!</f>
        <v>#REF!</v>
      </c>
      <c r="F10" s="98" t="e">
        <f>E10</f>
        <v>#REF!</v>
      </c>
      <c r="G10" s="98" t="e">
        <f>'03N Biểu 07'!I10</f>
        <v>#REF!</v>
      </c>
    </row>
    <row r="11" spans="1:10" x14ac:dyDescent="0.25">
      <c r="A11" s="1016" t="s">
        <v>23</v>
      </c>
      <c r="B11" s="415" t="s">
        <v>578</v>
      </c>
      <c r="C11" s="1159">
        <f>'Biểu 19'!C12</f>
        <v>114536</v>
      </c>
      <c r="D11" s="1159">
        <f>'Biểu 19'!D12</f>
        <v>114536</v>
      </c>
      <c r="E11" s="98" t="e">
        <f>#REF!</f>
        <v>#REF!</v>
      </c>
      <c r="F11" s="98" t="e">
        <f>'03N Biểu 07'!H11</f>
        <v>#REF!</v>
      </c>
      <c r="G11" s="98"/>
      <c r="H11" s="1202"/>
    </row>
    <row r="12" spans="1:10" ht="20.25" customHeight="1" x14ac:dyDescent="0.25">
      <c r="A12" s="1016" t="s">
        <v>23</v>
      </c>
      <c r="B12" s="415" t="s">
        <v>13</v>
      </c>
      <c r="C12" s="1159">
        <f>'Biểu 19'!C13</f>
        <v>1712039</v>
      </c>
      <c r="D12" s="1159">
        <f>'Biểu 19'!D13</f>
        <v>1590303</v>
      </c>
      <c r="E12" s="98" t="e">
        <f>#REF!</f>
        <v>#REF!</v>
      </c>
      <c r="F12" s="98">
        <f>'03N Biểu 07'!H12</f>
        <v>1417759</v>
      </c>
      <c r="G12" s="98">
        <f>'03N Biểu 07'!I12</f>
        <v>1408419</v>
      </c>
    </row>
    <row r="13" spans="1:10" x14ac:dyDescent="0.25">
      <c r="A13" s="1016">
        <v>3</v>
      </c>
      <c r="B13" s="415" t="s">
        <v>223</v>
      </c>
      <c r="C13" s="1159"/>
      <c r="D13" s="1159">
        <f>'Biểu 19'!D14</f>
        <v>0</v>
      </c>
      <c r="E13" s="1159"/>
      <c r="F13" s="1159"/>
      <c r="G13" s="1159"/>
    </row>
    <row r="14" spans="1:10" ht="20.25" customHeight="1" x14ac:dyDescent="0.25">
      <c r="A14" s="1016">
        <v>4</v>
      </c>
      <c r="B14" s="415" t="s">
        <v>16</v>
      </c>
      <c r="C14" s="1159"/>
      <c r="D14" s="1159">
        <f>'Biểu 19'!D15</f>
        <v>63880</v>
      </c>
      <c r="E14" s="1159"/>
      <c r="F14" s="1159"/>
      <c r="G14" s="1159"/>
      <c r="H14" s="1202"/>
    </row>
    <row r="15" spans="1:10" ht="30" x14ac:dyDescent="0.25">
      <c r="A15" s="1016">
        <v>5</v>
      </c>
      <c r="B15" s="415" t="s">
        <v>18</v>
      </c>
      <c r="C15" s="1159"/>
      <c r="D15" s="1159">
        <f>'Biểu 19'!D16</f>
        <v>500320</v>
      </c>
      <c r="E15" s="1159"/>
      <c r="F15" s="1159"/>
      <c r="G15" s="1159"/>
      <c r="H15" s="1202"/>
      <c r="I15" s="1202"/>
    </row>
    <row r="16" spans="1:10" s="1158" customFormat="1" ht="19.5" customHeight="1" x14ac:dyDescent="0.2">
      <c r="A16" s="414" t="s">
        <v>11</v>
      </c>
      <c r="B16" s="402" t="s">
        <v>56</v>
      </c>
      <c r="C16" s="1200">
        <f>C17+C18+C22</f>
        <v>4881477</v>
      </c>
      <c r="D16" s="1224">
        <f>D17+D18+D22</f>
        <v>5254099</v>
      </c>
      <c r="E16" s="1224" t="e">
        <f t="shared" ref="E16" si="1">E17+E18+E22</f>
        <v>#REF!</v>
      </c>
      <c r="F16" s="1224" t="e">
        <f>F17+F18+F22</f>
        <v>#REF!</v>
      </c>
      <c r="G16" s="1224" t="e">
        <f>G17+G18+G22</f>
        <v>#REF!</v>
      </c>
      <c r="H16" s="1201">
        <f>C16-C7</f>
        <v>17100</v>
      </c>
      <c r="I16" s="1201" t="e">
        <f>F16-F7</f>
        <v>#REF!</v>
      </c>
      <c r="J16" s="1201" t="e">
        <f>G16-G7</f>
        <v>#REF!</v>
      </c>
    </row>
    <row r="17" spans="1:11" ht="30" x14ac:dyDescent="0.25">
      <c r="A17" s="1016">
        <v>1</v>
      </c>
      <c r="B17" s="415" t="s">
        <v>1342</v>
      </c>
      <c r="C17" s="1159">
        <f>'Biểu 19'!C18</f>
        <v>2733985</v>
      </c>
      <c r="D17" s="1159">
        <f>'Biểu 19'!D18</f>
        <v>2359702</v>
      </c>
      <c r="E17" s="98" t="e">
        <f>#REF!</f>
        <v>#REF!</v>
      </c>
      <c r="F17" s="98">
        <f>2508905+34162</f>
        <v>2543067</v>
      </c>
      <c r="G17" s="98">
        <f>2872799+21378</f>
        <v>2894177</v>
      </c>
      <c r="H17" s="1202" t="e">
        <f>E16-E7</f>
        <v>#REF!</v>
      </c>
      <c r="I17" s="1202" t="e">
        <f>'03N Biểu 07'!J16</f>
        <v>#REF!</v>
      </c>
      <c r="J17" s="1202" t="e">
        <f>'03N Biểu 07'!K16</f>
        <v>#REF!</v>
      </c>
    </row>
    <row r="18" spans="1:11" x14ac:dyDescent="0.25">
      <c r="A18" s="1016">
        <v>2</v>
      </c>
      <c r="B18" s="415" t="s">
        <v>57</v>
      </c>
      <c r="C18" s="1159">
        <f>C19+C21+C20</f>
        <v>2147492</v>
      </c>
      <c r="D18" s="1159">
        <f>D19+D21+D20</f>
        <v>2243717</v>
      </c>
      <c r="E18" s="98" t="e">
        <f>E19+E21+E20</f>
        <v>#REF!</v>
      </c>
      <c r="F18" s="98" t="e">
        <f>F19+F21+F20</f>
        <v>#REF!</v>
      </c>
      <c r="G18" s="98" t="e">
        <f>G19+G21+G20</f>
        <v>#REF!</v>
      </c>
      <c r="H18" s="1202"/>
      <c r="I18" s="1202" t="e">
        <f>I17-I16</f>
        <v>#REF!</v>
      </c>
      <c r="J18" s="1202" t="e">
        <f>J17-J16</f>
        <v>#REF!</v>
      </c>
    </row>
    <row r="19" spans="1:11" x14ac:dyDescent="0.25">
      <c r="A19" s="1016" t="s">
        <v>23</v>
      </c>
      <c r="B19" s="415" t="s">
        <v>58</v>
      </c>
      <c r="C19" s="1159">
        <f>'Biểu 19'!C20</f>
        <v>1608890</v>
      </c>
      <c r="D19" s="1159">
        <f>'Biểu 19'!D20</f>
        <v>1608890</v>
      </c>
      <c r="E19" s="98" t="e">
        <f>#REF!</f>
        <v>#REF!</v>
      </c>
      <c r="F19" s="98" t="e">
        <f>E19</f>
        <v>#REF!</v>
      </c>
      <c r="G19" s="98" t="e">
        <f>F19+250000</f>
        <v>#REF!</v>
      </c>
      <c r="H19" s="1202"/>
    </row>
    <row r="20" spans="1:11" ht="25.5" customHeight="1" x14ac:dyDescent="0.25">
      <c r="A20" s="1016"/>
      <c r="B20" s="415" t="s">
        <v>1034</v>
      </c>
      <c r="C20" s="1159">
        <f>'Biểu 19'!C21</f>
        <v>84822</v>
      </c>
      <c r="D20" s="1159">
        <f>'Biểu 19'!D21</f>
        <v>84822</v>
      </c>
      <c r="E20" s="98" t="e">
        <f>#REF!</f>
        <v>#REF!</v>
      </c>
      <c r="F20" s="98" t="e">
        <f>E20+55000</f>
        <v>#REF!</v>
      </c>
      <c r="G20" s="98"/>
      <c r="H20" s="1202"/>
    </row>
    <row r="21" spans="1:11" x14ac:dyDescent="0.25">
      <c r="A21" s="1016" t="s">
        <v>23</v>
      </c>
      <c r="B21" s="415" t="s">
        <v>59</v>
      </c>
      <c r="C21" s="1159">
        <f>'Biểu 19'!C22</f>
        <v>453780</v>
      </c>
      <c r="D21" s="1159">
        <f>'Biểu 19'!D22</f>
        <v>550005</v>
      </c>
      <c r="E21" s="98" t="e">
        <f>#REF!</f>
        <v>#REF!</v>
      </c>
      <c r="F21" s="98">
        <f>81771+135020+'03N Biểu 11'!F37</f>
        <v>563416</v>
      </c>
      <c r="G21" s="98">
        <f>86912+143700+'03N Biểu 11'!G37</f>
        <v>490612</v>
      </c>
      <c r="H21" s="1202"/>
    </row>
    <row r="22" spans="1:11" x14ac:dyDescent="0.25">
      <c r="A22" s="1016">
        <v>3</v>
      </c>
      <c r="B22" s="415" t="s">
        <v>22</v>
      </c>
      <c r="C22" s="1159"/>
      <c r="D22" s="1159">
        <f>'Biểu 19'!D23</f>
        <v>650680</v>
      </c>
      <c r="E22" s="1159"/>
      <c r="F22" s="1159"/>
      <c r="G22" s="1159"/>
      <c r="H22" s="1202"/>
    </row>
    <row r="23" spans="1:11" s="1158" customFormat="1" ht="21.75" customHeight="1" x14ac:dyDescent="0.2">
      <c r="A23" s="414" t="s">
        <v>14</v>
      </c>
      <c r="B23" s="402" t="s">
        <v>1343</v>
      </c>
      <c r="C23" s="1200">
        <f>C16-C7</f>
        <v>17100</v>
      </c>
      <c r="D23" s="1224">
        <f>'Biểu 19'!D24</f>
        <v>1200</v>
      </c>
      <c r="E23" s="1224" t="e">
        <f>E16-E7</f>
        <v>#REF!</v>
      </c>
      <c r="F23" s="1224" t="e">
        <f>F16-F7</f>
        <v>#REF!</v>
      </c>
      <c r="G23" s="1224" t="e">
        <f t="shared" ref="G23" si="2">G16-G7</f>
        <v>#REF!</v>
      </c>
      <c r="H23" s="1224">
        <f>'03N Biểu 07'!H16</f>
        <v>5322584</v>
      </c>
      <c r="I23" s="1224">
        <f>'03N Biểu 07'!I16</f>
        <v>5705941</v>
      </c>
      <c r="K23" s="1201" t="e">
        <f>E23+630</f>
        <v>#REF!</v>
      </c>
    </row>
    <row r="24" spans="1:11" s="1158" customFormat="1" ht="18.75" customHeight="1" x14ac:dyDescent="0.2">
      <c r="A24" s="414" t="s">
        <v>3</v>
      </c>
      <c r="B24" s="402" t="s">
        <v>382</v>
      </c>
      <c r="C24" s="1200"/>
      <c r="D24" s="1200"/>
      <c r="E24" s="1200"/>
      <c r="F24" s="1200"/>
      <c r="G24" s="1200"/>
      <c r="H24" s="1201"/>
      <c r="I24" s="1201"/>
    </row>
    <row r="25" spans="1:11" s="1158" customFormat="1" ht="20.25" customHeight="1" x14ac:dyDescent="0.2">
      <c r="A25" s="414" t="s">
        <v>9</v>
      </c>
      <c r="B25" s="402" t="s">
        <v>306</v>
      </c>
      <c r="C25" s="1200">
        <f>C26+C27+C31+C32</f>
        <v>2456952</v>
      </c>
      <c r="D25" s="1224">
        <f>D26+D27+D31+D32</f>
        <v>2873544</v>
      </c>
      <c r="E25" s="1224" t="e">
        <f>E26+E27+E31+E32</f>
        <v>#REF!</v>
      </c>
      <c r="F25" s="1224" t="e">
        <f>F26+F27+F31+F32</f>
        <v>#REF!</v>
      </c>
      <c r="G25" s="1224" t="e">
        <f>G26+G27+G31+G32</f>
        <v>#REF!</v>
      </c>
      <c r="H25" s="1201" t="e">
        <f>H23-F25</f>
        <v>#REF!</v>
      </c>
      <c r="I25" s="1201" t="e">
        <f>I23-G25</f>
        <v>#REF!</v>
      </c>
    </row>
    <row r="26" spans="1:11" x14ac:dyDescent="0.25">
      <c r="A26" s="1016">
        <v>1</v>
      </c>
      <c r="B26" s="415" t="s">
        <v>54</v>
      </c>
      <c r="C26" s="1159">
        <f>'Biểu 19'!C27</f>
        <v>309460</v>
      </c>
      <c r="D26" s="1159">
        <f>'Biểu 19'!D27</f>
        <v>304440</v>
      </c>
      <c r="E26" s="98" t="e">
        <f>#REF!</f>
        <v>#REF!</v>
      </c>
      <c r="F26" s="98">
        <f>'3 năm Thuế gửi'!H9</f>
        <v>375390</v>
      </c>
      <c r="G26" s="98">
        <f>'3 năm Thuế gửi'!K9</f>
        <v>429360</v>
      </c>
    </row>
    <row r="27" spans="1:11" x14ac:dyDescent="0.25">
      <c r="A27" s="1016">
        <v>2</v>
      </c>
      <c r="B27" s="415" t="s">
        <v>55</v>
      </c>
      <c r="C27" s="1159">
        <f>C28+C30+C29</f>
        <v>2147492</v>
      </c>
      <c r="D27" s="1159">
        <f>D28+D30+D29</f>
        <v>2243717</v>
      </c>
      <c r="E27" s="98" t="e">
        <f>E28+E30+E29</f>
        <v>#REF!</v>
      </c>
      <c r="F27" s="98" t="e">
        <f>F28+F30+F29</f>
        <v>#REF!</v>
      </c>
      <c r="G27" s="98" t="e">
        <f>G28+G30+G29</f>
        <v>#REF!</v>
      </c>
    </row>
    <row r="28" spans="1:11" x14ac:dyDescent="0.25">
      <c r="A28" s="1016" t="s">
        <v>23</v>
      </c>
      <c r="B28" s="415" t="s">
        <v>12</v>
      </c>
      <c r="C28" s="1159">
        <f>'Biểu 19'!C29</f>
        <v>1608890</v>
      </c>
      <c r="D28" s="1159">
        <f>'Biểu 19'!D29</f>
        <v>1608890</v>
      </c>
      <c r="E28" s="98" t="e">
        <f>#REF!</f>
        <v>#REF!</v>
      </c>
      <c r="F28" s="98" t="e">
        <f t="shared" ref="F28:G30" si="3">F19</f>
        <v>#REF!</v>
      </c>
      <c r="G28" s="98" t="e">
        <f t="shared" si="3"/>
        <v>#REF!</v>
      </c>
    </row>
    <row r="29" spans="1:11" x14ac:dyDescent="0.25">
      <c r="A29" s="1016" t="s">
        <v>23</v>
      </c>
      <c r="B29" s="415" t="s">
        <v>578</v>
      </c>
      <c r="C29" s="1159">
        <f>'Biểu 19'!C30</f>
        <v>84822</v>
      </c>
      <c r="D29" s="1159">
        <f>'Biểu 19'!D30</f>
        <v>84822</v>
      </c>
      <c r="E29" s="98" t="e">
        <f>E20</f>
        <v>#REF!</v>
      </c>
      <c r="F29" s="98" t="e">
        <f t="shared" si="3"/>
        <v>#REF!</v>
      </c>
      <c r="G29" s="98">
        <f t="shared" si="3"/>
        <v>0</v>
      </c>
    </row>
    <row r="30" spans="1:11" x14ac:dyDescent="0.25">
      <c r="A30" s="1016" t="s">
        <v>23</v>
      </c>
      <c r="B30" s="415" t="s">
        <v>13</v>
      </c>
      <c r="C30" s="1159">
        <f>'Biểu 19'!C31</f>
        <v>453780</v>
      </c>
      <c r="D30" s="1159">
        <f>'Biểu 19'!D31</f>
        <v>550005</v>
      </c>
      <c r="E30" s="98" t="e">
        <f t="shared" ref="E30" si="4">E21</f>
        <v>#REF!</v>
      </c>
      <c r="F30" s="98">
        <f t="shared" si="3"/>
        <v>563416</v>
      </c>
      <c r="G30" s="98">
        <f t="shared" si="3"/>
        <v>490612</v>
      </c>
      <c r="H30" s="791" t="e">
        <f>F26+F28+F29</f>
        <v>#REF!</v>
      </c>
      <c r="I30" s="791" t="e">
        <f>G26+G28+G29</f>
        <v>#REF!</v>
      </c>
    </row>
    <row r="31" spans="1:11" x14ac:dyDescent="0.25">
      <c r="A31" s="1016">
        <v>3</v>
      </c>
      <c r="B31" s="415" t="s">
        <v>16</v>
      </c>
      <c r="C31" s="1159"/>
      <c r="D31" s="1159">
        <f>'Biểu 19'!D32</f>
        <v>154953</v>
      </c>
      <c r="E31" s="1159"/>
      <c r="F31" s="1159"/>
      <c r="G31" s="1159"/>
      <c r="H31" s="1011" t="e">
        <f>H30*2.5%</f>
        <v>#REF!</v>
      </c>
      <c r="I31" s="1011" t="e">
        <f>I30*2.5%</f>
        <v>#REF!</v>
      </c>
    </row>
    <row r="32" spans="1:11" ht="30" x14ac:dyDescent="0.25">
      <c r="A32" s="1016">
        <v>4</v>
      </c>
      <c r="B32" s="415" t="s">
        <v>18</v>
      </c>
      <c r="C32" s="1159"/>
      <c r="D32" s="1159">
        <f>'Biểu 19'!D33</f>
        <v>170434</v>
      </c>
      <c r="E32" s="1159"/>
      <c r="F32" s="1159"/>
      <c r="G32" s="1159"/>
      <c r="H32" s="1011">
        <v>95914</v>
      </c>
      <c r="I32" s="1011">
        <v>106232</v>
      </c>
    </row>
    <row r="33" spans="1:9" s="1158" customFormat="1" ht="19.5" customHeight="1" x14ac:dyDescent="0.2">
      <c r="A33" s="414" t="s">
        <v>11</v>
      </c>
      <c r="B33" s="402" t="s">
        <v>56</v>
      </c>
      <c r="C33" s="1200">
        <f>C25</f>
        <v>2456952</v>
      </c>
      <c r="D33" s="1200">
        <f>'Biểu 19'!D34</f>
        <v>2752613</v>
      </c>
      <c r="E33" s="1200" t="e">
        <f>E25</f>
        <v>#REF!</v>
      </c>
      <c r="F33" s="1200" t="e">
        <f>F25</f>
        <v>#REF!</v>
      </c>
      <c r="G33" s="1200" t="e">
        <f>G25</f>
        <v>#REF!</v>
      </c>
      <c r="H33" s="1158" t="e">
        <f>H32-H31</f>
        <v>#REF!</v>
      </c>
      <c r="I33" s="1158" t="e">
        <f>I32-I31</f>
        <v>#REF!</v>
      </c>
    </row>
    <row r="34" spans="1:9" hidden="1" x14ac:dyDescent="0.25">
      <c r="A34" s="1016">
        <v>1</v>
      </c>
      <c r="B34" s="415" t="s">
        <v>1344</v>
      </c>
      <c r="C34" s="1159"/>
      <c r="D34" s="1159"/>
      <c r="E34" s="1159"/>
      <c r="F34" s="1159"/>
      <c r="G34" s="1159"/>
    </row>
    <row r="35" spans="1:9" hidden="1" x14ac:dyDescent="0.25">
      <c r="A35" s="1016">
        <v>2</v>
      </c>
      <c r="B35" s="415" t="s">
        <v>57</v>
      </c>
      <c r="C35" s="1159">
        <f>C36+C37</f>
        <v>0</v>
      </c>
      <c r="D35" s="1159">
        <f t="shared" ref="D35:G35" si="5">D36+D37</f>
        <v>0</v>
      </c>
      <c r="E35" s="1159">
        <f t="shared" si="5"/>
        <v>0</v>
      </c>
      <c r="F35" s="1159">
        <f t="shared" si="5"/>
        <v>0</v>
      </c>
      <c r="G35" s="1159">
        <f t="shared" si="5"/>
        <v>0</v>
      </c>
    </row>
    <row r="36" spans="1:9" hidden="1" x14ac:dyDescent="0.25">
      <c r="A36" s="1016" t="s">
        <v>23</v>
      </c>
      <c r="B36" s="415" t="s">
        <v>58</v>
      </c>
      <c r="C36" s="1159"/>
      <c r="D36" s="1159"/>
      <c r="E36" s="1159"/>
      <c r="F36" s="1159"/>
      <c r="G36" s="1159"/>
    </row>
    <row r="37" spans="1:9" hidden="1" x14ac:dyDescent="0.25">
      <c r="A37" s="1016" t="s">
        <v>23</v>
      </c>
      <c r="B37" s="415" t="s">
        <v>59</v>
      </c>
      <c r="C37" s="1159"/>
      <c r="D37" s="1159"/>
      <c r="E37" s="1159"/>
      <c r="F37" s="1159"/>
      <c r="G37" s="1159"/>
    </row>
    <row r="38" spans="1:9" hidden="1" x14ac:dyDescent="0.25">
      <c r="A38" s="1022">
        <v>3</v>
      </c>
      <c r="B38" s="1009" t="s">
        <v>22</v>
      </c>
      <c r="C38" s="1225"/>
      <c r="D38" s="1225"/>
      <c r="E38" s="1225"/>
      <c r="F38" s="1225"/>
      <c r="G38" s="1225"/>
    </row>
    <row r="39" spans="1:9" x14ac:dyDescent="0.25">
      <c r="A39" s="1948"/>
      <c r="B39" s="1948"/>
      <c r="C39" s="1948"/>
      <c r="D39" s="1948"/>
      <c r="E39" s="1948"/>
      <c r="F39" s="1948"/>
      <c r="G39" s="1948"/>
    </row>
  </sheetData>
  <mergeCells count="4">
    <mergeCell ref="A1:G1"/>
    <mergeCell ref="A2:G2"/>
    <mergeCell ref="F3:G3"/>
    <mergeCell ref="A39:G39"/>
  </mergeCells>
  <pageMargins left="0.82" right="0.26" top="0.75" bottom="0.9" header="0.3" footer="0.47"/>
  <pageSetup paperSize="9" firstPageNumber="58" orientation="portrait" useFirstPageNumber="1" r:id="rId1"/>
  <headerFooter>
    <oddHeader>&amp;RBiểu mẫu số 09</oddHeader>
    <oddFooter>&amp;C&amp;P</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
  <sheetViews>
    <sheetView workbookViewId="0">
      <selection activeCell="O14" sqref="O14"/>
    </sheetView>
  </sheetViews>
  <sheetFormatPr defaultRowHeight="15.75" x14ac:dyDescent="0.25"/>
  <cols>
    <col min="1" max="1" width="5.875" customWidth="1"/>
    <col min="2" max="2" width="24.25" customWidth="1"/>
    <col min="5" max="5" width="7.375" customWidth="1"/>
    <col min="6" max="6" width="8.875" customWidth="1"/>
    <col min="7" max="7" width="8.625" customWidth="1"/>
    <col min="8" max="8" width="8.125" customWidth="1"/>
    <col min="9" max="11" width="8" hidden="1" customWidth="1"/>
    <col min="12" max="12" width="0" hidden="1" customWidth="1"/>
  </cols>
  <sheetData>
    <row r="1" spans="1:12" x14ac:dyDescent="0.25">
      <c r="L1" s="65" t="s">
        <v>1220</v>
      </c>
    </row>
    <row r="2" spans="1:12" ht="60.75" customHeight="1" x14ac:dyDescent="0.25">
      <c r="A2" s="2114" t="s">
        <v>1476</v>
      </c>
      <c r="B2" s="2114"/>
      <c r="C2" s="2114"/>
      <c r="D2" s="2114"/>
      <c r="E2" s="2114"/>
      <c r="F2" s="2114"/>
      <c r="G2" s="2114"/>
      <c r="H2" s="2114"/>
      <c r="I2" s="2114"/>
      <c r="J2" s="2114"/>
      <c r="K2" s="2114"/>
      <c r="L2" s="2114"/>
    </row>
    <row r="3" spans="1:12" ht="22.5" customHeight="1" x14ac:dyDescent="0.25">
      <c r="A3" s="2026" t="e">
        <f>'Biểu 44.'!A2:R2</f>
        <v>#REF!</v>
      </c>
      <c r="B3" s="2115"/>
      <c r="C3" s="2115"/>
      <c r="D3" s="2115"/>
      <c r="E3" s="2115"/>
      <c r="F3" s="2115"/>
      <c r="G3" s="2115"/>
      <c r="H3" s="2115"/>
      <c r="I3" s="2115"/>
      <c r="J3" s="2115"/>
      <c r="K3" s="2115"/>
      <c r="L3" s="2115"/>
    </row>
    <row r="4" spans="1:12" x14ac:dyDescent="0.25">
      <c r="L4" s="6" t="s">
        <v>6</v>
      </c>
    </row>
    <row r="5" spans="1:12" ht="48.75" customHeight="1" x14ac:dyDescent="0.25">
      <c r="A5" s="2022" t="s">
        <v>0</v>
      </c>
      <c r="B5" s="2022" t="s">
        <v>1222</v>
      </c>
      <c r="C5" s="2022" t="s">
        <v>61</v>
      </c>
      <c r="D5" s="2022"/>
      <c r="E5" s="2022"/>
      <c r="F5" s="2022" t="s">
        <v>1477</v>
      </c>
      <c r="G5" s="2022"/>
      <c r="H5" s="2022"/>
      <c r="I5" s="2022" t="s">
        <v>136</v>
      </c>
      <c r="J5" s="2022"/>
      <c r="K5" s="2022"/>
      <c r="L5" s="2022" t="s">
        <v>102</v>
      </c>
    </row>
    <row r="6" spans="1:12" ht="47.25" x14ac:dyDescent="0.25">
      <c r="A6" s="2022"/>
      <c r="B6" s="2022"/>
      <c r="C6" s="427" t="s">
        <v>61</v>
      </c>
      <c r="D6" s="427" t="s">
        <v>111</v>
      </c>
      <c r="E6" s="427" t="s">
        <v>112</v>
      </c>
      <c r="F6" s="427" t="s">
        <v>61</v>
      </c>
      <c r="G6" s="427" t="s">
        <v>111</v>
      </c>
      <c r="H6" s="427" t="s">
        <v>112</v>
      </c>
      <c r="I6" s="427" t="s">
        <v>61</v>
      </c>
      <c r="J6" s="427" t="s">
        <v>111</v>
      </c>
      <c r="K6" s="427" t="s">
        <v>112</v>
      </c>
      <c r="L6" s="2022"/>
    </row>
    <row r="7" spans="1:12" s="69" customFormat="1" x14ac:dyDescent="0.25">
      <c r="A7" s="56" t="s">
        <v>2</v>
      </c>
      <c r="B7" s="56" t="s">
        <v>3</v>
      </c>
      <c r="C7" s="56" t="s">
        <v>72</v>
      </c>
      <c r="D7" s="56">
        <v>2</v>
      </c>
      <c r="E7" s="56">
        <v>3</v>
      </c>
      <c r="F7" s="56" t="s">
        <v>73</v>
      </c>
      <c r="G7" s="56">
        <v>5</v>
      </c>
      <c r="H7" s="56">
        <v>6</v>
      </c>
      <c r="I7" s="56" t="s">
        <v>137</v>
      </c>
      <c r="J7" s="56">
        <v>8</v>
      </c>
      <c r="K7" s="56">
        <v>9</v>
      </c>
      <c r="L7" s="56">
        <v>10</v>
      </c>
    </row>
    <row r="8" spans="1:12" ht="21.75" customHeight="1" x14ac:dyDescent="0.25">
      <c r="A8" s="428"/>
      <c r="B8" s="86" t="s">
        <v>89</v>
      </c>
      <c r="C8" s="432">
        <f>D8</f>
        <v>6700</v>
      </c>
      <c r="D8" s="432">
        <f>F8</f>
        <v>6700</v>
      </c>
      <c r="E8" s="433"/>
      <c r="F8" s="432">
        <f>SUM(G8:H8)</f>
        <v>6700</v>
      </c>
      <c r="G8" s="432">
        <f>SUM(G9:G16)</f>
        <v>6700</v>
      </c>
      <c r="H8" s="428"/>
      <c r="I8" s="428"/>
      <c r="J8" s="428"/>
      <c r="K8" s="428"/>
      <c r="L8" s="428"/>
    </row>
    <row r="9" spans="1:12" ht="27.75" hidden="1" customHeight="1" x14ac:dyDescent="0.25">
      <c r="A9" s="277">
        <v>1</v>
      </c>
      <c r="B9" s="34" t="s">
        <v>148</v>
      </c>
      <c r="C9" s="73">
        <f t="shared" ref="C9:C16" si="0">D9</f>
        <v>0</v>
      </c>
      <c r="D9" s="73">
        <f t="shared" ref="D9:D16" si="1">F9</f>
        <v>0</v>
      </c>
      <c r="E9" s="429"/>
      <c r="F9" s="73">
        <f t="shared" ref="F9:F16" si="2">SUM(G9:H9)</f>
        <v>0</v>
      </c>
      <c r="G9" s="73"/>
      <c r="H9" s="429"/>
      <c r="I9" s="429"/>
      <c r="J9" s="429"/>
      <c r="K9" s="429"/>
      <c r="L9" s="429"/>
    </row>
    <row r="10" spans="1:12" ht="27.75" customHeight="1" x14ac:dyDescent="0.25">
      <c r="A10" s="277">
        <v>1</v>
      </c>
      <c r="B10" s="34" t="s">
        <v>149</v>
      </c>
      <c r="C10" s="73">
        <f t="shared" si="0"/>
        <v>1000</v>
      </c>
      <c r="D10" s="73">
        <f t="shared" si="1"/>
        <v>1000</v>
      </c>
      <c r="E10" s="429"/>
      <c r="F10" s="73">
        <f t="shared" si="2"/>
        <v>1000</v>
      </c>
      <c r="G10" s="73">
        <v>1000</v>
      </c>
      <c r="H10" s="429"/>
      <c r="I10" s="429"/>
      <c r="J10" s="429"/>
      <c r="K10" s="429"/>
      <c r="L10" s="429"/>
    </row>
    <row r="11" spans="1:12" ht="27.75" customHeight="1" x14ac:dyDescent="0.25">
      <c r="A11" s="277">
        <v>2</v>
      </c>
      <c r="B11" s="34" t="s">
        <v>385</v>
      </c>
      <c r="C11" s="73">
        <f t="shared" si="0"/>
        <v>700</v>
      </c>
      <c r="D11" s="73">
        <f t="shared" si="1"/>
        <v>700</v>
      </c>
      <c r="E11" s="429"/>
      <c r="F11" s="73">
        <f t="shared" si="2"/>
        <v>700</v>
      </c>
      <c r="G11" s="73">
        <v>700</v>
      </c>
      <c r="H11" s="429"/>
      <c r="I11" s="429"/>
      <c r="J11" s="429"/>
      <c r="K11" s="429"/>
      <c r="L11" s="429"/>
    </row>
    <row r="12" spans="1:12" ht="27.75" customHeight="1" x14ac:dyDescent="0.25">
      <c r="A12" s="277">
        <v>3</v>
      </c>
      <c r="B12" s="34" t="s">
        <v>151</v>
      </c>
      <c r="C12" s="73">
        <f t="shared" si="0"/>
        <v>1000</v>
      </c>
      <c r="D12" s="73">
        <f t="shared" si="1"/>
        <v>1000</v>
      </c>
      <c r="E12" s="429"/>
      <c r="F12" s="73">
        <f t="shared" si="2"/>
        <v>1000</v>
      </c>
      <c r="G12" s="73">
        <v>1000</v>
      </c>
      <c r="H12" s="429"/>
      <c r="I12" s="429"/>
      <c r="J12" s="429"/>
      <c r="K12" s="429"/>
      <c r="L12" s="429"/>
    </row>
    <row r="13" spans="1:12" ht="27.75" customHeight="1" x14ac:dyDescent="0.25">
      <c r="A13" s="277">
        <v>4</v>
      </c>
      <c r="B13" s="34" t="s">
        <v>152</v>
      </c>
      <c r="C13" s="73">
        <f t="shared" si="0"/>
        <v>1000</v>
      </c>
      <c r="D13" s="73">
        <f t="shared" si="1"/>
        <v>1000</v>
      </c>
      <c r="E13" s="429"/>
      <c r="F13" s="73">
        <f t="shared" si="2"/>
        <v>1000</v>
      </c>
      <c r="G13" s="73">
        <v>1000</v>
      </c>
      <c r="H13" s="429"/>
      <c r="I13" s="429"/>
      <c r="J13" s="429"/>
      <c r="K13" s="429"/>
      <c r="L13" s="429"/>
    </row>
    <row r="14" spans="1:12" ht="27.75" customHeight="1" x14ac:dyDescent="0.25">
      <c r="A14" s="277">
        <v>5</v>
      </c>
      <c r="B14" s="34" t="s">
        <v>153</v>
      </c>
      <c r="C14" s="73">
        <f t="shared" si="0"/>
        <v>1000</v>
      </c>
      <c r="D14" s="73">
        <f t="shared" si="1"/>
        <v>1000</v>
      </c>
      <c r="E14" s="429"/>
      <c r="F14" s="73">
        <f t="shared" si="2"/>
        <v>1000</v>
      </c>
      <c r="G14" s="73">
        <v>1000</v>
      </c>
      <c r="H14" s="429"/>
      <c r="I14" s="429"/>
      <c r="J14" s="429"/>
      <c r="K14" s="429"/>
      <c r="L14" s="429"/>
    </row>
    <row r="15" spans="1:12" ht="27.75" customHeight="1" x14ac:dyDescent="0.25">
      <c r="A15" s="277">
        <v>6</v>
      </c>
      <c r="B15" s="34" t="s">
        <v>154</v>
      </c>
      <c r="C15" s="73">
        <f t="shared" si="0"/>
        <v>1000</v>
      </c>
      <c r="D15" s="73">
        <f t="shared" si="1"/>
        <v>1000</v>
      </c>
      <c r="E15" s="429"/>
      <c r="F15" s="73">
        <f t="shared" si="2"/>
        <v>1000</v>
      </c>
      <c r="G15" s="73">
        <v>1000</v>
      </c>
      <c r="H15" s="429"/>
      <c r="I15" s="429"/>
      <c r="J15" s="429"/>
      <c r="K15" s="429"/>
      <c r="L15" s="429"/>
    </row>
    <row r="16" spans="1:12" ht="27.75" customHeight="1" x14ac:dyDescent="0.25">
      <c r="A16" s="94">
        <v>7</v>
      </c>
      <c r="B16" s="35" t="s">
        <v>155</v>
      </c>
      <c r="C16" s="430">
        <f t="shared" si="0"/>
        <v>1000</v>
      </c>
      <c r="D16" s="430">
        <f t="shared" si="1"/>
        <v>1000</v>
      </c>
      <c r="E16" s="431"/>
      <c r="F16" s="430">
        <f t="shared" si="2"/>
        <v>1000</v>
      </c>
      <c r="G16" s="430">
        <v>1000</v>
      </c>
      <c r="H16" s="431"/>
      <c r="I16" s="431"/>
      <c r="J16" s="431"/>
      <c r="K16" s="431"/>
      <c r="L16" s="431"/>
    </row>
    <row r="17" spans="1:12" x14ac:dyDescent="0.25">
      <c r="A17" s="2113"/>
      <c r="B17" s="2113"/>
      <c r="C17" s="2113"/>
      <c r="D17" s="2113"/>
      <c r="E17" s="2113"/>
      <c r="F17" s="2113"/>
      <c r="G17" s="2113"/>
      <c r="H17" s="2113"/>
      <c r="I17" s="2113"/>
      <c r="J17" s="2113"/>
      <c r="K17" s="2113"/>
      <c r="L17" s="2113"/>
    </row>
  </sheetData>
  <mergeCells count="9">
    <mergeCell ref="A17:L17"/>
    <mergeCell ref="A2:L2"/>
    <mergeCell ref="A3:L3"/>
    <mergeCell ref="A5:A6"/>
    <mergeCell ref="B5:B6"/>
    <mergeCell ref="C5:E5"/>
    <mergeCell ref="F5:H5"/>
    <mergeCell ref="I5:K5"/>
    <mergeCell ref="L5:L6"/>
  </mergeCells>
  <pageMargins left="0.95" right="0.34" top="0.66" bottom="0.75" header="0.46" footer="0.3"/>
  <pageSetup paperSize="9" firstPageNumber="133" orientation="portrait" useFirstPageNumber="1" r:id="rId1"/>
  <headerFooter>
    <oddHeader>&amp;RBiểu mẫu số 43</oddHeader>
    <oddFooter>&amp;C&amp;P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X53"/>
  <sheetViews>
    <sheetView topLeftCell="A4" workbookViewId="0">
      <pane xSplit="2" ySplit="2" topLeftCell="C12" activePane="bottomRight" state="frozen"/>
      <selection activeCell="A4" sqref="A4"/>
      <selection pane="topRight" activeCell="C4" sqref="C4"/>
      <selection pane="bottomLeft" activeCell="A6" sqref="A6"/>
      <selection pane="bottomRight" activeCell="J20" sqref="J20"/>
    </sheetView>
  </sheetViews>
  <sheetFormatPr defaultRowHeight="12.75" x14ac:dyDescent="0.2"/>
  <cols>
    <col min="1" max="1" width="4.75" style="1870" customWidth="1"/>
    <col min="2" max="2" width="56.875" style="111" customWidth="1"/>
    <col min="3" max="3" width="9.25" style="111" customWidth="1"/>
    <col min="4" max="4" width="6.625" style="111" customWidth="1"/>
    <col min="5" max="5" width="6.875" style="111" hidden="1" customWidth="1"/>
    <col min="6" max="6" width="7.125" style="111" customWidth="1"/>
    <col min="7" max="7" width="7.75" style="111" hidden="1" customWidth="1"/>
    <col min="8" max="8" width="7.875" style="111" customWidth="1"/>
    <col min="9" max="9" width="6.875" style="111" hidden="1" customWidth="1"/>
    <col min="10" max="10" width="7.25" style="111" customWidth="1"/>
    <col min="11" max="11" width="7.25" style="111" hidden="1" customWidth="1"/>
    <col min="12" max="12" width="6.875" style="111" customWidth="1"/>
    <col min="13" max="13" width="6" style="111" hidden="1" customWidth="1"/>
    <col min="14" max="14" width="6.625" style="111" customWidth="1"/>
    <col min="15" max="15" width="7.25" style="111" hidden="1" customWidth="1"/>
    <col min="16" max="16" width="6.5" style="111" customWidth="1"/>
    <col min="17" max="17" width="7.5" style="111" hidden="1" customWidth="1"/>
    <col min="18" max="18" width="7" style="111" customWidth="1"/>
    <col min="19" max="19" width="7" style="111" hidden="1" customWidth="1"/>
    <col min="20" max="20" width="7.5" style="741" customWidth="1"/>
    <col min="21" max="23" width="9" style="111" customWidth="1"/>
    <col min="24" max="264" width="9" style="111"/>
    <col min="265" max="265" width="4.75" style="111" customWidth="1"/>
    <col min="266" max="266" width="43.5" style="111" customWidth="1"/>
    <col min="267" max="267" width="7" style="111" customWidth="1"/>
    <col min="268" max="268" width="8" style="111" customWidth="1"/>
    <col min="269" max="269" width="7.5" style="111" customWidth="1"/>
    <col min="270" max="270" width="6.875" style="111" customWidth="1"/>
    <col min="271" max="271" width="7.25" style="111" customWidth="1"/>
    <col min="272" max="272" width="6.875" style="111" customWidth="1"/>
    <col min="273" max="273" width="6.625" style="111" customWidth="1"/>
    <col min="274" max="274" width="6.5" style="111" customWidth="1"/>
    <col min="275" max="275" width="7" style="111" customWidth="1"/>
    <col min="276" max="520" width="9" style="111"/>
    <col min="521" max="521" width="4.75" style="111" customWidth="1"/>
    <col min="522" max="522" width="43.5" style="111" customWidth="1"/>
    <col min="523" max="523" width="7" style="111" customWidth="1"/>
    <col min="524" max="524" width="8" style="111" customWidth="1"/>
    <col min="525" max="525" width="7.5" style="111" customWidth="1"/>
    <col min="526" max="526" width="6.875" style="111" customWidth="1"/>
    <col min="527" max="527" width="7.25" style="111" customWidth="1"/>
    <col min="528" max="528" width="6.875" style="111" customWidth="1"/>
    <col min="529" max="529" width="6.625" style="111" customWidth="1"/>
    <col min="530" max="530" width="6.5" style="111" customWidth="1"/>
    <col min="531" max="531" width="7" style="111" customWidth="1"/>
    <col min="532" max="776" width="9" style="111"/>
    <col min="777" max="777" width="4.75" style="111" customWidth="1"/>
    <col min="778" max="778" width="43.5" style="111" customWidth="1"/>
    <col min="779" max="779" width="7" style="111" customWidth="1"/>
    <col min="780" max="780" width="8" style="111" customWidth="1"/>
    <col min="781" max="781" width="7.5" style="111" customWidth="1"/>
    <col min="782" max="782" width="6.875" style="111" customWidth="1"/>
    <col min="783" max="783" width="7.25" style="111" customWidth="1"/>
    <col min="784" max="784" width="6.875" style="111" customWidth="1"/>
    <col min="785" max="785" width="6.625" style="111" customWidth="1"/>
    <col min="786" max="786" width="6.5" style="111" customWidth="1"/>
    <col min="787" max="787" width="7" style="111" customWidth="1"/>
    <col min="788" max="1032" width="9" style="111"/>
    <col min="1033" max="1033" width="4.75" style="111" customWidth="1"/>
    <col min="1034" max="1034" width="43.5" style="111" customWidth="1"/>
    <col min="1035" max="1035" width="7" style="111" customWidth="1"/>
    <col min="1036" max="1036" width="8" style="111" customWidth="1"/>
    <col min="1037" max="1037" width="7.5" style="111" customWidth="1"/>
    <col min="1038" max="1038" width="6.875" style="111" customWidth="1"/>
    <col min="1039" max="1039" width="7.25" style="111" customWidth="1"/>
    <col min="1040" max="1040" width="6.875" style="111" customWidth="1"/>
    <col min="1041" max="1041" width="6.625" style="111" customWidth="1"/>
    <col min="1042" max="1042" width="6.5" style="111" customWidth="1"/>
    <col min="1043" max="1043" width="7" style="111" customWidth="1"/>
    <col min="1044" max="1288" width="9" style="111"/>
    <col min="1289" max="1289" width="4.75" style="111" customWidth="1"/>
    <col min="1290" max="1290" width="43.5" style="111" customWidth="1"/>
    <col min="1291" max="1291" width="7" style="111" customWidth="1"/>
    <col min="1292" max="1292" width="8" style="111" customWidth="1"/>
    <col min="1293" max="1293" width="7.5" style="111" customWidth="1"/>
    <col min="1294" max="1294" width="6.875" style="111" customWidth="1"/>
    <col min="1295" max="1295" width="7.25" style="111" customWidth="1"/>
    <col min="1296" max="1296" width="6.875" style="111" customWidth="1"/>
    <col min="1297" max="1297" width="6.625" style="111" customWidth="1"/>
    <col min="1298" max="1298" width="6.5" style="111" customWidth="1"/>
    <col min="1299" max="1299" width="7" style="111" customWidth="1"/>
    <col min="1300" max="1544" width="9" style="111"/>
    <col min="1545" max="1545" width="4.75" style="111" customWidth="1"/>
    <col min="1546" max="1546" width="43.5" style="111" customWidth="1"/>
    <col min="1547" max="1547" width="7" style="111" customWidth="1"/>
    <col min="1548" max="1548" width="8" style="111" customWidth="1"/>
    <col min="1549" max="1549" width="7.5" style="111" customWidth="1"/>
    <col min="1550" max="1550" width="6.875" style="111" customWidth="1"/>
    <col min="1551" max="1551" width="7.25" style="111" customWidth="1"/>
    <col min="1552" max="1552" width="6.875" style="111" customWidth="1"/>
    <col min="1553" max="1553" width="6.625" style="111" customWidth="1"/>
    <col min="1554" max="1554" width="6.5" style="111" customWidth="1"/>
    <col min="1555" max="1555" width="7" style="111" customWidth="1"/>
    <col min="1556" max="1800" width="9" style="111"/>
    <col min="1801" max="1801" width="4.75" style="111" customWidth="1"/>
    <col min="1802" max="1802" width="43.5" style="111" customWidth="1"/>
    <col min="1803" max="1803" width="7" style="111" customWidth="1"/>
    <col min="1804" max="1804" width="8" style="111" customWidth="1"/>
    <col min="1805" max="1805" width="7.5" style="111" customWidth="1"/>
    <col min="1806" max="1806" width="6.875" style="111" customWidth="1"/>
    <col min="1807" max="1807" width="7.25" style="111" customWidth="1"/>
    <col min="1808" max="1808" width="6.875" style="111" customWidth="1"/>
    <col min="1809" max="1809" width="6.625" style="111" customWidth="1"/>
    <col min="1810" max="1810" width="6.5" style="111" customWidth="1"/>
    <col min="1811" max="1811" width="7" style="111" customWidth="1"/>
    <col min="1812" max="2056" width="9" style="111"/>
    <col min="2057" max="2057" width="4.75" style="111" customWidth="1"/>
    <col min="2058" max="2058" width="43.5" style="111" customWidth="1"/>
    <col min="2059" max="2059" width="7" style="111" customWidth="1"/>
    <col min="2060" max="2060" width="8" style="111" customWidth="1"/>
    <col min="2061" max="2061" width="7.5" style="111" customWidth="1"/>
    <col min="2062" max="2062" width="6.875" style="111" customWidth="1"/>
    <col min="2063" max="2063" width="7.25" style="111" customWidth="1"/>
    <col min="2064" max="2064" width="6.875" style="111" customWidth="1"/>
    <col min="2065" max="2065" width="6.625" style="111" customWidth="1"/>
    <col min="2066" max="2066" width="6.5" style="111" customWidth="1"/>
    <col min="2067" max="2067" width="7" style="111" customWidth="1"/>
    <col min="2068" max="2312" width="9" style="111"/>
    <col min="2313" max="2313" width="4.75" style="111" customWidth="1"/>
    <col min="2314" max="2314" width="43.5" style="111" customWidth="1"/>
    <col min="2315" max="2315" width="7" style="111" customWidth="1"/>
    <col min="2316" max="2316" width="8" style="111" customWidth="1"/>
    <col min="2317" max="2317" width="7.5" style="111" customWidth="1"/>
    <col min="2318" max="2318" width="6.875" style="111" customWidth="1"/>
    <col min="2319" max="2319" width="7.25" style="111" customWidth="1"/>
    <col min="2320" max="2320" width="6.875" style="111" customWidth="1"/>
    <col min="2321" max="2321" width="6.625" style="111" customWidth="1"/>
    <col min="2322" max="2322" width="6.5" style="111" customWidth="1"/>
    <col min="2323" max="2323" width="7" style="111" customWidth="1"/>
    <col min="2324" max="2568" width="9" style="111"/>
    <col min="2569" max="2569" width="4.75" style="111" customWidth="1"/>
    <col min="2570" max="2570" width="43.5" style="111" customWidth="1"/>
    <col min="2571" max="2571" width="7" style="111" customWidth="1"/>
    <col min="2572" max="2572" width="8" style="111" customWidth="1"/>
    <col min="2573" max="2573" width="7.5" style="111" customWidth="1"/>
    <col min="2574" max="2574" width="6.875" style="111" customWidth="1"/>
    <col min="2575" max="2575" width="7.25" style="111" customWidth="1"/>
    <col min="2576" max="2576" width="6.875" style="111" customWidth="1"/>
    <col min="2577" max="2577" width="6.625" style="111" customWidth="1"/>
    <col min="2578" max="2578" width="6.5" style="111" customWidth="1"/>
    <col min="2579" max="2579" width="7" style="111" customWidth="1"/>
    <col min="2580" max="2824" width="9" style="111"/>
    <col min="2825" max="2825" width="4.75" style="111" customWidth="1"/>
    <col min="2826" max="2826" width="43.5" style="111" customWidth="1"/>
    <col min="2827" max="2827" width="7" style="111" customWidth="1"/>
    <col min="2828" max="2828" width="8" style="111" customWidth="1"/>
    <col min="2829" max="2829" width="7.5" style="111" customWidth="1"/>
    <col min="2830" max="2830" width="6.875" style="111" customWidth="1"/>
    <col min="2831" max="2831" width="7.25" style="111" customWidth="1"/>
    <col min="2832" max="2832" width="6.875" style="111" customWidth="1"/>
    <col min="2833" max="2833" width="6.625" style="111" customWidth="1"/>
    <col min="2834" max="2834" width="6.5" style="111" customWidth="1"/>
    <col min="2835" max="2835" width="7" style="111" customWidth="1"/>
    <col min="2836" max="3080" width="9" style="111"/>
    <col min="3081" max="3081" width="4.75" style="111" customWidth="1"/>
    <col min="3082" max="3082" width="43.5" style="111" customWidth="1"/>
    <col min="3083" max="3083" width="7" style="111" customWidth="1"/>
    <col min="3084" max="3084" width="8" style="111" customWidth="1"/>
    <col min="3085" max="3085" width="7.5" style="111" customWidth="1"/>
    <col min="3086" max="3086" width="6.875" style="111" customWidth="1"/>
    <col min="3087" max="3087" width="7.25" style="111" customWidth="1"/>
    <col min="3088" max="3088" width="6.875" style="111" customWidth="1"/>
    <col min="3089" max="3089" width="6.625" style="111" customWidth="1"/>
    <col min="3090" max="3090" width="6.5" style="111" customWidth="1"/>
    <col min="3091" max="3091" width="7" style="111" customWidth="1"/>
    <col min="3092" max="3336" width="9" style="111"/>
    <col min="3337" max="3337" width="4.75" style="111" customWidth="1"/>
    <col min="3338" max="3338" width="43.5" style="111" customWidth="1"/>
    <col min="3339" max="3339" width="7" style="111" customWidth="1"/>
    <col min="3340" max="3340" width="8" style="111" customWidth="1"/>
    <col min="3341" max="3341" width="7.5" style="111" customWidth="1"/>
    <col min="3342" max="3342" width="6.875" style="111" customWidth="1"/>
    <col min="3343" max="3343" width="7.25" style="111" customWidth="1"/>
    <col min="3344" max="3344" width="6.875" style="111" customWidth="1"/>
    <col min="3345" max="3345" width="6.625" style="111" customWidth="1"/>
    <col min="3346" max="3346" width="6.5" style="111" customWidth="1"/>
    <col min="3347" max="3347" width="7" style="111" customWidth="1"/>
    <col min="3348" max="3592" width="9" style="111"/>
    <col min="3593" max="3593" width="4.75" style="111" customWidth="1"/>
    <col min="3594" max="3594" width="43.5" style="111" customWidth="1"/>
    <col min="3595" max="3595" width="7" style="111" customWidth="1"/>
    <col min="3596" max="3596" width="8" style="111" customWidth="1"/>
    <col min="3597" max="3597" width="7.5" style="111" customWidth="1"/>
    <col min="3598" max="3598" width="6.875" style="111" customWidth="1"/>
    <col min="3599" max="3599" width="7.25" style="111" customWidth="1"/>
    <col min="3600" max="3600" width="6.875" style="111" customWidth="1"/>
    <col min="3601" max="3601" width="6.625" style="111" customWidth="1"/>
    <col min="3602" max="3602" width="6.5" style="111" customWidth="1"/>
    <col min="3603" max="3603" width="7" style="111" customWidth="1"/>
    <col min="3604" max="3848" width="9" style="111"/>
    <col min="3849" max="3849" width="4.75" style="111" customWidth="1"/>
    <col min="3850" max="3850" width="43.5" style="111" customWidth="1"/>
    <col min="3851" max="3851" width="7" style="111" customWidth="1"/>
    <col min="3852" max="3852" width="8" style="111" customWidth="1"/>
    <col min="3853" max="3853" width="7.5" style="111" customWidth="1"/>
    <col min="3854" max="3854" width="6.875" style="111" customWidth="1"/>
    <col min="3855" max="3855" width="7.25" style="111" customWidth="1"/>
    <col min="3856" max="3856" width="6.875" style="111" customWidth="1"/>
    <col min="3857" max="3857" width="6.625" style="111" customWidth="1"/>
    <col min="3858" max="3858" width="6.5" style="111" customWidth="1"/>
    <col min="3859" max="3859" width="7" style="111" customWidth="1"/>
    <col min="3860" max="4104" width="9" style="111"/>
    <col min="4105" max="4105" width="4.75" style="111" customWidth="1"/>
    <col min="4106" max="4106" width="43.5" style="111" customWidth="1"/>
    <col min="4107" max="4107" width="7" style="111" customWidth="1"/>
    <col min="4108" max="4108" width="8" style="111" customWidth="1"/>
    <col min="4109" max="4109" width="7.5" style="111" customWidth="1"/>
    <col min="4110" max="4110" width="6.875" style="111" customWidth="1"/>
    <col min="4111" max="4111" width="7.25" style="111" customWidth="1"/>
    <col min="4112" max="4112" width="6.875" style="111" customWidth="1"/>
    <col min="4113" max="4113" width="6.625" style="111" customWidth="1"/>
    <col min="4114" max="4114" width="6.5" style="111" customWidth="1"/>
    <col min="4115" max="4115" width="7" style="111" customWidth="1"/>
    <col min="4116" max="4360" width="9" style="111"/>
    <col min="4361" max="4361" width="4.75" style="111" customWidth="1"/>
    <col min="4362" max="4362" width="43.5" style="111" customWidth="1"/>
    <col min="4363" max="4363" width="7" style="111" customWidth="1"/>
    <col min="4364" max="4364" width="8" style="111" customWidth="1"/>
    <col min="4365" max="4365" width="7.5" style="111" customWidth="1"/>
    <col min="4366" max="4366" width="6.875" style="111" customWidth="1"/>
    <col min="4367" max="4367" width="7.25" style="111" customWidth="1"/>
    <col min="4368" max="4368" width="6.875" style="111" customWidth="1"/>
    <col min="4369" max="4369" width="6.625" style="111" customWidth="1"/>
    <col min="4370" max="4370" width="6.5" style="111" customWidth="1"/>
    <col min="4371" max="4371" width="7" style="111" customWidth="1"/>
    <col min="4372" max="4616" width="9" style="111"/>
    <col min="4617" max="4617" width="4.75" style="111" customWidth="1"/>
    <col min="4618" max="4618" width="43.5" style="111" customWidth="1"/>
    <col min="4619" max="4619" width="7" style="111" customWidth="1"/>
    <col min="4620" max="4620" width="8" style="111" customWidth="1"/>
    <col min="4621" max="4621" width="7.5" style="111" customWidth="1"/>
    <col min="4622" max="4622" width="6.875" style="111" customWidth="1"/>
    <col min="4623" max="4623" width="7.25" style="111" customWidth="1"/>
    <col min="4624" max="4624" width="6.875" style="111" customWidth="1"/>
    <col min="4625" max="4625" width="6.625" style="111" customWidth="1"/>
    <col min="4626" max="4626" width="6.5" style="111" customWidth="1"/>
    <col min="4627" max="4627" width="7" style="111" customWidth="1"/>
    <col min="4628" max="4872" width="9" style="111"/>
    <col min="4873" max="4873" width="4.75" style="111" customWidth="1"/>
    <col min="4874" max="4874" width="43.5" style="111" customWidth="1"/>
    <col min="4875" max="4875" width="7" style="111" customWidth="1"/>
    <col min="4876" max="4876" width="8" style="111" customWidth="1"/>
    <col min="4877" max="4877" width="7.5" style="111" customWidth="1"/>
    <col min="4878" max="4878" width="6.875" style="111" customWidth="1"/>
    <col min="4879" max="4879" width="7.25" style="111" customWidth="1"/>
    <col min="4880" max="4880" width="6.875" style="111" customWidth="1"/>
    <col min="4881" max="4881" width="6.625" style="111" customWidth="1"/>
    <col min="4882" max="4882" width="6.5" style="111" customWidth="1"/>
    <col min="4883" max="4883" width="7" style="111" customWidth="1"/>
    <col min="4884" max="5128" width="9" style="111"/>
    <col min="5129" max="5129" width="4.75" style="111" customWidth="1"/>
    <col min="5130" max="5130" width="43.5" style="111" customWidth="1"/>
    <col min="5131" max="5131" width="7" style="111" customWidth="1"/>
    <col min="5132" max="5132" width="8" style="111" customWidth="1"/>
    <col min="5133" max="5133" width="7.5" style="111" customWidth="1"/>
    <col min="5134" max="5134" width="6.875" style="111" customWidth="1"/>
    <col min="5135" max="5135" width="7.25" style="111" customWidth="1"/>
    <col min="5136" max="5136" width="6.875" style="111" customWidth="1"/>
    <col min="5137" max="5137" width="6.625" style="111" customWidth="1"/>
    <col min="5138" max="5138" width="6.5" style="111" customWidth="1"/>
    <col min="5139" max="5139" width="7" style="111" customWidth="1"/>
    <col min="5140" max="5384" width="9" style="111"/>
    <col min="5385" max="5385" width="4.75" style="111" customWidth="1"/>
    <col min="5386" max="5386" width="43.5" style="111" customWidth="1"/>
    <col min="5387" max="5387" width="7" style="111" customWidth="1"/>
    <col min="5388" max="5388" width="8" style="111" customWidth="1"/>
    <col min="5389" max="5389" width="7.5" style="111" customWidth="1"/>
    <col min="5390" max="5390" width="6.875" style="111" customWidth="1"/>
    <col min="5391" max="5391" width="7.25" style="111" customWidth="1"/>
    <col min="5392" max="5392" width="6.875" style="111" customWidth="1"/>
    <col min="5393" max="5393" width="6.625" style="111" customWidth="1"/>
    <col min="5394" max="5394" width="6.5" style="111" customWidth="1"/>
    <col min="5395" max="5395" width="7" style="111" customWidth="1"/>
    <col min="5396" max="5640" width="9" style="111"/>
    <col min="5641" max="5641" width="4.75" style="111" customWidth="1"/>
    <col min="5642" max="5642" width="43.5" style="111" customWidth="1"/>
    <col min="5643" max="5643" width="7" style="111" customWidth="1"/>
    <col min="5644" max="5644" width="8" style="111" customWidth="1"/>
    <col min="5645" max="5645" width="7.5" style="111" customWidth="1"/>
    <col min="5646" max="5646" width="6.875" style="111" customWidth="1"/>
    <col min="5647" max="5647" width="7.25" style="111" customWidth="1"/>
    <col min="5648" max="5648" width="6.875" style="111" customWidth="1"/>
    <col min="5649" max="5649" width="6.625" style="111" customWidth="1"/>
    <col min="5650" max="5650" width="6.5" style="111" customWidth="1"/>
    <col min="5651" max="5651" width="7" style="111" customWidth="1"/>
    <col min="5652" max="5896" width="9" style="111"/>
    <col min="5897" max="5897" width="4.75" style="111" customWidth="1"/>
    <col min="5898" max="5898" width="43.5" style="111" customWidth="1"/>
    <col min="5899" max="5899" width="7" style="111" customWidth="1"/>
    <col min="5900" max="5900" width="8" style="111" customWidth="1"/>
    <col min="5901" max="5901" width="7.5" style="111" customWidth="1"/>
    <col min="5902" max="5902" width="6.875" style="111" customWidth="1"/>
    <col min="5903" max="5903" width="7.25" style="111" customWidth="1"/>
    <col min="5904" max="5904" width="6.875" style="111" customWidth="1"/>
    <col min="5905" max="5905" width="6.625" style="111" customWidth="1"/>
    <col min="5906" max="5906" width="6.5" style="111" customWidth="1"/>
    <col min="5907" max="5907" width="7" style="111" customWidth="1"/>
    <col min="5908" max="6152" width="9" style="111"/>
    <col min="6153" max="6153" width="4.75" style="111" customWidth="1"/>
    <col min="6154" max="6154" width="43.5" style="111" customWidth="1"/>
    <col min="6155" max="6155" width="7" style="111" customWidth="1"/>
    <col min="6156" max="6156" width="8" style="111" customWidth="1"/>
    <col min="6157" max="6157" width="7.5" style="111" customWidth="1"/>
    <col min="6158" max="6158" width="6.875" style="111" customWidth="1"/>
    <col min="6159" max="6159" width="7.25" style="111" customWidth="1"/>
    <col min="6160" max="6160" width="6.875" style="111" customWidth="1"/>
    <col min="6161" max="6161" width="6.625" style="111" customWidth="1"/>
    <col min="6162" max="6162" width="6.5" style="111" customWidth="1"/>
    <col min="6163" max="6163" width="7" style="111" customWidth="1"/>
    <col min="6164" max="6408" width="9" style="111"/>
    <col min="6409" max="6409" width="4.75" style="111" customWidth="1"/>
    <col min="6410" max="6410" width="43.5" style="111" customWidth="1"/>
    <col min="6411" max="6411" width="7" style="111" customWidth="1"/>
    <col min="6412" max="6412" width="8" style="111" customWidth="1"/>
    <col min="6413" max="6413" width="7.5" style="111" customWidth="1"/>
    <col min="6414" max="6414" width="6.875" style="111" customWidth="1"/>
    <col min="6415" max="6415" width="7.25" style="111" customWidth="1"/>
    <col min="6416" max="6416" width="6.875" style="111" customWidth="1"/>
    <col min="6417" max="6417" width="6.625" style="111" customWidth="1"/>
    <col min="6418" max="6418" width="6.5" style="111" customWidth="1"/>
    <col min="6419" max="6419" width="7" style="111" customWidth="1"/>
    <col min="6420" max="6664" width="9" style="111"/>
    <col min="6665" max="6665" width="4.75" style="111" customWidth="1"/>
    <col min="6666" max="6666" width="43.5" style="111" customWidth="1"/>
    <col min="6667" max="6667" width="7" style="111" customWidth="1"/>
    <col min="6668" max="6668" width="8" style="111" customWidth="1"/>
    <col min="6669" max="6669" width="7.5" style="111" customWidth="1"/>
    <col min="6670" max="6670" width="6.875" style="111" customWidth="1"/>
    <col min="6671" max="6671" width="7.25" style="111" customWidth="1"/>
    <col min="6672" max="6672" width="6.875" style="111" customWidth="1"/>
    <col min="6673" max="6673" width="6.625" style="111" customWidth="1"/>
    <col min="6674" max="6674" width="6.5" style="111" customWidth="1"/>
    <col min="6675" max="6675" width="7" style="111" customWidth="1"/>
    <col min="6676" max="6920" width="9" style="111"/>
    <col min="6921" max="6921" width="4.75" style="111" customWidth="1"/>
    <col min="6922" max="6922" width="43.5" style="111" customWidth="1"/>
    <col min="6923" max="6923" width="7" style="111" customWidth="1"/>
    <col min="6924" max="6924" width="8" style="111" customWidth="1"/>
    <col min="6925" max="6925" width="7.5" style="111" customWidth="1"/>
    <col min="6926" max="6926" width="6.875" style="111" customWidth="1"/>
    <col min="6927" max="6927" width="7.25" style="111" customWidth="1"/>
    <col min="6928" max="6928" width="6.875" style="111" customWidth="1"/>
    <col min="6929" max="6929" width="6.625" style="111" customWidth="1"/>
    <col min="6930" max="6930" width="6.5" style="111" customWidth="1"/>
    <col min="6931" max="6931" width="7" style="111" customWidth="1"/>
    <col min="6932" max="7176" width="9" style="111"/>
    <col min="7177" max="7177" width="4.75" style="111" customWidth="1"/>
    <col min="7178" max="7178" width="43.5" style="111" customWidth="1"/>
    <col min="7179" max="7179" width="7" style="111" customWidth="1"/>
    <col min="7180" max="7180" width="8" style="111" customWidth="1"/>
    <col min="7181" max="7181" width="7.5" style="111" customWidth="1"/>
    <col min="7182" max="7182" width="6.875" style="111" customWidth="1"/>
    <col min="7183" max="7183" width="7.25" style="111" customWidth="1"/>
    <col min="7184" max="7184" width="6.875" style="111" customWidth="1"/>
    <col min="7185" max="7185" width="6.625" style="111" customWidth="1"/>
    <col min="7186" max="7186" width="6.5" style="111" customWidth="1"/>
    <col min="7187" max="7187" width="7" style="111" customWidth="1"/>
    <col min="7188" max="7432" width="9" style="111"/>
    <col min="7433" max="7433" width="4.75" style="111" customWidth="1"/>
    <col min="7434" max="7434" width="43.5" style="111" customWidth="1"/>
    <col min="7435" max="7435" width="7" style="111" customWidth="1"/>
    <col min="7436" max="7436" width="8" style="111" customWidth="1"/>
    <col min="7437" max="7437" width="7.5" style="111" customWidth="1"/>
    <col min="7438" max="7438" width="6.875" style="111" customWidth="1"/>
    <col min="7439" max="7439" width="7.25" style="111" customWidth="1"/>
    <col min="7440" max="7440" width="6.875" style="111" customWidth="1"/>
    <col min="7441" max="7441" width="6.625" style="111" customWidth="1"/>
    <col min="7442" max="7442" width="6.5" style="111" customWidth="1"/>
    <col min="7443" max="7443" width="7" style="111" customWidth="1"/>
    <col min="7444" max="7688" width="9" style="111"/>
    <col min="7689" max="7689" width="4.75" style="111" customWidth="1"/>
    <col min="7690" max="7690" width="43.5" style="111" customWidth="1"/>
    <col min="7691" max="7691" width="7" style="111" customWidth="1"/>
    <col min="7692" max="7692" width="8" style="111" customWidth="1"/>
    <col min="7693" max="7693" width="7.5" style="111" customWidth="1"/>
    <col min="7694" max="7694" width="6.875" style="111" customWidth="1"/>
    <col min="7695" max="7695" width="7.25" style="111" customWidth="1"/>
    <col min="7696" max="7696" width="6.875" style="111" customWidth="1"/>
    <col min="7697" max="7697" width="6.625" style="111" customWidth="1"/>
    <col min="7698" max="7698" width="6.5" style="111" customWidth="1"/>
    <col min="7699" max="7699" width="7" style="111" customWidth="1"/>
    <col min="7700" max="7944" width="9" style="111"/>
    <col min="7945" max="7945" width="4.75" style="111" customWidth="1"/>
    <col min="7946" max="7946" width="43.5" style="111" customWidth="1"/>
    <col min="7947" max="7947" width="7" style="111" customWidth="1"/>
    <col min="7948" max="7948" width="8" style="111" customWidth="1"/>
    <col min="7949" max="7949" width="7.5" style="111" customWidth="1"/>
    <col min="7950" max="7950" width="6.875" style="111" customWidth="1"/>
    <col min="7951" max="7951" width="7.25" style="111" customWidth="1"/>
    <col min="7952" max="7952" width="6.875" style="111" customWidth="1"/>
    <col min="7953" max="7953" width="6.625" style="111" customWidth="1"/>
    <col min="7954" max="7954" width="6.5" style="111" customWidth="1"/>
    <col min="7955" max="7955" width="7" style="111" customWidth="1"/>
    <col min="7956" max="8200" width="9" style="111"/>
    <col min="8201" max="8201" width="4.75" style="111" customWidth="1"/>
    <col min="8202" max="8202" width="43.5" style="111" customWidth="1"/>
    <col min="8203" max="8203" width="7" style="111" customWidth="1"/>
    <col min="8204" max="8204" width="8" style="111" customWidth="1"/>
    <col min="8205" max="8205" width="7.5" style="111" customWidth="1"/>
    <col min="8206" max="8206" width="6.875" style="111" customWidth="1"/>
    <col min="8207" max="8207" width="7.25" style="111" customWidth="1"/>
    <col min="8208" max="8208" width="6.875" style="111" customWidth="1"/>
    <col min="8209" max="8209" width="6.625" style="111" customWidth="1"/>
    <col min="8210" max="8210" width="6.5" style="111" customWidth="1"/>
    <col min="8211" max="8211" width="7" style="111" customWidth="1"/>
    <col min="8212" max="8456" width="9" style="111"/>
    <col min="8457" max="8457" width="4.75" style="111" customWidth="1"/>
    <col min="8458" max="8458" width="43.5" style="111" customWidth="1"/>
    <col min="8459" max="8459" width="7" style="111" customWidth="1"/>
    <col min="8460" max="8460" width="8" style="111" customWidth="1"/>
    <col min="8461" max="8461" width="7.5" style="111" customWidth="1"/>
    <col min="8462" max="8462" width="6.875" style="111" customWidth="1"/>
    <col min="8463" max="8463" width="7.25" style="111" customWidth="1"/>
    <col min="8464" max="8464" width="6.875" style="111" customWidth="1"/>
    <col min="8465" max="8465" width="6.625" style="111" customWidth="1"/>
    <col min="8466" max="8466" width="6.5" style="111" customWidth="1"/>
    <col min="8467" max="8467" width="7" style="111" customWidth="1"/>
    <col min="8468" max="8712" width="9" style="111"/>
    <col min="8713" max="8713" width="4.75" style="111" customWidth="1"/>
    <col min="8714" max="8714" width="43.5" style="111" customWidth="1"/>
    <col min="8715" max="8715" width="7" style="111" customWidth="1"/>
    <col min="8716" max="8716" width="8" style="111" customWidth="1"/>
    <col min="8717" max="8717" width="7.5" style="111" customWidth="1"/>
    <col min="8718" max="8718" width="6.875" style="111" customWidth="1"/>
    <col min="8719" max="8719" width="7.25" style="111" customWidth="1"/>
    <col min="8720" max="8720" width="6.875" style="111" customWidth="1"/>
    <col min="8721" max="8721" width="6.625" style="111" customWidth="1"/>
    <col min="8722" max="8722" width="6.5" style="111" customWidth="1"/>
    <col min="8723" max="8723" width="7" style="111" customWidth="1"/>
    <col min="8724" max="8968" width="9" style="111"/>
    <col min="8969" max="8969" width="4.75" style="111" customWidth="1"/>
    <col min="8970" max="8970" width="43.5" style="111" customWidth="1"/>
    <col min="8971" max="8971" width="7" style="111" customWidth="1"/>
    <col min="8972" max="8972" width="8" style="111" customWidth="1"/>
    <col min="8973" max="8973" width="7.5" style="111" customWidth="1"/>
    <col min="8974" max="8974" width="6.875" style="111" customWidth="1"/>
    <col min="8975" max="8975" width="7.25" style="111" customWidth="1"/>
    <col min="8976" max="8976" width="6.875" style="111" customWidth="1"/>
    <col min="8977" max="8977" width="6.625" style="111" customWidth="1"/>
    <col min="8978" max="8978" width="6.5" style="111" customWidth="1"/>
    <col min="8979" max="8979" width="7" style="111" customWidth="1"/>
    <col min="8980" max="9224" width="9" style="111"/>
    <col min="9225" max="9225" width="4.75" style="111" customWidth="1"/>
    <col min="9226" max="9226" width="43.5" style="111" customWidth="1"/>
    <col min="9227" max="9227" width="7" style="111" customWidth="1"/>
    <col min="9228" max="9228" width="8" style="111" customWidth="1"/>
    <col min="9229" max="9229" width="7.5" style="111" customWidth="1"/>
    <col min="9230" max="9230" width="6.875" style="111" customWidth="1"/>
    <col min="9231" max="9231" width="7.25" style="111" customWidth="1"/>
    <col min="9232" max="9232" width="6.875" style="111" customWidth="1"/>
    <col min="9233" max="9233" width="6.625" style="111" customWidth="1"/>
    <col min="9234" max="9234" width="6.5" style="111" customWidth="1"/>
    <col min="9235" max="9235" width="7" style="111" customWidth="1"/>
    <col min="9236" max="9480" width="9" style="111"/>
    <col min="9481" max="9481" width="4.75" style="111" customWidth="1"/>
    <col min="9482" max="9482" width="43.5" style="111" customWidth="1"/>
    <col min="9483" max="9483" width="7" style="111" customWidth="1"/>
    <col min="9484" max="9484" width="8" style="111" customWidth="1"/>
    <col min="9485" max="9485" width="7.5" style="111" customWidth="1"/>
    <col min="9486" max="9486" width="6.875" style="111" customWidth="1"/>
    <col min="9487" max="9487" width="7.25" style="111" customWidth="1"/>
    <col min="9488" max="9488" width="6.875" style="111" customWidth="1"/>
    <col min="9489" max="9489" width="6.625" style="111" customWidth="1"/>
    <col min="9490" max="9490" width="6.5" style="111" customWidth="1"/>
    <col min="9491" max="9491" width="7" style="111" customWidth="1"/>
    <col min="9492" max="9736" width="9" style="111"/>
    <col min="9737" max="9737" width="4.75" style="111" customWidth="1"/>
    <col min="9738" max="9738" width="43.5" style="111" customWidth="1"/>
    <col min="9739" max="9739" width="7" style="111" customWidth="1"/>
    <col min="9740" max="9740" width="8" style="111" customWidth="1"/>
    <col min="9741" max="9741" width="7.5" style="111" customWidth="1"/>
    <col min="9742" max="9742" width="6.875" style="111" customWidth="1"/>
    <col min="9743" max="9743" width="7.25" style="111" customWidth="1"/>
    <col min="9744" max="9744" width="6.875" style="111" customWidth="1"/>
    <col min="9745" max="9745" width="6.625" style="111" customWidth="1"/>
    <col min="9746" max="9746" width="6.5" style="111" customWidth="1"/>
    <col min="9747" max="9747" width="7" style="111" customWidth="1"/>
    <col min="9748" max="9992" width="9" style="111"/>
    <col min="9993" max="9993" width="4.75" style="111" customWidth="1"/>
    <col min="9994" max="9994" width="43.5" style="111" customWidth="1"/>
    <col min="9995" max="9995" width="7" style="111" customWidth="1"/>
    <col min="9996" max="9996" width="8" style="111" customWidth="1"/>
    <col min="9997" max="9997" width="7.5" style="111" customWidth="1"/>
    <col min="9998" max="9998" width="6.875" style="111" customWidth="1"/>
    <col min="9999" max="9999" width="7.25" style="111" customWidth="1"/>
    <col min="10000" max="10000" width="6.875" style="111" customWidth="1"/>
    <col min="10001" max="10001" width="6.625" style="111" customWidth="1"/>
    <col min="10002" max="10002" width="6.5" style="111" customWidth="1"/>
    <col min="10003" max="10003" width="7" style="111" customWidth="1"/>
    <col min="10004" max="10248" width="9" style="111"/>
    <col min="10249" max="10249" width="4.75" style="111" customWidth="1"/>
    <col min="10250" max="10250" width="43.5" style="111" customWidth="1"/>
    <col min="10251" max="10251" width="7" style="111" customWidth="1"/>
    <col min="10252" max="10252" width="8" style="111" customWidth="1"/>
    <col min="10253" max="10253" width="7.5" style="111" customWidth="1"/>
    <col min="10254" max="10254" width="6.875" style="111" customWidth="1"/>
    <col min="10255" max="10255" width="7.25" style="111" customWidth="1"/>
    <col min="10256" max="10256" width="6.875" style="111" customWidth="1"/>
    <col min="10257" max="10257" width="6.625" style="111" customWidth="1"/>
    <col min="10258" max="10258" width="6.5" style="111" customWidth="1"/>
    <col min="10259" max="10259" width="7" style="111" customWidth="1"/>
    <col min="10260" max="10504" width="9" style="111"/>
    <col min="10505" max="10505" width="4.75" style="111" customWidth="1"/>
    <col min="10506" max="10506" width="43.5" style="111" customWidth="1"/>
    <col min="10507" max="10507" width="7" style="111" customWidth="1"/>
    <col min="10508" max="10508" width="8" style="111" customWidth="1"/>
    <col min="10509" max="10509" width="7.5" style="111" customWidth="1"/>
    <col min="10510" max="10510" width="6.875" style="111" customWidth="1"/>
    <col min="10511" max="10511" width="7.25" style="111" customWidth="1"/>
    <col min="10512" max="10512" width="6.875" style="111" customWidth="1"/>
    <col min="10513" max="10513" width="6.625" style="111" customWidth="1"/>
    <col min="10514" max="10514" width="6.5" style="111" customWidth="1"/>
    <col min="10515" max="10515" width="7" style="111" customWidth="1"/>
    <col min="10516" max="10760" width="9" style="111"/>
    <col min="10761" max="10761" width="4.75" style="111" customWidth="1"/>
    <col min="10762" max="10762" width="43.5" style="111" customWidth="1"/>
    <col min="10763" max="10763" width="7" style="111" customWidth="1"/>
    <col min="10764" max="10764" width="8" style="111" customWidth="1"/>
    <col min="10765" max="10765" width="7.5" style="111" customWidth="1"/>
    <col min="10766" max="10766" width="6.875" style="111" customWidth="1"/>
    <col min="10767" max="10767" width="7.25" style="111" customWidth="1"/>
    <col min="10768" max="10768" width="6.875" style="111" customWidth="1"/>
    <col min="10769" max="10769" width="6.625" style="111" customWidth="1"/>
    <col min="10770" max="10770" width="6.5" style="111" customWidth="1"/>
    <col min="10771" max="10771" width="7" style="111" customWidth="1"/>
    <col min="10772" max="11016" width="9" style="111"/>
    <col min="11017" max="11017" width="4.75" style="111" customWidth="1"/>
    <col min="11018" max="11018" width="43.5" style="111" customWidth="1"/>
    <col min="11019" max="11019" width="7" style="111" customWidth="1"/>
    <col min="11020" max="11020" width="8" style="111" customWidth="1"/>
    <col min="11021" max="11021" width="7.5" style="111" customWidth="1"/>
    <col min="11022" max="11022" width="6.875" style="111" customWidth="1"/>
    <col min="11023" max="11023" width="7.25" style="111" customWidth="1"/>
    <col min="11024" max="11024" width="6.875" style="111" customWidth="1"/>
    <col min="11025" max="11025" width="6.625" style="111" customWidth="1"/>
    <col min="11026" max="11026" width="6.5" style="111" customWidth="1"/>
    <col min="11027" max="11027" width="7" style="111" customWidth="1"/>
    <col min="11028" max="11272" width="9" style="111"/>
    <col min="11273" max="11273" width="4.75" style="111" customWidth="1"/>
    <col min="11274" max="11274" width="43.5" style="111" customWidth="1"/>
    <col min="11275" max="11275" width="7" style="111" customWidth="1"/>
    <col min="11276" max="11276" width="8" style="111" customWidth="1"/>
    <col min="11277" max="11277" width="7.5" style="111" customWidth="1"/>
    <col min="11278" max="11278" width="6.875" style="111" customWidth="1"/>
    <col min="11279" max="11279" width="7.25" style="111" customWidth="1"/>
    <col min="11280" max="11280" width="6.875" style="111" customWidth="1"/>
    <col min="11281" max="11281" width="6.625" style="111" customWidth="1"/>
    <col min="11282" max="11282" width="6.5" style="111" customWidth="1"/>
    <col min="11283" max="11283" width="7" style="111" customWidth="1"/>
    <col min="11284" max="11528" width="9" style="111"/>
    <col min="11529" max="11529" width="4.75" style="111" customWidth="1"/>
    <col min="11530" max="11530" width="43.5" style="111" customWidth="1"/>
    <col min="11531" max="11531" width="7" style="111" customWidth="1"/>
    <col min="11532" max="11532" width="8" style="111" customWidth="1"/>
    <col min="11533" max="11533" width="7.5" style="111" customWidth="1"/>
    <col min="11534" max="11534" width="6.875" style="111" customWidth="1"/>
    <col min="11535" max="11535" width="7.25" style="111" customWidth="1"/>
    <col min="11536" max="11536" width="6.875" style="111" customWidth="1"/>
    <col min="11537" max="11537" width="6.625" style="111" customWidth="1"/>
    <col min="11538" max="11538" width="6.5" style="111" customWidth="1"/>
    <col min="11539" max="11539" width="7" style="111" customWidth="1"/>
    <col min="11540" max="11784" width="9" style="111"/>
    <col min="11785" max="11785" width="4.75" style="111" customWidth="1"/>
    <col min="11786" max="11786" width="43.5" style="111" customWidth="1"/>
    <col min="11787" max="11787" width="7" style="111" customWidth="1"/>
    <col min="11788" max="11788" width="8" style="111" customWidth="1"/>
    <col min="11789" max="11789" width="7.5" style="111" customWidth="1"/>
    <col min="11790" max="11790" width="6.875" style="111" customWidth="1"/>
    <col min="11791" max="11791" width="7.25" style="111" customWidth="1"/>
    <col min="11792" max="11792" width="6.875" style="111" customWidth="1"/>
    <col min="11793" max="11793" width="6.625" style="111" customWidth="1"/>
    <col min="11794" max="11794" width="6.5" style="111" customWidth="1"/>
    <col min="11795" max="11795" width="7" style="111" customWidth="1"/>
    <col min="11796" max="12040" width="9" style="111"/>
    <col min="12041" max="12041" width="4.75" style="111" customWidth="1"/>
    <col min="12042" max="12042" width="43.5" style="111" customWidth="1"/>
    <col min="12043" max="12043" width="7" style="111" customWidth="1"/>
    <col min="12044" max="12044" width="8" style="111" customWidth="1"/>
    <col min="12045" max="12045" width="7.5" style="111" customWidth="1"/>
    <col min="12046" max="12046" width="6.875" style="111" customWidth="1"/>
    <col min="12047" max="12047" width="7.25" style="111" customWidth="1"/>
    <col min="12048" max="12048" width="6.875" style="111" customWidth="1"/>
    <col min="12049" max="12049" width="6.625" style="111" customWidth="1"/>
    <col min="12050" max="12050" width="6.5" style="111" customWidth="1"/>
    <col min="12051" max="12051" width="7" style="111" customWidth="1"/>
    <col min="12052" max="12296" width="9" style="111"/>
    <col min="12297" max="12297" width="4.75" style="111" customWidth="1"/>
    <col min="12298" max="12298" width="43.5" style="111" customWidth="1"/>
    <col min="12299" max="12299" width="7" style="111" customWidth="1"/>
    <col min="12300" max="12300" width="8" style="111" customWidth="1"/>
    <col min="12301" max="12301" width="7.5" style="111" customWidth="1"/>
    <col min="12302" max="12302" width="6.875" style="111" customWidth="1"/>
    <col min="12303" max="12303" width="7.25" style="111" customWidth="1"/>
    <col min="12304" max="12304" width="6.875" style="111" customWidth="1"/>
    <col min="12305" max="12305" width="6.625" style="111" customWidth="1"/>
    <col min="12306" max="12306" width="6.5" style="111" customWidth="1"/>
    <col min="12307" max="12307" width="7" style="111" customWidth="1"/>
    <col min="12308" max="12552" width="9" style="111"/>
    <col min="12553" max="12553" width="4.75" style="111" customWidth="1"/>
    <col min="12554" max="12554" width="43.5" style="111" customWidth="1"/>
    <col min="12555" max="12555" width="7" style="111" customWidth="1"/>
    <col min="12556" max="12556" width="8" style="111" customWidth="1"/>
    <col min="12557" max="12557" width="7.5" style="111" customWidth="1"/>
    <col min="12558" max="12558" width="6.875" style="111" customWidth="1"/>
    <col min="12559" max="12559" width="7.25" style="111" customWidth="1"/>
    <col min="12560" max="12560" width="6.875" style="111" customWidth="1"/>
    <col min="12561" max="12561" width="6.625" style="111" customWidth="1"/>
    <col min="12562" max="12562" width="6.5" style="111" customWidth="1"/>
    <col min="12563" max="12563" width="7" style="111" customWidth="1"/>
    <col min="12564" max="12808" width="9" style="111"/>
    <col min="12809" max="12809" width="4.75" style="111" customWidth="1"/>
    <col min="12810" max="12810" width="43.5" style="111" customWidth="1"/>
    <col min="12811" max="12811" width="7" style="111" customWidth="1"/>
    <col min="12812" max="12812" width="8" style="111" customWidth="1"/>
    <col min="12813" max="12813" width="7.5" style="111" customWidth="1"/>
    <col min="12814" max="12814" width="6.875" style="111" customWidth="1"/>
    <col min="12815" max="12815" width="7.25" style="111" customWidth="1"/>
    <col min="12816" max="12816" width="6.875" style="111" customWidth="1"/>
    <col min="12817" max="12817" width="6.625" style="111" customWidth="1"/>
    <col min="12818" max="12818" width="6.5" style="111" customWidth="1"/>
    <col min="12819" max="12819" width="7" style="111" customWidth="1"/>
    <col min="12820" max="13064" width="9" style="111"/>
    <col min="13065" max="13065" width="4.75" style="111" customWidth="1"/>
    <col min="13066" max="13066" width="43.5" style="111" customWidth="1"/>
    <col min="13067" max="13067" width="7" style="111" customWidth="1"/>
    <col min="13068" max="13068" width="8" style="111" customWidth="1"/>
    <col min="13069" max="13069" width="7.5" style="111" customWidth="1"/>
    <col min="13070" max="13070" width="6.875" style="111" customWidth="1"/>
    <col min="13071" max="13071" width="7.25" style="111" customWidth="1"/>
    <col min="13072" max="13072" width="6.875" style="111" customWidth="1"/>
    <col min="13073" max="13073" width="6.625" style="111" customWidth="1"/>
    <col min="13074" max="13074" width="6.5" style="111" customWidth="1"/>
    <col min="13075" max="13075" width="7" style="111" customWidth="1"/>
    <col min="13076" max="13320" width="9" style="111"/>
    <col min="13321" max="13321" width="4.75" style="111" customWidth="1"/>
    <col min="13322" max="13322" width="43.5" style="111" customWidth="1"/>
    <col min="13323" max="13323" width="7" style="111" customWidth="1"/>
    <col min="13324" max="13324" width="8" style="111" customWidth="1"/>
    <col min="13325" max="13325" width="7.5" style="111" customWidth="1"/>
    <col min="13326" max="13326" width="6.875" style="111" customWidth="1"/>
    <col min="13327" max="13327" width="7.25" style="111" customWidth="1"/>
    <col min="13328" max="13328" width="6.875" style="111" customWidth="1"/>
    <col min="13329" max="13329" width="6.625" style="111" customWidth="1"/>
    <col min="13330" max="13330" width="6.5" style="111" customWidth="1"/>
    <col min="13331" max="13331" width="7" style="111" customWidth="1"/>
    <col min="13332" max="13576" width="9" style="111"/>
    <col min="13577" max="13577" width="4.75" style="111" customWidth="1"/>
    <col min="13578" max="13578" width="43.5" style="111" customWidth="1"/>
    <col min="13579" max="13579" width="7" style="111" customWidth="1"/>
    <col min="13580" max="13580" width="8" style="111" customWidth="1"/>
    <col min="13581" max="13581" width="7.5" style="111" customWidth="1"/>
    <col min="13582" max="13582" width="6.875" style="111" customWidth="1"/>
    <col min="13583" max="13583" width="7.25" style="111" customWidth="1"/>
    <col min="13584" max="13584" width="6.875" style="111" customWidth="1"/>
    <col min="13585" max="13585" width="6.625" style="111" customWidth="1"/>
    <col min="13586" max="13586" width="6.5" style="111" customWidth="1"/>
    <col min="13587" max="13587" width="7" style="111" customWidth="1"/>
    <col min="13588" max="13832" width="9" style="111"/>
    <col min="13833" max="13833" width="4.75" style="111" customWidth="1"/>
    <col min="13834" max="13834" width="43.5" style="111" customWidth="1"/>
    <col min="13835" max="13835" width="7" style="111" customWidth="1"/>
    <col min="13836" max="13836" width="8" style="111" customWidth="1"/>
    <col min="13837" max="13837" width="7.5" style="111" customWidth="1"/>
    <col min="13838" max="13838" width="6.875" style="111" customWidth="1"/>
    <col min="13839" max="13839" width="7.25" style="111" customWidth="1"/>
    <col min="13840" max="13840" width="6.875" style="111" customWidth="1"/>
    <col min="13841" max="13841" width="6.625" style="111" customWidth="1"/>
    <col min="13842" max="13842" width="6.5" style="111" customWidth="1"/>
    <col min="13843" max="13843" width="7" style="111" customWidth="1"/>
    <col min="13844" max="14088" width="9" style="111"/>
    <col min="14089" max="14089" width="4.75" style="111" customWidth="1"/>
    <col min="14090" max="14090" width="43.5" style="111" customWidth="1"/>
    <col min="14091" max="14091" width="7" style="111" customWidth="1"/>
    <col min="14092" max="14092" width="8" style="111" customWidth="1"/>
    <col min="14093" max="14093" width="7.5" style="111" customWidth="1"/>
    <col min="14094" max="14094" width="6.875" style="111" customWidth="1"/>
    <col min="14095" max="14095" width="7.25" style="111" customWidth="1"/>
    <col min="14096" max="14096" width="6.875" style="111" customWidth="1"/>
    <col min="14097" max="14097" width="6.625" style="111" customWidth="1"/>
    <col min="14098" max="14098" width="6.5" style="111" customWidth="1"/>
    <col min="14099" max="14099" width="7" style="111" customWidth="1"/>
    <col min="14100" max="14344" width="9" style="111"/>
    <col min="14345" max="14345" width="4.75" style="111" customWidth="1"/>
    <col min="14346" max="14346" width="43.5" style="111" customWidth="1"/>
    <col min="14347" max="14347" width="7" style="111" customWidth="1"/>
    <col min="14348" max="14348" width="8" style="111" customWidth="1"/>
    <col min="14349" max="14349" width="7.5" style="111" customWidth="1"/>
    <col min="14350" max="14350" width="6.875" style="111" customWidth="1"/>
    <col min="14351" max="14351" width="7.25" style="111" customWidth="1"/>
    <col min="14352" max="14352" width="6.875" style="111" customWidth="1"/>
    <col min="14353" max="14353" width="6.625" style="111" customWidth="1"/>
    <col min="14354" max="14354" width="6.5" style="111" customWidth="1"/>
    <col min="14355" max="14355" width="7" style="111" customWidth="1"/>
    <col min="14356" max="14600" width="9" style="111"/>
    <col min="14601" max="14601" width="4.75" style="111" customWidth="1"/>
    <col min="14602" max="14602" width="43.5" style="111" customWidth="1"/>
    <col min="14603" max="14603" width="7" style="111" customWidth="1"/>
    <col min="14604" max="14604" width="8" style="111" customWidth="1"/>
    <col min="14605" max="14605" width="7.5" style="111" customWidth="1"/>
    <col min="14606" max="14606" width="6.875" style="111" customWidth="1"/>
    <col min="14607" max="14607" width="7.25" style="111" customWidth="1"/>
    <col min="14608" max="14608" width="6.875" style="111" customWidth="1"/>
    <col min="14609" max="14609" width="6.625" style="111" customWidth="1"/>
    <col min="14610" max="14610" width="6.5" style="111" customWidth="1"/>
    <col min="14611" max="14611" width="7" style="111" customWidth="1"/>
    <col min="14612" max="14856" width="9" style="111"/>
    <col min="14857" max="14857" width="4.75" style="111" customWidth="1"/>
    <col min="14858" max="14858" width="43.5" style="111" customWidth="1"/>
    <col min="14859" max="14859" width="7" style="111" customWidth="1"/>
    <col min="14860" max="14860" width="8" style="111" customWidth="1"/>
    <col min="14861" max="14861" width="7.5" style="111" customWidth="1"/>
    <col min="14862" max="14862" width="6.875" style="111" customWidth="1"/>
    <col min="14863" max="14863" width="7.25" style="111" customWidth="1"/>
    <col min="14864" max="14864" width="6.875" style="111" customWidth="1"/>
    <col min="14865" max="14865" width="6.625" style="111" customWidth="1"/>
    <col min="14866" max="14866" width="6.5" style="111" customWidth="1"/>
    <col min="14867" max="14867" width="7" style="111" customWidth="1"/>
    <col min="14868" max="15112" width="9" style="111"/>
    <col min="15113" max="15113" width="4.75" style="111" customWidth="1"/>
    <col min="15114" max="15114" width="43.5" style="111" customWidth="1"/>
    <col min="15115" max="15115" width="7" style="111" customWidth="1"/>
    <col min="15116" max="15116" width="8" style="111" customWidth="1"/>
    <col min="15117" max="15117" width="7.5" style="111" customWidth="1"/>
    <col min="15118" max="15118" width="6.875" style="111" customWidth="1"/>
    <col min="15119" max="15119" width="7.25" style="111" customWidth="1"/>
    <col min="15120" max="15120" width="6.875" style="111" customWidth="1"/>
    <col min="15121" max="15121" width="6.625" style="111" customWidth="1"/>
    <col min="15122" max="15122" width="6.5" style="111" customWidth="1"/>
    <col min="15123" max="15123" width="7" style="111" customWidth="1"/>
    <col min="15124" max="15368" width="9" style="111"/>
    <col min="15369" max="15369" width="4.75" style="111" customWidth="1"/>
    <col min="15370" max="15370" width="43.5" style="111" customWidth="1"/>
    <col min="15371" max="15371" width="7" style="111" customWidth="1"/>
    <col min="15372" max="15372" width="8" style="111" customWidth="1"/>
    <col min="15373" max="15373" width="7.5" style="111" customWidth="1"/>
    <col min="15374" max="15374" width="6.875" style="111" customWidth="1"/>
    <col min="15375" max="15375" width="7.25" style="111" customWidth="1"/>
    <col min="15376" max="15376" width="6.875" style="111" customWidth="1"/>
    <col min="15377" max="15377" width="6.625" style="111" customWidth="1"/>
    <col min="15378" max="15378" width="6.5" style="111" customWidth="1"/>
    <col min="15379" max="15379" width="7" style="111" customWidth="1"/>
    <col min="15380" max="15624" width="9" style="111"/>
    <col min="15625" max="15625" width="4.75" style="111" customWidth="1"/>
    <col min="15626" max="15626" width="43.5" style="111" customWidth="1"/>
    <col min="15627" max="15627" width="7" style="111" customWidth="1"/>
    <col min="15628" max="15628" width="8" style="111" customWidth="1"/>
    <col min="15629" max="15629" width="7.5" style="111" customWidth="1"/>
    <col min="15630" max="15630" width="6.875" style="111" customWidth="1"/>
    <col min="15631" max="15631" width="7.25" style="111" customWidth="1"/>
    <col min="15632" max="15632" width="6.875" style="111" customWidth="1"/>
    <col min="15633" max="15633" width="6.625" style="111" customWidth="1"/>
    <col min="15634" max="15634" width="6.5" style="111" customWidth="1"/>
    <col min="15635" max="15635" width="7" style="111" customWidth="1"/>
    <col min="15636" max="15880" width="9" style="111"/>
    <col min="15881" max="15881" width="4.75" style="111" customWidth="1"/>
    <col min="15882" max="15882" width="43.5" style="111" customWidth="1"/>
    <col min="15883" max="15883" width="7" style="111" customWidth="1"/>
    <col min="15884" max="15884" width="8" style="111" customWidth="1"/>
    <col min="15885" max="15885" width="7.5" style="111" customWidth="1"/>
    <col min="15886" max="15886" width="6.875" style="111" customWidth="1"/>
    <col min="15887" max="15887" width="7.25" style="111" customWidth="1"/>
    <col min="15888" max="15888" width="6.875" style="111" customWidth="1"/>
    <col min="15889" max="15889" width="6.625" style="111" customWidth="1"/>
    <col min="15890" max="15890" width="6.5" style="111" customWidth="1"/>
    <col min="15891" max="15891" width="7" style="111" customWidth="1"/>
    <col min="15892" max="16136" width="9" style="111"/>
    <col min="16137" max="16137" width="4.75" style="111" customWidth="1"/>
    <col min="16138" max="16138" width="43.5" style="111" customWidth="1"/>
    <col min="16139" max="16139" width="7" style="111" customWidth="1"/>
    <col min="16140" max="16140" width="8" style="111" customWidth="1"/>
    <col min="16141" max="16141" width="7.5" style="111" customWidth="1"/>
    <col min="16142" max="16142" width="6.875" style="111" customWidth="1"/>
    <col min="16143" max="16143" width="7.25" style="111" customWidth="1"/>
    <col min="16144" max="16144" width="6.875" style="111" customWidth="1"/>
    <col min="16145" max="16145" width="6.625" style="111" customWidth="1"/>
    <col min="16146" max="16146" width="6.5" style="111" customWidth="1"/>
    <col min="16147" max="16147" width="7" style="111" customWidth="1"/>
    <col min="16148" max="16384" width="9" style="111"/>
  </cols>
  <sheetData>
    <row r="1" spans="1:24" ht="39.75" customHeight="1" x14ac:dyDescent="0.2">
      <c r="A1" s="1960" t="s">
        <v>1221</v>
      </c>
      <c r="B1" s="1960"/>
      <c r="C1" s="1960"/>
      <c r="D1" s="1960"/>
      <c r="E1" s="1960"/>
      <c r="F1" s="1960"/>
      <c r="G1" s="1960"/>
      <c r="H1" s="1960"/>
      <c r="I1" s="1960"/>
      <c r="J1" s="1960"/>
      <c r="K1" s="1960"/>
      <c r="L1" s="1960"/>
      <c r="M1" s="1960"/>
      <c r="N1" s="1960"/>
      <c r="O1" s="1960"/>
      <c r="P1" s="1960"/>
      <c r="Q1" s="1960"/>
      <c r="R1" s="1960"/>
      <c r="S1" s="879"/>
    </row>
    <row r="2" spans="1:24" ht="16.5" x14ac:dyDescent="0.2">
      <c r="A2" s="2117" t="e">
        <f>#REF!</f>
        <v>#REF!</v>
      </c>
      <c r="B2" s="2117"/>
      <c r="C2" s="2117"/>
      <c r="D2" s="2117"/>
      <c r="E2" s="2117"/>
      <c r="F2" s="2117"/>
      <c r="G2" s="2117"/>
      <c r="H2" s="2117"/>
      <c r="I2" s="2117"/>
      <c r="J2" s="2117"/>
      <c r="K2" s="2117"/>
      <c r="L2" s="2117"/>
      <c r="M2" s="2117"/>
      <c r="N2" s="2117"/>
      <c r="O2" s="2117"/>
      <c r="P2" s="2117"/>
      <c r="Q2" s="2117"/>
      <c r="R2" s="2117"/>
      <c r="S2" s="742"/>
    </row>
    <row r="3" spans="1:24" s="745" customFormat="1" ht="15.75" x14ac:dyDescent="0.25">
      <c r="A3" s="2118"/>
      <c r="B3" s="2119"/>
      <c r="C3" s="2119"/>
      <c r="D3" s="2119"/>
      <c r="E3" s="2119"/>
      <c r="F3" s="2119"/>
      <c r="G3" s="2119"/>
      <c r="H3" s="2119"/>
      <c r="I3" s="2119"/>
      <c r="J3" s="2119"/>
      <c r="K3" s="2119"/>
      <c r="L3" s="2119"/>
      <c r="M3" s="2119"/>
      <c r="N3" s="2119"/>
      <c r="O3" s="2119"/>
      <c r="P3" s="2119"/>
      <c r="Q3" s="2119"/>
      <c r="R3" s="2119"/>
      <c r="S3" s="1752"/>
      <c r="T3" s="743"/>
      <c r="U3" s="744"/>
      <c r="V3" s="744"/>
      <c r="W3" s="744"/>
      <c r="X3" s="744"/>
    </row>
    <row r="4" spans="1:24" x14ac:dyDescent="0.2">
      <c r="N4" s="2120" t="s">
        <v>6</v>
      </c>
      <c r="O4" s="2120"/>
      <c r="P4" s="2120"/>
      <c r="Q4" s="2120"/>
      <c r="R4" s="2120"/>
      <c r="S4" s="957"/>
    </row>
    <row r="5" spans="1:24" s="747" customFormat="1" ht="57" customHeight="1" x14ac:dyDescent="0.25">
      <c r="A5" s="1759" t="s">
        <v>0</v>
      </c>
      <c r="B5" s="746" t="s">
        <v>584</v>
      </c>
      <c r="C5" s="746" t="s">
        <v>89</v>
      </c>
      <c r="D5" s="746" t="s">
        <v>148</v>
      </c>
      <c r="E5" s="746" t="s">
        <v>635</v>
      </c>
      <c r="F5" s="746" t="s">
        <v>149</v>
      </c>
      <c r="G5" s="746" t="s">
        <v>636</v>
      </c>
      <c r="H5" s="746" t="s">
        <v>385</v>
      </c>
      <c r="I5" s="746" t="s">
        <v>637</v>
      </c>
      <c r="J5" s="746" t="s">
        <v>151</v>
      </c>
      <c r="K5" s="746" t="s">
        <v>638</v>
      </c>
      <c r="L5" s="746" t="s">
        <v>152</v>
      </c>
      <c r="M5" s="746" t="s">
        <v>639</v>
      </c>
      <c r="N5" s="746" t="s">
        <v>153</v>
      </c>
      <c r="O5" s="746" t="s">
        <v>640</v>
      </c>
      <c r="P5" s="746" t="s">
        <v>154</v>
      </c>
      <c r="Q5" s="746" t="s">
        <v>641</v>
      </c>
      <c r="R5" s="746" t="s">
        <v>155</v>
      </c>
      <c r="S5" s="746" t="s">
        <v>642</v>
      </c>
      <c r="U5" s="748">
        <f>E6+G6+I6+K6+M6+O6+Q6+S6</f>
        <v>-2398</v>
      </c>
    </row>
    <row r="6" spans="1:24" s="401" customFormat="1" ht="22.5" customHeight="1" x14ac:dyDescent="0.2">
      <c r="A6" s="749"/>
      <c r="B6" s="750" t="s">
        <v>585</v>
      </c>
      <c r="C6" s="1871">
        <f>SUM(C7:C16)+SUM(C22:C40)+C19</f>
        <v>97964</v>
      </c>
      <c r="D6" s="1871">
        <f>SUM(D7:D16)+SUM(D22:D40)+D19</f>
        <v>7432</v>
      </c>
      <c r="E6" s="1871">
        <f t="shared" ref="E6:S6" si="0">SUM(E7:E16)+SUM(E22:E40)+E19</f>
        <v>2573</v>
      </c>
      <c r="F6" s="1871">
        <f t="shared" si="0"/>
        <v>11592</v>
      </c>
      <c r="G6" s="1871">
        <f t="shared" si="0"/>
        <v>5</v>
      </c>
      <c r="H6" s="1871">
        <f t="shared" si="0"/>
        <v>8198</v>
      </c>
      <c r="I6" s="1871">
        <f t="shared" si="0"/>
        <v>-1924</v>
      </c>
      <c r="J6" s="1871">
        <f t="shared" si="0"/>
        <v>13822</v>
      </c>
      <c r="K6" s="1871">
        <f t="shared" si="0"/>
        <v>-533</v>
      </c>
      <c r="L6" s="1871">
        <f t="shared" si="0"/>
        <v>15532</v>
      </c>
      <c r="M6" s="1871">
        <f t="shared" si="0"/>
        <v>1043</v>
      </c>
      <c r="N6" s="1871">
        <f t="shared" si="0"/>
        <v>15023</v>
      </c>
      <c r="O6" s="1871">
        <f t="shared" si="0"/>
        <v>945</v>
      </c>
      <c r="P6" s="1871">
        <f t="shared" si="0"/>
        <v>12634</v>
      </c>
      <c r="Q6" s="1871">
        <f t="shared" si="0"/>
        <v>-831</v>
      </c>
      <c r="R6" s="1871">
        <f t="shared" si="0"/>
        <v>13731</v>
      </c>
      <c r="S6" s="1871">
        <f t="shared" si="0"/>
        <v>-3676</v>
      </c>
      <c r="T6" s="712"/>
      <c r="U6" s="748">
        <v>83689</v>
      </c>
    </row>
    <row r="7" spans="1:24" s="401" customFormat="1" ht="36.75" customHeight="1" x14ac:dyDescent="0.2">
      <c r="A7" s="751">
        <v>1</v>
      </c>
      <c r="B7" s="112" t="s">
        <v>536</v>
      </c>
      <c r="C7" s="1872">
        <f>D7+F7+H7+J7+L7+N7+P7+R7</f>
        <v>19844</v>
      </c>
      <c r="D7" s="1872">
        <f>'Biểu 07 DT'!AD12</f>
        <v>336</v>
      </c>
      <c r="E7" s="752">
        <f>D7-395</f>
        <v>-59</v>
      </c>
      <c r="F7" s="1872">
        <f>'Biểu 07 DT'!AE12</f>
        <v>1665</v>
      </c>
      <c r="G7" s="1872">
        <f>F7-1712</f>
        <v>-47</v>
      </c>
      <c r="H7" s="1872">
        <f>'Biểu 07 DT'!AF12</f>
        <v>1663</v>
      </c>
      <c r="I7" s="1873">
        <f>H7-1996</f>
        <v>-333</v>
      </c>
      <c r="J7" s="1872">
        <f>'Biểu 07 DT'!AG12</f>
        <v>2300</v>
      </c>
      <c r="K7" s="752">
        <f>J7-2323</f>
        <v>-23</v>
      </c>
      <c r="L7" s="1872">
        <f>'Biểu 07 DT'!AH12</f>
        <v>3153</v>
      </c>
      <c r="M7" s="752">
        <f>L7-3189</f>
        <v>-36</v>
      </c>
      <c r="N7" s="1872">
        <f>'Biểu 07 DT'!AI12</f>
        <v>2888</v>
      </c>
      <c r="O7" s="752">
        <f>N7-3008</f>
        <v>-120</v>
      </c>
      <c r="P7" s="1872">
        <f>'Biểu 07 DT'!AJ12</f>
        <v>3804</v>
      </c>
      <c r="Q7" s="958">
        <f>P7-4115</f>
        <v>-311</v>
      </c>
      <c r="R7" s="1872">
        <f>'Biểu 07 DT'!AK12</f>
        <v>4035</v>
      </c>
      <c r="S7" s="1872">
        <f>R7-4465</f>
        <v>-430</v>
      </c>
      <c r="T7" s="741" t="s">
        <v>587</v>
      </c>
      <c r="U7" s="753">
        <v>3181</v>
      </c>
    </row>
    <row r="8" spans="1:24" s="401" customFormat="1" ht="20.25" customHeight="1" x14ac:dyDescent="0.2">
      <c r="A8" s="751">
        <v>2</v>
      </c>
      <c r="B8" s="112" t="s">
        <v>1471</v>
      </c>
      <c r="C8" s="1872">
        <f>D8+F8+H8+J8+L8+N8+P8+R8</f>
        <v>20</v>
      </c>
      <c r="D8" s="1872"/>
      <c r="E8" s="752"/>
      <c r="F8" s="1872"/>
      <c r="G8" s="1872"/>
      <c r="H8" s="1872"/>
      <c r="I8" s="1872"/>
      <c r="J8" s="1872"/>
      <c r="K8" s="752"/>
      <c r="L8" s="1872"/>
      <c r="M8" s="752"/>
      <c r="N8" s="1872">
        <v>20</v>
      </c>
      <c r="O8" s="752">
        <f>N8</f>
        <v>20</v>
      </c>
      <c r="P8" s="1872"/>
      <c r="Q8" s="752"/>
      <c r="R8" s="1872"/>
      <c r="S8" s="1872"/>
      <c r="T8" s="741" t="s">
        <v>587</v>
      </c>
      <c r="U8" s="753"/>
    </row>
    <row r="9" spans="1:24" s="401" customFormat="1" ht="21.75" customHeight="1" x14ac:dyDescent="0.2">
      <c r="A9" s="751">
        <v>3</v>
      </c>
      <c r="B9" s="112" t="s">
        <v>537</v>
      </c>
      <c r="C9" s="1872">
        <f>D9+F9+H9+J9+L9+N9+P9+R9</f>
        <v>12751</v>
      </c>
      <c r="D9" s="1872"/>
      <c r="E9" s="752">
        <f t="shared" ref="E9:E10" si="1">D9</f>
        <v>0</v>
      </c>
      <c r="F9" s="1872">
        <v>2388</v>
      </c>
      <c r="G9" s="752">
        <f>F9-1006</f>
        <v>1382</v>
      </c>
      <c r="H9" s="1872">
        <v>0</v>
      </c>
      <c r="I9" s="958">
        <v>-1046</v>
      </c>
      <c r="J9" s="1872">
        <v>768</v>
      </c>
      <c r="K9" s="752">
        <f>J9-392</f>
        <v>376</v>
      </c>
      <c r="L9" s="1872">
        <v>2738</v>
      </c>
      <c r="M9" s="752">
        <f>L9-1300</f>
        <v>1438</v>
      </c>
      <c r="N9" s="1872">
        <v>3582</v>
      </c>
      <c r="O9" s="752">
        <f>N9-1643</f>
        <v>1939</v>
      </c>
      <c r="P9" s="1872">
        <v>913</v>
      </c>
      <c r="Q9" s="958">
        <f>P9-282</f>
        <v>631</v>
      </c>
      <c r="R9" s="1872">
        <v>2362</v>
      </c>
      <c r="S9" s="1872">
        <f>R9-3520</f>
        <v>-1158</v>
      </c>
      <c r="T9" s="712" t="str">
        <f>T7</f>
        <v>SNGD</v>
      </c>
      <c r="U9" s="753">
        <f>U6-U7</f>
        <v>80508</v>
      </c>
    </row>
    <row r="10" spans="1:24" s="401" customFormat="1" ht="18" customHeight="1" x14ac:dyDescent="0.2">
      <c r="A10" s="751">
        <v>4</v>
      </c>
      <c r="B10" s="112" t="s">
        <v>538</v>
      </c>
      <c r="C10" s="1872">
        <f>D10+F10+H10+J10+L10+N10+P10+R10</f>
        <v>978</v>
      </c>
      <c r="D10" s="1872"/>
      <c r="E10" s="752">
        <f t="shared" si="1"/>
        <v>0</v>
      </c>
      <c r="F10" s="1872">
        <v>15</v>
      </c>
      <c r="G10" s="752">
        <f>F10-100</f>
        <v>-85</v>
      </c>
      <c r="H10" s="1872"/>
      <c r="I10" s="752">
        <v>0</v>
      </c>
      <c r="J10" s="1872"/>
      <c r="K10" s="752">
        <v>-544</v>
      </c>
      <c r="L10" s="1872">
        <v>98</v>
      </c>
      <c r="M10" s="752">
        <f>L10-189</f>
        <v>-91</v>
      </c>
      <c r="N10" s="1872">
        <v>657</v>
      </c>
      <c r="O10" s="752">
        <f>N10-257</f>
        <v>400</v>
      </c>
      <c r="P10" s="1872">
        <v>7</v>
      </c>
      <c r="Q10" s="958">
        <f>P10-420</f>
        <v>-413</v>
      </c>
      <c r="R10" s="1872">
        <v>201</v>
      </c>
      <c r="S10" s="1872">
        <f>R10-257</f>
        <v>-56</v>
      </c>
      <c r="T10" s="741" t="str">
        <f>T9</f>
        <v>SNGD</v>
      </c>
      <c r="U10" s="401">
        <f>156+71</f>
        <v>227</v>
      </c>
    </row>
    <row r="11" spans="1:24" s="401" customFormat="1" ht="19.5" customHeight="1" x14ac:dyDescent="0.25">
      <c r="A11" s="751">
        <v>5</v>
      </c>
      <c r="B11" s="113" t="s">
        <v>540</v>
      </c>
      <c r="C11" s="1872">
        <f t="shared" ref="C11:C40" si="2">D11+F11+H11+J11+L11+N11+P11+R11</f>
        <v>2511</v>
      </c>
      <c r="D11" s="1872">
        <f>'Biểu 07 DT'!AD16</f>
        <v>42</v>
      </c>
      <c r="E11" s="752">
        <f>D11-90</f>
        <v>-48</v>
      </c>
      <c r="F11" s="1872">
        <f>'Biểu 07 DT'!AE16</f>
        <v>483</v>
      </c>
      <c r="G11" s="752">
        <f>F11-331</f>
        <v>152</v>
      </c>
      <c r="H11" s="1872">
        <f>'Biểu 07 DT'!AF16</f>
        <v>205</v>
      </c>
      <c r="I11" s="958">
        <f>H11-310</f>
        <v>-105</v>
      </c>
      <c r="J11" s="1872">
        <f>'Biểu 07 DT'!AG16</f>
        <v>203</v>
      </c>
      <c r="K11" s="752">
        <f>J11-238</f>
        <v>-35</v>
      </c>
      <c r="L11" s="1872">
        <f>'Biểu 07 DT'!AH16</f>
        <v>356</v>
      </c>
      <c r="M11" s="752">
        <f>L11-205</f>
        <v>151</v>
      </c>
      <c r="N11" s="1872">
        <f>'Biểu 07 DT'!AI16</f>
        <v>386</v>
      </c>
      <c r="O11" s="752">
        <f>N11-207</f>
        <v>179</v>
      </c>
      <c r="P11" s="1872">
        <f>'Biểu 07 DT'!AJ16</f>
        <v>505</v>
      </c>
      <c r="Q11" s="958">
        <f>P11-508</f>
        <v>-3</v>
      </c>
      <c r="R11" s="1872">
        <f>'Biểu 07 DT'!AK16</f>
        <v>331</v>
      </c>
      <c r="S11" s="1872">
        <f>R11-298</f>
        <v>33</v>
      </c>
      <c r="T11" s="741" t="str">
        <f>T10</f>
        <v>SNGD</v>
      </c>
      <c r="U11" s="753"/>
    </row>
    <row r="12" spans="1:24" s="401" customFormat="1" ht="22.5" customHeight="1" x14ac:dyDescent="0.25">
      <c r="A12" s="751">
        <v>6</v>
      </c>
      <c r="B12" s="245" t="s">
        <v>548</v>
      </c>
      <c r="C12" s="1872">
        <f t="shared" si="2"/>
        <v>14749</v>
      </c>
      <c r="D12" s="1872">
        <f>'Biểu 07 DT'!AD23</f>
        <v>1604</v>
      </c>
      <c r="E12" s="752">
        <f>D12-1317</f>
        <v>287</v>
      </c>
      <c r="F12" s="1872">
        <f>'Biểu 07 DT'!AE23</f>
        <v>1476</v>
      </c>
      <c r="G12" s="752">
        <f>F12-1431</f>
        <v>45</v>
      </c>
      <c r="H12" s="1872">
        <f>'Biểu 07 DT'!AF23</f>
        <v>1285</v>
      </c>
      <c r="I12" s="958">
        <f>H12-1689</f>
        <v>-404</v>
      </c>
      <c r="J12" s="1872">
        <f>'Biểu 07 DT'!AG23</f>
        <v>2723</v>
      </c>
      <c r="K12" s="752">
        <f>J12-2580</f>
        <v>143</v>
      </c>
      <c r="L12" s="1872">
        <f>'Biểu 07 DT'!AH23</f>
        <v>3140</v>
      </c>
      <c r="M12" s="752">
        <f>L12-2397</f>
        <v>743</v>
      </c>
      <c r="N12" s="1872">
        <f>'Biểu 07 DT'!AI23</f>
        <v>1260</v>
      </c>
      <c r="O12" s="752">
        <f>N12-736</f>
        <v>524</v>
      </c>
      <c r="P12" s="1872">
        <f>'Biểu 07 DT'!AJ23</f>
        <v>1951</v>
      </c>
      <c r="Q12" s="752">
        <f>P12-2177</f>
        <v>-226</v>
      </c>
      <c r="R12" s="1872">
        <f>'Biểu 07 DT'!AK23</f>
        <v>1310</v>
      </c>
      <c r="S12" s="1872">
        <f>R12-919</f>
        <v>391</v>
      </c>
      <c r="T12" s="741" t="s">
        <v>643</v>
      </c>
      <c r="U12" s="753"/>
    </row>
    <row r="13" spans="1:24" s="401" customFormat="1" ht="24.75" customHeight="1" x14ac:dyDescent="0.2">
      <c r="A13" s="751">
        <v>7</v>
      </c>
      <c r="B13" s="98" t="s">
        <v>549</v>
      </c>
      <c r="C13" s="1872">
        <f t="shared" si="2"/>
        <v>12967</v>
      </c>
      <c r="D13" s="1872">
        <f>'Biểu 07 DT'!AD24</f>
        <v>186</v>
      </c>
      <c r="E13" s="752">
        <f>D13-199</f>
        <v>-13</v>
      </c>
      <c r="F13" s="1872">
        <f>'Biểu 07 DT'!AE24</f>
        <v>1253</v>
      </c>
      <c r="G13" s="752">
        <f>F13-1672</f>
        <v>-419</v>
      </c>
      <c r="H13" s="1872">
        <f>'Biểu 07 DT'!AF24</f>
        <v>1320</v>
      </c>
      <c r="I13" s="958">
        <f>H13-1366</f>
        <v>-46</v>
      </c>
      <c r="J13" s="1872">
        <f>'Biểu 07 DT'!AG24</f>
        <v>1584</v>
      </c>
      <c r="K13" s="752">
        <f>J13-1403</f>
        <v>181</v>
      </c>
      <c r="L13" s="1872">
        <f>'Biểu 07 DT'!AH24</f>
        <v>2053</v>
      </c>
      <c r="M13" s="752">
        <f>L13-2308</f>
        <v>-255</v>
      </c>
      <c r="N13" s="1872">
        <f>'Biểu 07 DT'!AI24</f>
        <v>2221</v>
      </c>
      <c r="O13" s="752">
        <f>N13-1936</f>
        <v>285</v>
      </c>
      <c r="P13" s="1872">
        <f>'Biểu 07 DT'!AJ24</f>
        <v>2235</v>
      </c>
      <c r="Q13" s="752">
        <f>P13-2067</f>
        <v>168</v>
      </c>
      <c r="R13" s="1872">
        <f>'Biểu 07 DT'!AK24</f>
        <v>2115</v>
      </c>
      <c r="S13" s="1872">
        <f>R13-1845</f>
        <v>270</v>
      </c>
      <c r="T13" s="741" t="str">
        <f>T12</f>
        <v>ĐBXH</v>
      </c>
      <c r="U13" s="753">
        <f>U9-U5</f>
        <v>82906</v>
      </c>
    </row>
    <row r="14" spans="1:24" s="401" customFormat="1" ht="30" hidden="1" x14ac:dyDescent="0.2">
      <c r="A14" s="751">
        <v>8</v>
      </c>
      <c r="B14" s="98" t="s">
        <v>859</v>
      </c>
      <c r="C14" s="752">
        <f t="shared" si="2"/>
        <v>0</v>
      </c>
      <c r="D14" s="752"/>
      <c r="E14" s="752"/>
      <c r="F14" s="752"/>
      <c r="G14" s="752">
        <f>F14</f>
        <v>0</v>
      </c>
      <c r="H14" s="752"/>
      <c r="I14" s="958">
        <v>-12</v>
      </c>
      <c r="J14" s="752"/>
      <c r="K14" s="752"/>
      <c r="L14" s="752"/>
      <c r="M14" s="752"/>
      <c r="N14" s="752"/>
      <c r="O14" s="752"/>
      <c r="P14" s="752"/>
      <c r="Q14" s="752">
        <v>-78</v>
      </c>
      <c r="R14" s="752"/>
      <c r="S14" s="752"/>
      <c r="T14" s="741" t="str">
        <f>T11</f>
        <v>SNGD</v>
      </c>
      <c r="U14" s="753"/>
    </row>
    <row r="15" spans="1:24" s="401" customFormat="1" ht="27" customHeight="1" x14ac:dyDescent="0.2">
      <c r="A15" s="751">
        <v>9</v>
      </c>
      <c r="B15" s="98" t="s">
        <v>550</v>
      </c>
      <c r="C15" s="1872">
        <f t="shared" si="2"/>
        <v>996</v>
      </c>
      <c r="D15" s="1872">
        <f>'Biểu 07 DT'!AD25</f>
        <v>83</v>
      </c>
      <c r="E15" s="752">
        <v>0</v>
      </c>
      <c r="F15" s="1872">
        <f>'Biểu 07 DT'!AE25</f>
        <v>109</v>
      </c>
      <c r="G15" s="752">
        <f>F15-104</f>
        <v>5</v>
      </c>
      <c r="H15" s="1872">
        <f>'Biểu 07 DT'!AF25</f>
        <v>118</v>
      </c>
      <c r="I15" s="958">
        <f>H15-115</f>
        <v>3</v>
      </c>
      <c r="J15" s="1872">
        <f>'Biểu 07 DT'!AG25</f>
        <v>168</v>
      </c>
      <c r="K15" s="752">
        <f>J15-160</f>
        <v>8</v>
      </c>
      <c r="L15" s="1872">
        <f>'Biểu 07 DT'!AH25</f>
        <v>166</v>
      </c>
      <c r="M15" s="752">
        <f>L15-156</f>
        <v>10</v>
      </c>
      <c r="N15" s="1872">
        <f>'Biểu 07 DT'!AI25</f>
        <v>122</v>
      </c>
      <c r="O15" s="752">
        <f>N15-112</f>
        <v>10</v>
      </c>
      <c r="P15" s="1872">
        <f>'Biểu 07 DT'!AJ25</f>
        <v>145</v>
      </c>
      <c r="Q15" s="958">
        <f>P15-138</f>
        <v>7</v>
      </c>
      <c r="R15" s="1872">
        <f>'Biểu 07 DT'!AK25</f>
        <v>85</v>
      </c>
      <c r="S15" s="1872">
        <f>R15-79</f>
        <v>6</v>
      </c>
      <c r="T15" s="741" t="s">
        <v>586</v>
      </c>
      <c r="U15" s="753"/>
    </row>
    <row r="16" spans="1:24" s="401" customFormat="1" ht="31.5" hidden="1" x14ac:dyDescent="0.2">
      <c r="A16" s="751">
        <v>10</v>
      </c>
      <c r="B16" s="112" t="s">
        <v>649</v>
      </c>
      <c r="C16" s="1872">
        <f t="shared" si="2"/>
        <v>0</v>
      </c>
      <c r="D16" s="1872"/>
      <c r="E16" s="752">
        <v>-476</v>
      </c>
      <c r="F16" s="1872"/>
      <c r="G16" s="1872">
        <v>-3829</v>
      </c>
      <c r="H16" s="1872"/>
      <c r="I16" s="1873">
        <v>-1689</v>
      </c>
      <c r="J16" s="1872"/>
      <c r="K16" s="1873">
        <v>-4783</v>
      </c>
      <c r="L16" s="1872"/>
      <c r="M16" s="1872">
        <v>-2471</v>
      </c>
      <c r="N16" s="1872"/>
      <c r="O16" s="1872">
        <v>-3867</v>
      </c>
      <c r="P16" s="1872"/>
      <c r="Q16" s="1873">
        <v>-1436</v>
      </c>
      <c r="R16" s="1872"/>
      <c r="S16" s="1872">
        <v>-2433</v>
      </c>
      <c r="T16" s="741" t="s">
        <v>589</v>
      </c>
      <c r="U16" s="753"/>
    </row>
    <row r="17" spans="1:21" s="757" customFormat="1" ht="15.75" hidden="1" x14ac:dyDescent="0.25">
      <c r="A17" s="751">
        <v>11</v>
      </c>
      <c r="B17" s="754" t="s">
        <v>647</v>
      </c>
      <c r="C17" s="1872">
        <f t="shared" si="2"/>
        <v>18971</v>
      </c>
      <c r="D17" s="755">
        <v>433</v>
      </c>
      <c r="E17" s="959"/>
      <c r="F17" s="755">
        <v>3458</v>
      </c>
      <c r="G17" s="959">
        <f>F17</f>
        <v>3458</v>
      </c>
      <c r="H17" s="755">
        <f>1531+5</f>
        <v>1536</v>
      </c>
      <c r="I17" s="959">
        <f>H17</f>
        <v>1536</v>
      </c>
      <c r="J17" s="755">
        <v>4310</v>
      </c>
      <c r="K17" s="959">
        <f>J17</f>
        <v>4310</v>
      </c>
      <c r="L17" s="755">
        <v>2224</v>
      </c>
      <c r="M17" s="959">
        <f>L17</f>
        <v>2224</v>
      </c>
      <c r="N17" s="755">
        <v>3493</v>
      </c>
      <c r="O17" s="959">
        <f>N17</f>
        <v>3493</v>
      </c>
      <c r="P17" s="755">
        <v>1305</v>
      </c>
      <c r="Q17" s="959">
        <f>P17</f>
        <v>1305</v>
      </c>
      <c r="R17" s="755">
        <v>2212</v>
      </c>
      <c r="S17" s="755">
        <f>R17</f>
        <v>2212</v>
      </c>
      <c r="T17" s="743"/>
      <c r="U17" s="756"/>
    </row>
    <row r="18" spans="1:21" s="757" customFormat="1" ht="15.75" hidden="1" x14ac:dyDescent="0.25">
      <c r="A18" s="751">
        <v>12</v>
      </c>
      <c r="B18" s="754" t="s">
        <v>648</v>
      </c>
      <c r="C18" s="1872">
        <f t="shared" si="2"/>
        <v>2013</v>
      </c>
      <c r="D18" s="755">
        <v>43</v>
      </c>
      <c r="E18" s="959"/>
      <c r="F18" s="755">
        <v>371</v>
      </c>
      <c r="G18" s="959">
        <f>F18</f>
        <v>371</v>
      </c>
      <c r="H18" s="755">
        <v>153</v>
      </c>
      <c r="I18" s="959">
        <f>H18</f>
        <v>153</v>
      </c>
      <c r="J18" s="755">
        <v>473</v>
      </c>
      <c r="K18" s="959">
        <f>J18</f>
        <v>473</v>
      </c>
      <c r="L18" s="755">
        <v>247</v>
      </c>
      <c r="M18" s="959">
        <f>L18</f>
        <v>247</v>
      </c>
      <c r="N18" s="755">
        <v>374</v>
      </c>
      <c r="O18" s="959">
        <f>N18</f>
        <v>374</v>
      </c>
      <c r="P18" s="755">
        <v>131</v>
      </c>
      <c r="Q18" s="959">
        <f>P18</f>
        <v>131</v>
      </c>
      <c r="R18" s="755">
        <v>221</v>
      </c>
      <c r="S18" s="755">
        <f>R18</f>
        <v>221</v>
      </c>
      <c r="T18" s="743"/>
      <c r="U18" s="756"/>
    </row>
    <row r="19" spans="1:21" s="757" customFormat="1" ht="36.75" customHeight="1" x14ac:dyDescent="0.25">
      <c r="A19" s="751">
        <v>10</v>
      </c>
      <c r="B19" s="1666" t="str">
        <f>'Biểu 07 DT'!B40</f>
        <v>CTMT đảm bảo trật tự an toàn giao thông, PCCC, phòng chống tội phạm và ma túy</v>
      </c>
      <c r="C19" s="1872">
        <f t="shared" si="2"/>
        <v>570</v>
      </c>
      <c r="D19" s="1872">
        <f>D20+D21</f>
        <v>80</v>
      </c>
      <c r="E19" s="1872">
        <v>80</v>
      </c>
      <c r="F19" s="1872">
        <f t="shared" ref="F19:R19" si="3">F20+F21</f>
        <v>70</v>
      </c>
      <c r="G19" s="1872">
        <v>70</v>
      </c>
      <c r="H19" s="1872">
        <f t="shared" si="3"/>
        <v>70</v>
      </c>
      <c r="I19" s="1872">
        <v>70</v>
      </c>
      <c r="J19" s="1872">
        <f t="shared" si="3"/>
        <v>80</v>
      </c>
      <c r="K19" s="1872">
        <v>80</v>
      </c>
      <c r="L19" s="1872">
        <f t="shared" si="3"/>
        <v>70</v>
      </c>
      <c r="M19" s="1872">
        <v>70</v>
      </c>
      <c r="N19" s="1872">
        <f t="shared" si="3"/>
        <v>70</v>
      </c>
      <c r="O19" s="1872">
        <v>70</v>
      </c>
      <c r="P19" s="1872">
        <f t="shared" si="3"/>
        <v>70</v>
      </c>
      <c r="Q19" s="1872">
        <v>70</v>
      </c>
      <c r="R19" s="1872">
        <f t="shared" si="3"/>
        <v>60</v>
      </c>
      <c r="S19" s="755">
        <v>60</v>
      </c>
      <c r="T19" s="741" t="s">
        <v>2349</v>
      </c>
      <c r="U19" s="756"/>
    </row>
    <row r="20" spans="1:21" s="757" customFormat="1" ht="22.5" customHeight="1" x14ac:dyDescent="0.25">
      <c r="A20" s="1672" t="s">
        <v>288</v>
      </c>
      <c r="B20" s="1671" t="s">
        <v>2347</v>
      </c>
      <c r="C20" s="755">
        <f t="shared" si="2"/>
        <v>180</v>
      </c>
      <c r="D20" s="755">
        <f>'CTMT TPMT'!C48</f>
        <v>30</v>
      </c>
      <c r="E20" s="959"/>
      <c r="F20" s="755">
        <f>'CTMT TPMT'!C51</f>
        <v>20</v>
      </c>
      <c r="G20" s="959"/>
      <c r="H20" s="755">
        <f>'CTMT TPMT'!C54</f>
        <v>20</v>
      </c>
      <c r="I20" s="959"/>
      <c r="J20" s="755">
        <f>'CTMT TPMT'!C57</f>
        <v>30</v>
      </c>
      <c r="K20" s="959"/>
      <c r="L20" s="755">
        <f>'CTMT TPMT'!C60</f>
        <v>20</v>
      </c>
      <c r="M20" s="959"/>
      <c r="N20" s="755">
        <f>'CTMT TPMT'!C63</f>
        <v>20</v>
      </c>
      <c r="O20" s="959"/>
      <c r="P20" s="755">
        <f>'CTMT TPMT'!C66</f>
        <v>20</v>
      </c>
      <c r="Q20" s="959"/>
      <c r="R20" s="755">
        <f>'CTMT TPMT'!C69</f>
        <v>20</v>
      </c>
      <c r="S20" s="755"/>
      <c r="T20" s="743"/>
      <c r="U20" s="756"/>
    </row>
    <row r="21" spans="1:21" s="757" customFormat="1" ht="22.5" customHeight="1" x14ac:dyDescent="0.25">
      <c r="A21" s="1672" t="s">
        <v>288</v>
      </c>
      <c r="B21" s="1671" t="s">
        <v>2348</v>
      </c>
      <c r="C21" s="755">
        <f t="shared" si="2"/>
        <v>390</v>
      </c>
      <c r="D21" s="755">
        <f>'CTMT TPMT'!C49</f>
        <v>50</v>
      </c>
      <c r="E21" s="959"/>
      <c r="F21" s="755">
        <f>'CTMT TPMT'!C52</f>
        <v>50</v>
      </c>
      <c r="G21" s="959"/>
      <c r="H21" s="755">
        <f>'CTMT TPMT'!C55</f>
        <v>50</v>
      </c>
      <c r="I21" s="959"/>
      <c r="J21" s="755">
        <f>'CTMT TPMT'!C58</f>
        <v>50</v>
      </c>
      <c r="K21" s="959"/>
      <c r="L21" s="755">
        <f>'CTMT TPMT'!C61</f>
        <v>50</v>
      </c>
      <c r="M21" s="959"/>
      <c r="N21" s="755">
        <f>'CTMT TPMT'!C64</f>
        <v>50</v>
      </c>
      <c r="O21" s="959"/>
      <c r="P21" s="755">
        <f>'CTMT TPMT'!C67</f>
        <v>50</v>
      </c>
      <c r="Q21" s="959"/>
      <c r="R21" s="755">
        <f>'CTMT TPMT'!C70</f>
        <v>40</v>
      </c>
      <c r="S21" s="755"/>
      <c r="T21" s="743"/>
      <c r="U21" s="756"/>
    </row>
    <row r="22" spans="1:21" s="401" customFormat="1" ht="34.5" customHeight="1" x14ac:dyDescent="0.2">
      <c r="A22" s="751">
        <v>11</v>
      </c>
      <c r="B22" s="98" t="s">
        <v>552</v>
      </c>
      <c r="C22" s="1872">
        <f t="shared" si="2"/>
        <v>0</v>
      </c>
      <c r="D22" s="1872"/>
      <c r="E22" s="752">
        <v>-24</v>
      </c>
      <c r="F22" s="1872"/>
      <c r="G22" s="752">
        <f t="shared" ref="G22" si="4">F22</f>
        <v>0</v>
      </c>
      <c r="H22" s="1872"/>
      <c r="I22" s="752">
        <f t="shared" ref="I22" si="5">H22</f>
        <v>0</v>
      </c>
      <c r="J22" s="1872"/>
      <c r="K22" s="752">
        <f t="shared" ref="K22" si="6">J22</f>
        <v>0</v>
      </c>
      <c r="L22" s="1872"/>
      <c r="M22" s="752">
        <f t="shared" ref="M22" si="7">L22</f>
        <v>0</v>
      </c>
      <c r="N22" s="1872"/>
      <c r="O22" s="752">
        <v>-120</v>
      </c>
      <c r="P22" s="1872"/>
      <c r="Q22" s="752">
        <f t="shared" ref="Q22" si="8">P22</f>
        <v>0</v>
      </c>
      <c r="R22" s="1872"/>
      <c r="S22" s="1872">
        <v>-6</v>
      </c>
      <c r="T22" s="741" t="s">
        <v>589</v>
      </c>
      <c r="U22" s="753"/>
    </row>
    <row r="23" spans="1:21" s="401" customFormat="1" ht="18.75" customHeight="1" x14ac:dyDescent="0.2">
      <c r="A23" s="751">
        <v>12</v>
      </c>
      <c r="B23" s="98" t="s">
        <v>644</v>
      </c>
      <c r="C23" s="1872">
        <f>D23+F23+H23+J23+L23+N23+P23+R23</f>
        <v>1554</v>
      </c>
      <c r="D23" s="1872"/>
      <c r="E23" s="752"/>
      <c r="F23" s="1872">
        <v>96</v>
      </c>
      <c r="G23" s="752">
        <f>F23-90</f>
        <v>6</v>
      </c>
      <c r="H23" s="1872">
        <v>196</v>
      </c>
      <c r="I23" s="752">
        <f>H23-158</f>
        <v>38</v>
      </c>
      <c r="J23" s="1872">
        <v>94</v>
      </c>
      <c r="K23" s="752">
        <f>J23-124</f>
        <v>-30</v>
      </c>
      <c r="L23" s="1872">
        <v>270</v>
      </c>
      <c r="M23" s="752">
        <f>L23-494</f>
        <v>-224</v>
      </c>
      <c r="N23" s="1872">
        <v>266</v>
      </c>
      <c r="O23" s="752">
        <f>N23-242</f>
        <v>24</v>
      </c>
      <c r="P23" s="1872">
        <v>304</v>
      </c>
      <c r="Q23" s="752">
        <f>P23-364</f>
        <v>-60</v>
      </c>
      <c r="R23" s="1872">
        <v>328</v>
      </c>
      <c r="S23" s="1872">
        <f>R23-366</f>
        <v>-38</v>
      </c>
      <c r="T23" s="741" t="str">
        <f>T13</f>
        <v>ĐBXH</v>
      </c>
      <c r="U23" s="753"/>
    </row>
    <row r="24" spans="1:21" s="401" customFormat="1" ht="21.75" customHeight="1" x14ac:dyDescent="0.2">
      <c r="A24" s="751">
        <v>13</v>
      </c>
      <c r="B24" s="98" t="s">
        <v>860</v>
      </c>
      <c r="C24" s="1872">
        <f>D24+F24+H24+J24+L24+N24+P24+R24</f>
        <v>2417</v>
      </c>
      <c r="D24" s="1872">
        <v>110</v>
      </c>
      <c r="E24" s="752">
        <f>D24-139</f>
        <v>-29</v>
      </c>
      <c r="F24" s="1872">
        <v>70</v>
      </c>
      <c r="G24" s="759">
        <f>F24-110</f>
        <v>-40</v>
      </c>
      <c r="H24" s="1872">
        <v>564</v>
      </c>
      <c r="I24" s="958">
        <f>H24-371</f>
        <v>193</v>
      </c>
      <c r="J24" s="1872">
        <v>626</v>
      </c>
      <c r="K24" s="958">
        <f>J24-417</f>
        <v>209</v>
      </c>
      <c r="L24" s="1872"/>
      <c r="M24" s="752">
        <v>-85</v>
      </c>
      <c r="N24" s="1872">
        <v>645</v>
      </c>
      <c r="O24" s="759">
        <f>N24-363</f>
        <v>282</v>
      </c>
      <c r="P24" s="1872">
        <v>10</v>
      </c>
      <c r="Q24" s="958">
        <f>P24-358</f>
        <v>-348</v>
      </c>
      <c r="R24" s="1872">
        <v>392</v>
      </c>
      <c r="S24" s="1872">
        <f>R24-452</f>
        <v>-60</v>
      </c>
      <c r="T24" s="741" t="str">
        <f>T22</f>
        <v>SNKT</v>
      </c>
      <c r="U24" s="753"/>
    </row>
    <row r="25" spans="1:21" ht="23.25" customHeight="1" x14ac:dyDescent="0.2">
      <c r="A25" s="751">
        <v>14</v>
      </c>
      <c r="B25" s="1874" t="s">
        <v>946</v>
      </c>
      <c r="C25" s="759">
        <f t="shared" ref="C25:C30" si="9">D25+F25+H25+J25+L25+N25+P25+R25</f>
        <v>700</v>
      </c>
      <c r="D25" s="759">
        <v>50</v>
      </c>
      <c r="E25" s="759">
        <f>D25</f>
        <v>50</v>
      </c>
      <c r="F25" s="759"/>
      <c r="G25" s="759"/>
      <c r="H25" s="759">
        <v>300</v>
      </c>
      <c r="I25" s="1875">
        <f>H25-100</f>
        <v>200</v>
      </c>
      <c r="J25" s="759"/>
      <c r="K25" s="759">
        <v>-300</v>
      </c>
      <c r="L25" s="759">
        <v>350</v>
      </c>
      <c r="M25" s="759">
        <v>350</v>
      </c>
      <c r="N25" s="759"/>
      <c r="O25" s="759">
        <v>-100</v>
      </c>
      <c r="P25" s="759"/>
      <c r="Q25" s="1875">
        <v>-200</v>
      </c>
      <c r="R25" s="759"/>
      <c r="S25" s="759"/>
      <c r="T25" s="741" t="str">
        <f>T15</f>
        <v>QLHC</v>
      </c>
    </row>
    <row r="26" spans="1:21" ht="33.75" customHeight="1" x14ac:dyDescent="0.2">
      <c r="A26" s="751">
        <v>15</v>
      </c>
      <c r="B26" s="1874" t="s">
        <v>646</v>
      </c>
      <c r="C26" s="759">
        <f t="shared" si="9"/>
        <v>2080</v>
      </c>
      <c r="D26" s="759"/>
      <c r="E26" s="759"/>
      <c r="F26" s="759">
        <v>233</v>
      </c>
      <c r="G26" s="759">
        <f>F26-156</f>
        <v>77</v>
      </c>
      <c r="H26" s="759">
        <v>25</v>
      </c>
      <c r="I26" s="1875">
        <f>H26-22</f>
        <v>3</v>
      </c>
      <c r="J26" s="759">
        <v>35</v>
      </c>
      <c r="K26" s="759">
        <f>J26-35</f>
        <v>0</v>
      </c>
      <c r="L26" s="759">
        <v>160</v>
      </c>
      <c r="M26" s="759">
        <f>L26-323</f>
        <v>-163</v>
      </c>
      <c r="N26" s="759">
        <v>400</v>
      </c>
      <c r="O26" s="759">
        <f>N26-337</f>
        <v>63</v>
      </c>
      <c r="P26" s="759">
        <v>202</v>
      </c>
      <c r="Q26" s="759">
        <v>0</v>
      </c>
      <c r="R26" s="759">
        <v>1025</v>
      </c>
      <c r="S26" s="759">
        <v>0</v>
      </c>
      <c r="T26" s="741" t="s">
        <v>587</v>
      </c>
    </row>
    <row r="27" spans="1:21" ht="20.25" customHeight="1" x14ac:dyDescent="0.2">
      <c r="A27" s="751">
        <v>16</v>
      </c>
      <c r="B27" s="1874" t="s">
        <v>645</v>
      </c>
      <c r="C27" s="759">
        <f t="shared" si="9"/>
        <v>150</v>
      </c>
      <c r="D27" s="759">
        <v>60</v>
      </c>
      <c r="E27" s="759">
        <f>D27-26</f>
        <v>34</v>
      </c>
      <c r="F27" s="759">
        <v>30</v>
      </c>
      <c r="G27" s="759">
        <f>F27-26</f>
        <v>4</v>
      </c>
      <c r="H27" s="759"/>
      <c r="I27" s="759"/>
      <c r="J27" s="759">
        <v>30</v>
      </c>
      <c r="K27" s="759">
        <f>J27-26</f>
        <v>4</v>
      </c>
      <c r="L27" s="759"/>
      <c r="M27" s="759"/>
      <c r="N27" s="759">
        <v>30</v>
      </c>
      <c r="O27" s="759">
        <f>N27-26</f>
        <v>4</v>
      </c>
      <c r="P27" s="759"/>
      <c r="Q27" s="759"/>
      <c r="R27" s="759"/>
      <c r="S27" s="759"/>
      <c r="T27" s="741" t="str">
        <f>T13</f>
        <v>ĐBXH</v>
      </c>
    </row>
    <row r="28" spans="1:21" ht="31.5" customHeight="1" x14ac:dyDescent="0.2">
      <c r="A28" s="751">
        <v>17</v>
      </c>
      <c r="B28" s="1874" t="s">
        <v>1478</v>
      </c>
      <c r="C28" s="759">
        <f t="shared" si="9"/>
        <v>126</v>
      </c>
      <c r="D28" s="759">
        <v>20</v>
      </c>
      <c r="E28" s="759">
        <v>20</v>
      </c>
      <c r="F28" s="759">
        <v>12</v>
      </c>
      <c r="G28" s="759">
        <v>12</v>
      </c>
      <c r="H28" s="759">
        <v>12</v>
      </c>
      <c r="I28" s="1875">
        <v>12</v>
      </c>
      <c r="J28" s="759">
        <v>23</v>
      </c>
      <c r="K28" s="1875">
        <v>23</v>
      </c>
      <c r="L28" s="759">
        <v>15</v>
      </c>
      <c r="M28" s="759">
        <v>15</v>
      </c>
      <c r="N28" s="759">
        <v>14</v>
      </c>
      <c r="O28" s="759">
        <v>14</v>
      </c>
      <c r="P28" s="759">
        <v>22</v>
      </c>
      <c r="Q28" s="1875">
        <v>22</v>
      </c>
      <c r="R28" s="759">
        <v>8</v>
      </c>
      <c r="S28" s="759">
        <v>8</v>
      </c>
      <c r="T28" s="741" t="str">
        <f>T25</f>
        <v>QLHC</v>
      </c>
    </row>
    <row r="29" spans="1:21" ht="33" customHeight="1" x14ac:dyDescent="0.2">
      <c r="A29" s="751">
        <v>18</v>
      </c>
      <c r="B29" s="1874" t="s">
        <v>1494</v>
      </c>
      <c r="C29" s="759">
        <f t="shared" si="9"/>
        <v>41</v>
      </c>
      <c r="D29" s="759">
        <v>1</v>
      </c>
      <c r="E29" s="759">
        <v>1</v>
      </c>
      <c r="F29" s="759">
        <v>7</v>
      </c>
      <c r="G29" s="759">
        <v>7</v>
      </c>
      <c r="H29" s="759">
        <v>3</v>
      </c>
      <c r="I29" s="1875">
        <v>3</v>
      </c>
      <c r="J29" s="759">
        <v>14</v>
      </c>
      <c r="K29" s="759">
        <v>14</v>
      </c>
      <c r="L29" s="759">
        <v>11</v>
      </c>
      <c r="M29" s="759">
        <v>11</v>
      </c>
      <c r="N29" s="759">
        <v>4</v>
      </c>
      <c r="O29" s="759">
        <v>4</v>
      </c>
      <c r="P29" s="759"/>
      <c r="Q29" s="759"/>
      <c r="R29" s="759">
        <v>1</v>
      </c>
      <c r="S29" s="759">
        <v>1</v>
      </c>
      <c r="T29" s="741" t="str">
        <f>T28</f>
        <v>QLHC</v>
      </c>
    </row>
    <row r="30" spans="1:21" ht="20.25" customHeight="1" x14ac:dyDescent="0.2">
      <c r="A30" s="751">
        <v>19</v>
      </c>
      <c r="B30" s="1874" t="s">
        <v>1504</v>
      </c>
      <c r="C30" s="759">
        <f t="shared" si="9"/>
        <v>3324</v>
      </c>
      <c r="D30" s="759">
        <v>19</v>
      </c>
      <c r="E30" s="759">
        <v>19</v>
      </c>
      <c r="F30" s="759">
        <v>1166</v>
      </c>
      <c r="G30" s="759">
        <v>1166</v>
      </c>
      <c r="H30" s="759">
        <v>34</v>
      </c>
      <c r="I30" s="1875">
        <v>34</v>
      </c>
      <c r="J30" s="759">
        <v>1500</v>
      </c>
      <c r="K30" s="759">
        <v>1500</v>
      </c>
      <c r="L30" s="759">
        <v>221</v>
      </c>
      <c r="M30" s="759">
        <v>221</v>
      </c>
      <c r="N30" s="759">
        <v>58</v>
      </c>
      <c r="O30" s="759">
        <v>58</v>
      </c>
      <c r="P30" s="759">
        <v>188</v>
      </c>
      <c r="Q30" s="759">
        <v>188</v>
      </c>
      <c r="R30" s="759">
        <v>138</v>
      </c>
      <c r="S30" s="759">
        <v>138</v>
      </c>
      <c r="T30" s="741" t="str">
        <f>T31</f>
        <v>SNKT</v>
      </c>
    </row>
    <row r="31" spans="1:21" ht="22.5" customHeight="1" x14ac:dyDescent="0.25">
      <c r="A31" s="751">
        <v>20</v>
      </c>
      <c r="B31" s="758" t="s">
        <v>588</v>
      </c>
      <c r="C31" s="759">
        <f t="shared" si="2"/>
        <v>2000</v>
      </c>
      <c r="D31" s="759">
        <v>2000</v>
      </c>
      <c r="E31" s="759">
        <f>D31-1000</f>
        <v>1000</v>
      </c>
      <c r="F31" s="759"/>
      <c r="G31" s="759"/>
      <c r="H31" s="759"/>
      <c r="I31" s="759"/>
      <c r="J31" s="759"/>
      <c r="K31" s="759"/>
      <c r="L31" s="759"/>
      <c r="M31" s="759"/>
      <c r="N31" s="759"/>
      <c r="O31" s="759"/>
      <c r="P31" s="759"/>
      <c r="Q31" s="759"/>
      <c r="R31" s="759"/>
      <c r="S31" s="759"/>
      <c r="T31" s="741" t="s">
        <v>589</v>
      </c>
    </row>
    <row r="32" spans="1:21" ht="24" customHeight="1" x14ac:dyDescent="0.2">
      <c r="A32" s="751">
        <v>21</v>
      </c>
      <c r="B32" s="1874" t="s">
        <v>1568</v>
      </c>
      <c r="C32" s="759">
        <f t="shared" si="2"/>
        <v>1000</v>
      </c>
      <c r="D32" s="759">
        <v>1000</v>
      </c>
      <c r="E32" s="759">
        <v>1000</v>
      </c>
      <c r="F32" s="759"/>
      <c r="G32" s="759"/>
      <c r="H32" s="759"/>
      <c r="I32" s="759"/>
      <c r="J32" s="759"/>
      <c r="K32" s="759"/>
      <c r="L32" s="759"/>
      <c r="M32" s="759"/>
      <c r="N32" s="759"/>
      <c r="O32" s="759"/>
      <c r="P32" s="759"/>
      <c r="Q32" s="759"/>
      <c r="R32" s="759"/>
      <c r="S32" s="759"/>
    </row>
    <row r="33" spans="1:22" ht="24" customHeight="1" x14ac:dyDescent="0.2">
      <c r="A33" s="751">
        <v>22</v>
      </c>
      <c r="B33" s="1874" t="s">
        <v>590</v>
      </c>
      <c r="C33" s="759">
        <f>D33+F33+H33+J33+L33+N33+P33+R33</f>
        <v>990</v>
      </c>
      <c r="D33" s="759">
        <f>70+80</f>
        <v>150</v>
      </c>
      <c r="E33" s="759">
        <v>0</v>
      </c>
      <c r="F33" s="759">
        <f>40+80</f>
        <v>120</v>
      </c>
      <c r="G33" s="759">
        <v>0</v>
      </c>
      <c r="H33" s="759">
        <f>70+50</f>
        <v>120</v>
      </c>
      <c r="I33" s="759"/>
      <c r="J33" s="759">
        <f>50+80</f>
        <v>130</v>
      </c>
      <c r="K33" s="759">
        <v>0</v>
      </c>
      <c r="L33" s="759">
        <f>80+50</f>
        <v>130</v>
      </c>
      <c r="M33" s="759">
        <v>0</v>
      </c>
      <c r="N33" s="759">
        <f>30+80</f>
        <v>110</v>
      </c>
      <c r="O33" s="759">
        <v>0</v>
      </c>
      <c r="P33" s="759">
        <f>55+65</f>
        <v>120</v>
      </c>
      <c r="Q33" s="759">
        <v>0</v>
      </c>
      <c r="R33" s="759">
        <f>40+70</f>
        <v>110</v>
      </c>
      <c r="S33" s="759">
        <v>0</v>
      </c>
      <c r="T33" s="741" t="str">
        <f>T31</f>
        <v>SNKT</v>
      </c>
    </row>
    <row r="34" spans="1:22" ht="31.5" customHeight="1" x14ac:dyDescent="0.2">
      <c r="A34" s="751">
        <v>23</v>
      </c>
      <c r="B34" s="1874" t="s">
        <v>650</v>
      </c>
      <c r="C34" s="759">
        <f t="shared" si="2"/>
        <v>3027</v>
      </c>
      <c r="D34" s="759">
        <v>170</v>
      </c>
      <c r="E34" s="759">
        <f>D34</f>
        <v>170</v>
      </c>
      <c r="F34" s="759">
        <v>430</v>
      </c>
      <c r="G34" s="759">
        <f>F34</f>
        <v>430</v>
      </c>
      <c r="H34" s="759">
        <v>380</v>
      </c>
      <c r="I34" s="1875">
        <f>H34</f>
        <v>380</v>
      </c>
      <c r="J34" s="759">
        <v>555</v>
      </c>
      <c r="K34" s="1875">
        <f>J34</f>
        <v>555</v>
      </c>
      <c r="L34" s="759">
        <v>545</v>
      </c>
      <c r="M34" s="759">
        <f>L34</f>
        <v>545</v>
      </c>
      <c r="N34" s="759">
        <v>297</v>
      </c>
      <c r="O34" s="759">
        <f>N34-22</f>
        <v>275</v>
      </c>
      <c r="P34" s="759">
        <v>400</v>
      </c>
      <c r="Q34" s="1875">
        <f>P34</f>
        <v>400</v>
      </c>
      <c r="R34" s="759">
        <v>250</v>
      </c>
      <c r="S34" s="759">
        <f>R34</f>
        <v>250</v>
      </c>
      <c r="T34" s="741" t="s">
        <v>586</v>
      </c>
    </row>
    <row r="35" spans="1:22" ht="24" customHeight="1" x14ac:dyDescent="0.2">
      <c r="A35" s="751">
        <v>24</v>
      </c>
      <c r="B35" s="1874" t="s">
        <v>1469</v>
      </c>
      <c r="C35" s="759">
        <f t="shared" si="2"/>
        <v>405</v>
      </c>
      <c r="D35" s="759">
        <v>1</v>
      </c>
      <c r="E35" s="759">
        <v>1</v>
      </c>
      <c r="F35" s="759">
        <v>45</v>
      </c>
      <c r="G35" s="759">
        <v>45</v>
      </c>
      <c r="H35" s="759">
        <v>43</v>
      </c>
      <c r="I35" s="1875">
        <v>43</v>
      </c>
      <c r="J35" s="759">
        <v>64</v>
      </c>
      <c r="K35" s="1875">
        <v>64</v>
      </c>
      <c r="L35" s="759">
        <v>96</v>
      </c>
      <c r="M35" s="759">
        <v>96</v>
      </c>
      <c r="N35" s="759">
        <v>53</v>
      </c>
      <c r="O35" s="759">
        <v>53</v>
      </c>
      <c r="P35" s="759">
        <v>53</v>
      </c>
      <c r="Q35" s="1875">
        <v>53</v>
      </c>
      <c r="R35" s="759">
        <v>50</v>
      </c>
      <c r="S35" s="759">
        <v>50</v>
      </c>
      <c r="T35" s="741" t="str">
        <f>T34</f>
        <v>QLHC</v>
      </c>
    </row>
    <row r="36" spans="1:22" ht="24" customHeight="1" x14ac:dyDescent="0.2">
      <c r="A36" s="751">
        <v>25</v>
      </c>
      <c r="B36" s="1874" t="s">
        <v>1470</v>
      </c>
      <c r="C36" s="759">
        <f t="shared" si="2"/>
        <v>5080</v>
      </c>
      <c r="D36" s="759">
        <v>140</v>
      </c>
      <c r="E36" s="759">
        <f>D36</f>
        <v>140</v>
      </c>
      <c r="F36" s="759">
        <v>900</v>
      </c>
      <c r="G36" s="759">
        <f>F36</f>
        <v>900</v>
      </c>
      <c r="H36" s="759">
        <v>360</v>
      </c>
      <c r="I36" s="1875">
        <v>360</v>
      </c>
      <c r="J36" s="759">
        <v>1780</v>
      </c>
      <c r="K36" s="759">
        <v>1780</v>
      </c>
      <c r="L36" s="759">
        <v>1300</v>
      </c>
      <c r="M36" s="759">
        <v>1300</v>
      </c>
      <c r="N36" s="759">
        <v>440</v>
      </c>
      <c r="O36" s="759">
        <v>440</v>
      </c>
      <c r="P36" s="759">
        <v>0</v>
      </c>
      <c r="Q36" s="759">
        <v>0</v>
      </c>
      <c r="R36" s="759">
        <v>160</v>
      </c>
      <c r="S36" s="759">
        <v>160</v>
      </c>
      <c r="T36" s="741" t="s">
        <v>643</v>
      </c>
    </row>
    <row r="37" spans="1:22" ht="24" customHeight="1" x14ac:dyDescent="0.2">
      <c r="A37" s="751">
        <v>26</v>
      </c>
      <c r="B37" s="1874" t="s">
        <v>601</v>
      </c>
      <c r="C37" s="759">
        <f t="shared" si="2"/>
        <v>74</v>
      </c>
      <c r="D37" s="759"/>
      <c r="E37" s="759"/>
      <c r="F37" s="759">
        <v>24</v>
      </c>
      <c r="G37" s="759">
        <f>F37</f>
        <v>24</v>
      </c>
      <c r="H37" s="759"/>
      <c r="I37" s="1875">
        <v>-48</v>
      </c>
      <c r="J37" s="759">
        <v>25</v>
      </c>
      <c r="K37" s="1875">
        <f>J37</f>
        <v>25</v>
      </c>
      <c r="L37" s="759"/>
      <c r="M37" s="759">
        <v>-22</v>
      </c>
      <c r="N37" s="759"/>
      <c r="O37" s="759">
        <v>-22</v>
      </c>
      <c r="P37" s="759">
        <v>25</v>
      </c>
      <c r="Q37" s="759">
        <f>P37</f>
        <v>25</v>
      </c>
      <c r="R37" s="759"/>
      <c r="S37" s="759">
        <v>-22</v>
      </c>
      <c r="T37" s="741" t="s">
        <v>868</v>
      </c>
    </row>
    <row r="38" spans="1:22" ht="24" customHeight="1" x14ac:dyDescent="0.2">
      <c r="A38" s="751">
        <v>27</v>
      </c>
      <c r="B38" s="1874" t="s">
        <v>591</v>
      </c>
      <c r="C38" s="759">
        <f t="shared" si="2"/>
        <v>510</v>
      </c>
      <c r="D38" s="759">
        <v>80</v>
      </c>
      <c r="E38" s="759">
        <f>-160+D38</f>
        <v>-80</v>
      </c>
      <c r="F38" s="759"/>
      <c r="G38" s="759"/>
      <c r="H38" s="759"/>
      <c r="I38" s="1875">
        <v>-180</v>
      </c>
      <c r="J38" s="759">
        <v>120</v>
      </c>
      <c r="K38" s="1875">
        <v>120</v>
      </c>
      <c r="L38" s="759">
        <v>60</v>
      </c>
      <c r="M38" s="759">
        <f>L38-220</f>
        <v>-160</v>
      </c>
      <c r="N38" s="759"/>
      <c r="O38" s="759">
        <v>-70</v>
      </c>
      <c r="P38" s="759">
        <v>80</v>
      </c>
      <c r="Q38" s="1875">
        <v>80</v>
      </c>
      <c r="R38" s="759">
        <f>10+160</f>
        <v>170</v>
      </c>
      <c r="S38" s="759">
        <f>R38-210</f>
        <v>-40</v>
      </c>
      <c r="T38" s="741" t="str">
        <f>T25</f>
        <v>QLHC</v>
      </c>
      <c r="V38" s="445" t="e">
        <f>#REF!+#REF!</f>
        <v>#REF!</v>
      </c>
    </row>
    <row r="39" spans="1:22" ht="24" customHeight="1" x14ac:dyDescent="0.2">
      <c r="A39" s="751">
        <v>28</v>
      </c>
      <c r="B39" s="1874" t="s">
        <v>952</v>
      </c>
      <c r="C39" s="759">
        <f t="shared" si="2"/>
        <v>4500</v>
      </c>
      <c r="D39" s="759">
        <v>500</v>
      </c>
      <c r="E39" s="759">
        <f>D39</f>
        <v>500</v>
      </c>
      <c r="F39" s="759">
        <v>500</v>
      </c>
      <c r="G39" s="759">
        <f>F39-400</f>
        <v>100</v>
      </c>
      <c r="H39" s="759">
        <f>500+500</f>
        <v>1000</v>
      </c>
      <c r="I39" s="1875">
        <f>H39-400</f>
        <v>600</v>
      </c>
      <c r="J39" s="759">
        <v>500</v>
      </c>
      <c r="K39" s="1875">
        <f>J39-400</f>
        <v>100</v>
      </c>
      <c r="L39" s="759"/>
      <c r="M39" s="759">
        <v>-400</v>
      </c>
      <c r="N39" s="759">
        <f>500+500</f>
        <v>1000</v>
      </c>
      <c r="O39" s="759">
        <f>-400+N39</f>
        <v>600</v>
      </c>
      <c r="P39" s="759">
        <f>500+500</f>
        <v>1000</v>
      </c>
      <c r="Q39" s="1875">
        <f>P39-400</f>
        <v>600</v>
      </c>
      <c r="R39" s="759"/>
      <c r="S39" s="759">
        <v>-800</v>
      </c>
      <c r="T39" s="741" t="s">
        <v>589</v>
      </c>
      <c r="V39" s="445"/>
    </row>
    <row r="40" spans="1:22" ht="24" customHeight="1" x14ac:dyDescent="0.2">
      <c r="A40" s="1179">
        <v>29</v>
      </c>
      <c r="B40" s="1876" t="s">
        <v>934</v>
      </c>
      <c r="C40" s="1180">
        <f t="shared" si="2"/>
        <v>4600</v>
      </c>
      <c r="D40" s="1180">
        <f>800</f>
        <v>800</v>
      </c>
      <c r="E40" s="1180"/>
      <c r="F40" s="1180">
        <f>500</f>
        <v>500</v>
      </c>
      <c r="G40" s="1180"/>
      <c r="H40" s="1180">
        <f>500</f>
        <v>500</v>
      </c>
      <c r="I40" s="1180"/>
      <c r="J40" s="1180">
        <f>500</f>
        <v>500</v>
      </c>
      <c r="K40" s="1180"/>
      <c r="L40" s="1180">
        <f>600</f>
        <v>600</v>
      </c>
      <c r="M40" s="1180"/>
      <c r="N40" s="1180">
        <f>500</f>
        <v>500</v>
      </c>
      <c r="O40" s="1180"/>
      <c r="P40" s="1180">
        <f>600</f>
        <v>600</v>
      </c>
      <c r="Q40" s="1180"/>
      <c r="R40" s="1180">
        <f>600</f>
        <v>600</v>
      </c>
      <c r="S40" s="1180"/>
      <c r="T40" s="741" t="s">
        <v>586</v>
      </c>
      <c r="V40" s="445"/>
    </row>
    <row r="41" spans="1:22" ht="24.75" customHeight="1" x14ac:dyDescent="0.2">
      <c r="B41" s="2121" t="s">
        <v>602</v>
      </c>
      <c r="C41" s="2121"/>
      <c r="D41" s="2121"/>
      <c r="E41" s="2121"/>
      <c r="F41" s="2121"/>
      <c r="G41" s="2121"/>
      <c r="H41" s="2121"/>
      <c r="I41" s="2121"/>
      <c r="J41" s="2121"/>
      <c r="K41" s="2121"/>
      <c r="L41" s="2121"/>
      <c r="M41" s="2121"/>
      <c r="N41" s="2121"/>
      <c r="O41" s="2121"/>
      <c r="P41" s="2121"/>
      <c r="Q41" s="2121"/>
      <c r="R41" s="2121"/>
      <c r="S41" s="960"/>
    </row>
    <row r="42" spans="1:22" hidden="1" x14ac:dyDescent="0.2">
      <c r="D42" s="1877" t="s">
        <v>592</v>
      </c>
      <c r="E42" s="1877"/>
      <c r="F42" s="712" t="s">
        <v>593</v>
      </c>
      <c r="G42" s="712"/>
      <c r="H42" s="712" t="s">
        <v>594</v>
      </c>
      <c r="I42" s="712"/>
      <c r="J42" s="712" t="s">
        <v>595</v>
      </c>
      <c r="K42" s="712"/>
      <c r="L42" s="712" t="s">
        <v>596</v>
      </c>
      <c r="M42" s="712"/>
      <c r="N42" s="712" t="s">
        <v>597</v>
      </c>
      <c r="O42" s="712"/>
      <c r="P42" s="712" t="s">
        <v>598</v>
      </c>
      <c r="Q42" s="712"/>
      <c r="R42" s="712" t="s">
        <v>599</v>
      </c>
      <c r="S42" s="712"/>
    </row>
    <row r="43" spans="1:22" hidden="1" x14ac:dyDescent="0.2">
      <c r="D43" s="1878">
        <f>(141*(2+0.3)*1.4*1.15*12*1.24)</f>
        <v>7769.1902399999972</v>
      </c>
      <c r="E43" s="1878"/>
      <c r="F43" s="1878">
        <f>(23*(2+0.45)*1.7*1.15*12*1.24)</f>
        <v>1639.24404</v>
      </c>
      <c r="G43" s="1878"/>
      <c r="H43" s="1878">
        <f>(59*(2+0.35)*1.6*1.15*12*1.24)</f>
        <v>3796.1260800000005</v>
      </c>
      <c r="I43" s="1878"/>
      <c r="J43" s="1878">
        <f>(58*(2+0.55)*1.7*1.15*12*1.24)</f>
        <v>4302.4701599999989</v>
      </c>
      <c r="K43" s="1878"/>
      <c r="L43" s="1878">
        <f>(38*(2+0.58)*1.7*1.15*12*1.24)</f>
        <v>2852.0228159999997</v>
      </c>
      <c r="M43" s="1878"/>
      <c r="N43" s="1878">
        <f>(30*(2+0.55)*1.7*1.15*12*1.24)</f>
        <v>2225.4155999999994</v>
      </c>
      <c r="O43" s="1878"/>
      <c r="P43" s="1878"/>
      <c r="Q43" s="1878"/>
      <c r="R43" s="1878">
        <f>(51*(2+0.66)*2*1.15*12*1.24)</f>
        <v>4642.827839999999</v>
      </c>
      <c r="S43" s="1878"/>
    </row>
    <row r="44" spans="1:22" hidden="1" x14ac:dyDescent="0.2">
      <c r="D44" s="1878">
        <f>(141*(2+0.3)*1.4*0.73*12*1.21)</f>
        <v>4812.4303919999993</v>
      </c>
      <c r="E44" s="1878"/>
      <c r="F44" s="1878">
        <f>(23*(2+0.45)*1.7*0.73*12*1.21)</f>
        <v>1015.388682</v>
      </c>
      <c r="G44" s="1878"/>
      <c r="H44" s="1878">
        <f>(59*(2+0.35)*1.6*0.73*12*1.21)</f>
        <v>2351.4152640000002</v>
      </c>
      <c r="I44" s="1878"/>
      <c r="J44" s="1878">
        <f>(58*(2+0.55)*1.7*0.73*12*1.21)</f>
        <v>2665.0574279999996</v>
      </c>
      <c r="K44" s="1878"/>
      <c r="L44" s="1878">
        <f>(38*(2+0.58)*1.7*0.73*12*1.21)</f>
        <v>1766.6141328000001</v>
      </c>
      <c r="M44" s="1878"/>
      <c r="N44" s="1878">
        <f>(30*(2+0.55)*1.7*0.73*12*1.21)</f>
        <v>1378.4779799999997</v>
      </c>
      <c r="O44" s="1879"/>
      <c r="R44" s="1878">
        <f>(51*(2+0.66)*2*0.73*12*1.21)</f>
        <v>2875.883472</v>
      </c>
      <c r="S44" s="1878"/>
    </row>
    <row r="45" spans="1:22" hidden="1" x14ac:dyDescent="0.2">
      <c r="D45" s="111">
        <f>D44/0.8</f>
        <v>6015.5379899999989</v>
      </c>
      <c r="F45" s="111">
        <f>F44/0.8</f>
        <v>1269.2358525</v>
      </c>
      <c r="H45" s="111">
        <f>H44/0.8</f>
        <v>2939.26908</v>
      </c>
      <c r="J45" s="111">
        <f>J44/0.8</f>
        <v>3331.3217849999992</v>
      </c>
      <c r="L45" s="111">
        <f>L44/0.8</f>
        <v>2208.2676660000002</v>
      </c>
      <c r="N45" s="1878">
        <f>(30*(2+0.3)*1.7*0.73*12*1.21)/0.8</f>
        <v>1554.1663499999995</v>
      </c>
      <c r="O45" s="1879"/>
      <c r="R45" s="111">
        <f>R44/0.8</f>
        <v>3594.8543399999999</v>
      </c>
    </row>
    <row r="46" spans="1:22" hidden="1" x14ac:dyDescent="0.2">
      <c r="D46" s="1880">
        <f t="shared" ref="D46:N46" si="10">D45-D44</f>
        <v>1203.1075979999996</v>
      </c>
      <c r="E46" s="1880"/>
      <c r="F46" s="1880">
        <f t="shared" si="10"/>
        <v>253.84717049999995</v>
      </c>
      <c r="G46" s="1880"/>
      <c r="H46" s="1880">
        <f t="shared" si="10"/>
        <v>587.85381599999982</v>
      </c>
      <c r="I46" s="1880"/>
      <c r="J46" s="1880">
        <f t="shared" si="10"/>
        <v>666.26435699999956</v>
      </c>
      <c r="K46" s="1880"/>
      <c r="L46" s="1880">
        <f t="shared" si="10"/>
        <v>441.65353320000008</v>
      </c>
      <c r="M46" s="1880"/>
      <c r="N46" s="1880">
        <f t="shared" si="10"/>
        <v>175.68836999999985</v>
      </c>
      <c r="O46" s="1880"/>
      <c r="R46" s="1880">
        <f>R45-R44</f>
        <v>718.97086799999988</v>
      </c>
      <c r="S46" s="1880"/>
    </row>
    <row r="47" spans="1:22" s="401" customFormat="1" hidden="1" x14ac:dyDescent="0.2">
      <c r="A47" s="1881"/>
      <c r="C47" s="111" t="s">
        <v>600</v>
      </c>
      <c r="D47" s="1882">
        <f>D46+D43</f>
        <v>8972.2978379999968</v>
      </c>
      <c r="E47" s="1882"/>
      <c r="F47" s="1882">
        <f>F46+F43</f>
        <v>1893.0912105</v>
      </c>
      <c r="G47" s="1882"/>
      <c r="H47" s="1882">
        <f>H46+H43</f>
        <v>4383.9798960000007</v>
      </c>
      <c r="I47" s="1882"/>
      <c r="J47" s="1882">
        <f>J43+J46</f>
        <v>4968.734516999999</v>
      </c>
      <c r="K47" s="1882"/>
      <c r="L47" s="1882">
        <f>L46+L43</f>
        <v>3293.6763492</v>
      </c>
      <c r="M47" s="1882"/>
      <c r="N47" s="1882">
        <f>N43+N46</f>
        <v>2401.1039699999992</v>
      </c>
      <c r="O47" s="1882"/>
      <c r="R47" s="1882">
        <f>R46+R43</f>
        <v>5361.7987079999984</v>
      </c>
      <c r="S47" s="1882"/>
      <c r="T47" s="712"/>
    </row>
    <row r="48" spans="1:22" s="745" customFormat="1" ht="27.75" customHeight="1" x14ac:dyDescent="0.2">
      <c r="A48" s="1883"/>
      <c r="B48" s="2116" t="s">
        <v>1569</v>
      </c>
      <c r="C48" s="2116"/>
      <c r="D48" s="2116"/>
      <c r="E48" s="2116"/>
      <c r="F48" s="2116"/>
      <c r="G48" s="2116"/>
      <c r="H48" s="2116"/>
      <c r="I48" s="2116"/>
      <c r="J48" s="2116"/>
      <c r="K48" s="2116"/>
      <c r="L48" s="2116"/>
      <c r="M48" s="2116"/>
      <c r="N48" s="2116"/>
      <c r="O48" s="2116"/>
      <c r="P48" s="2116"/>
      <c r="Q48" s="2116"/>
      <c r="R48" s="2116"/>
      <c r="T48" s="743"/>
    </row>
    <row r="49" spans="2:19" ht="21" customHeight="1" x14ac:dyDescent="0.2"/>
    <row r="50" spans="2:19" x14ac:dyDescent="0.2">
      <c r="C50" s="445"/>
    </row>
    <row r="51" spans="2:19" hidden="1" x14ac:dyDescent="0.2">
      <c r="C51" s="1884">
        <f t="shared" ref="C51" si="11">D51+F51+H51+J51+L51+N51+P51+R51</f>
        <v>460</v>
      </c>
      <c r="D51" s="111">
        <f>D40*10%</f>
        <v>80</v>
      </c>
      <c r="E51" s="111">
        <f>E40*10%</f>
        <v>0</v>
      </c>
      <c r="F51" s="111">
        <f t="shared" ref="F51:S51" si="12">F40*10%</f>
        <v>50</v>
      </c>
      <c r="G51" s="111">
        <f t="shared" si="12"/>
        <v>0</v>
      </c>
      <c r="H51" s="111">
        <f t="shared" si="12"/>
        <v>50</v>
      </c>
      <c r="I51" s="111">
        <f t="shared" si="12"/>
        <v>0</v>
      </c>
      <c r="J51" s="111">
        <f t="shared" si="12"/>
        <v>50</v>
      </c>
      <c r="K51" s="111">
        <f t="shared" si="12"/>
        <v>0</v>
      </c>
      <c r="L51" s="111">
        <f t="shared" si="12"/>
        <v>60</v>
      </c>
      <c r="M51" s="111">
        <f t="shared" si="12"/>
        <v>0</v>
      </c>
      <c r="N51" s="111">
        <f t="shared" si="12"/>
        <v>50</v>
      </c>
      <c r="O51" s="111">
        <f t="shared" si="12"/>
        <v>0</v>
      </c>
      <c r="P51" s="111">
        <f t="shared" si="12"/>
        <v>60</v>
      </c>
      <c r="Q51" s="111">
        <f t="shared" si="12"/>
        <v>0</v>
      </c>
      <c r="R51" s="111">
        <f t="shared" si="12"/>
        <v>60</v>
      </c>
      <c r="S51" s="111">
        <f t="shared" si="12"/>
        <v>0</v>
      </c>
    </row>
    <row r="52" spans="2:19" ht="18.75" x14ac:dyDescent="0.3">
      <c r="B52" s="1885"/>
    </row>
    <row r="53" spans="2:19" x14ac:dyDescent="0.2">
      <c r="C53" s="445"/>
    </row>
  </sheetData>
  <mergeCells count="6">
    <mergeCell ref="B48:R48"/>
    <mergeCell ref="A1:R1"/>
    <mergeCell ref="A2:R2"/>
    <mergeCell ref="A3:R3"/>
    <mergeCell ref="N4:R4"/>
    <mergeCell ref="B41:R41"/>
  </mergeCells>
  <pageMargins left="0.63" right="0.24" top="0.75" bottom="0.47" header="0.3" footer="0.22"/>
  <pageSetup paperSize="9" firstPageNumber="134" orientation="landscape" useFirstPageNumber="1" r:id="rId1"/>
  <headerFooter>
    <oddHeader>&amp;RBiểu số 44</oddHeader>
    <oddFooter>&amp;C&amp;P</oddFooter>
  </headerFooter>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20"/>
  <sheetViews>
    <sheetView workbookViewId="0">
      <selection activeCell="I8" sqref="I8"/>
    </sheetView>
  </sheetViews>
  <sheetFormatPr defaultRowHeight="15.75" x14ac:dyDescent="0.25"/>
  <cols>
    <col min="1" max="1" width="5.125" style="963" customWidth="1"/>
    <col min="2" max="2" width="34.75" style="963" customWidth="1"/>
    <col min="3" max="5" width="10.75" style="963" customWidth="1"/>
    <col min="6" max="16384" width="9" style="963"/>
  </cols>
  <sheetData>
    <row r="1" spans="1:5" x14ac:dyDescent="0.25">
      <c r="A1" s="1494"/>
      <c r="B1" s="1494"/>
      <c r="C1" s="1494"/>
      <c r="D1" s="1494"/>
      <c r="E1" s="1496" t="s">
        <v>379</v>
      </c>
    </row>
    <row r="2" spans="1:5" ht="15.75" customHeight="1" x14ac:dyDescent="0.25">
      <c r="A2" s="2081" t="s">
        <v>1940</v>
      </c>
      <c r="B2" s="2081"/>
      <c r="C2" s="2081"/>
      <c r="D2" s="2081"/>
      <c r="E2" s="2081"/>
    </row>
    <row r="3" spans="1:5" ht="15.75" customHeight="1" x14ac:dyDescent="0.25">
      <c r="A3" s="2081" t="s">
        <v>351</v>
      </c>
      <c r="B3" s="2081"/>
      <c r="C3" s="2081"/>
      <c r="D3" s="2081"/>
      <c r="E3" s="2081"/>
    </row>
    <row r="4" spans="1:5" ht="15.75" customHeight="1" x14ac:dyDescent="0.25">
      <c r="A4" s="2081" t="s">
        <v>32</v>
      </c>
      <c r="B4" s="2081"/>
      <c r="C4" s="2081"/>
      <c r="D4" s="2081"/>
      <c r="E4" s="2081"/>
    </row>
    <row r="5" spans="1:5" x14ac:dyDescent="0.25">
      <c r="A5" s="1494"/>
      <c r="B5" s="1494"/>
      <c r="C5" s="1494"/>
      <c r="D5" s="1494"/>
      <c r="E5" s="1497" t="s">
        <v>6</v>
      </c>
    </row>
    <row r="6" spans="1:5" ht="47.25" x14ac:dyDescent="0.25">
      <c r="A6" s="1498" t="s">
        <v>0</v>
      </c>
      <c r="B6" s="1498" t="s">
        <v>1</v>
      </c>
      <c r="C6" s="1498" t="s">
        <v>1255</v>
      </c>
      <c r="D6" s="1498" t="s">
        <v>1941</v>
      </c>
      <c r="E6" s="1498" t="s">
        <v>43</v>
      </c>
    </row>
    <row r="7" spans="1:5" s="69" customFormat="1" x14ac:dyDescent="0.25">
      <c r="A7" s="1499" t="s">
        <v>2</v>
      </c>
      <c r="B7" s="1499" t="s">
        <v>3</v>
      </c>
      <c r="C7" s="1499">
        <v>1</v>
      </c>
      <c r="D7" s="1499">
        <v>2</v>
      </c>
      <c r="E7" s="1499" t="s">
        <v>352</v>
      </c>
    </row>
    <row r="8" spans="1:5" x14ac:dyDescent="0.25">
      <c r="A8" s="1652"/>
      <c r="B8" s="1652" t="s">
        <v>89</v>
      </c>
      <c r="C8" s="1653"/>
      <c r="D8" s="1653"/>
      <c r="E8" s="1653"/>
    </row>
    <row r="9" spans="1:5" x14ac:dyDescent="0.25">
      <c r="A9" s="1654">
        <v>1</v>
      </c>
      <c r="B9" s="1655" t="s">
        <v>353</v>
      </c>
      <c r="C9" s="1656">
        <v>11491</v>
      </c>
      <c r="D9" s="1656">
        <v>16400</v>
      </c>
      <c r="E9" s="1657">
        <v>142.72038987033332</v>
      </c>
    </row>
    <row r="10" spans="1:5" x14ac:dyDescent="0.25">
      <c r="A10" s="1654" t="s">
        <v>23</v>
      </c>
      <c r="B10" s="1658" t="s">
        <v>354</v>
      </c>
      <c r="C10" s="1656">
        <v>1696</v>
      </c>
      <c r="D10" s="1656">
        <v>2908</v>
      </c>
      <c r="E10" s="1657">
        <v>142.72038987033332</v>
      </c>
    </row>
    <row r="11" spans="1:5" x14ac:dyDescent="0.25">
      <c r="A11" s="1654" t="s">
        <v>23</v>
      </c>
      <c r="B11" s="1658" t="s">
        <v>355</v>
      </c>
      <c r="C11" s="1656">
        <v>9795</v>
      </c>
      <c r="D11" s="1656">
        <v>13492</v>
      </c>
      <c r="E11" s="1657">
        <v>137.74374680959673</v>
      </c>
    </row>
    <row r="12" spans="1:5" x14ac:dyDescent="0.25">
      <c r="A12" s="1654">
        <v>2</v>
      </c>
      <c r="B12" s="1655" t="s">
        <v>356</v>
      </c>
      <c r="C12" s="1656">
        <v>110</v>
      </c>
      <c r="D12" s="1656">
        <v>220</v>
      </c>
      <c r="E12" s="1657">
        <v>200</v>
      </c>
    </row>
    <row r="13" spans="1:5" x14ac:dyDescent="0.25">
      <c r="A13" s="1654">
        <v>3</v>
      </c>
      <c r="B13" s="1655" t="s">
        <v>357</v>
      </c>
      <c r="C13" s="1656">
        <v>262892</v>
      </c>
      <c r="D13" s="1656">
        <v>271046</v>
      </c>
      <c r="E13" s="1657">
        <v>103.1016539111118</v>
      </c>
    </row>
    <row r="14" spans="1:5" x14ac:dyDescent="0.25">
      <c r="A14" s="1654">
        <v>4</v>
      </c>
      <c r="B14" s="1655" t="s">
        <v>358</v>
      </c>
      <c r="C14" s="1656">
        <v>4049</v>
      </c>
      <c r="D14" s="1656">
        <v>4121</v>
      </c>
      <c r="E14" s="1657">
        <v>101.77821684366511</v>
      </c>
    </row>
    <row r="15" spans="1:5" x14ac:dyDescent="0.25">
      <c r="A15" s="1654">
        <v>5</v>
      </c>
      <c r="B15" s="1655" t="s">
        <v>359</v>
      </c>
      <c r="C15" s="1656">
        <v>5231</v>
      </c>
      <c r="D15" s="1656">
        <v>5200</v>
      </c>
      <c r="E15" s="1657">
        <v>99.407379086216778</v>
      </c>
    </row>
    <row r="16" spans="1:5" x14ac:dyDescent="0.25">
      <c r="A16" s="1654">
        <v>6</v>
      </c>
      <c r="B16" s="1655" t="s">
        <v>360</v>
      </c>
      <c r="C16" s="1656">
        <v>350</v>
      </c>
      <c r="D16" s="1656">
        <v>454</v>
      </c>
      <c r="E16" s="1657">
        <v>129.71428571428572</v>
      </c>
    </row>
    <row r="17" spans="1:5" x14ac:dyDescent="0.25">
      <c r="A17" s="1654">
        <v>7</v>
      </c>
      <c r="B17" s="1655" t="s">
        <v>1931</v>
      </c>
      <c r="C17" s="1656">
        <v>8909</v>
      </c>
      <c r="D17" s="1656">
        <v>8959</v>
      </c>
      <c r="E17" s="1657">
        <v>100.56123021663485</v>
      </c>
    </row>
    <row r="18" spans="1:5" x14ac:dyDescent="0.25">
      <c r="A18" s="1654">
        <v>8</v>
      </c>
      <c r="B18" s="1655" t="s">
        <v>663</v>
      </c>
      <c r="C18" s="1656">
        <v>1100</v>
      </c>
      <c r="D18" s="1656">
        <v>1000</v>
      </c>
      <c r="E18" s="1657">
        <v>90.909090909090907</v>
      </c>
    </row>
    <row r="19" spans="1:5" x14ac:dyDescent="0.25">
      <c r="A19" s="1654">
        <v>9</v>
      </c>
      <c r="B19" s="1655" t="s">
        <v>1939</v>
      </c>
      <c r="C19" s="1656">
        <v>350</v>
      </c>
      <c r="D19" s="1656">
        <v>484</v>
      </c>
      <c r="E19" s="1657">
        <v>138.28571428571428</v>
      </c>
    </row>
    <row r="20" spans="1:5" x14ac:dyDescent="0.25">
      <c r="A20" s="94">
        <v>10</v>
      </c>
      <c r="B20" s="35"/>
      <c r="C20" s="94"/>
      <c r="D20" s="94"/>
      <c r="E20" s="94"/>
    </row>
  </sheetData>
  <mergeCells count="3">
    <mergeCell ref="A2:E2"/>
    <mergeCell ref="A3:E3"/>
    <mergeCell ref="A4:E4"/>
  </mergeCells>
  <pageMargins left="1.4" right="0.35" top="0.75" bottom="0.75" header="0.3" footer="0.3"/>
  <pageSetup paperSize="9" firstPageNumber="148" orientation="portrait" useFirstPageNumber="1" r:id="rId1"/>
  <headerFooter>
    <oddFooter>&amp;C&amp;P</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F16" sqref="F16"/>
    </sheetView>
  </sheetViews>
  <sheetFormatPr defaultRowHeight="15.75" x14ac:dyDescent="0.25"/>
  <cols>
    <col min="1" max="1" width="5.75" customWidth="1"/>
    <col min="2" max="2" width="39.125" customWidth="1"/>
    <col min="3" max="5" width="11.125" customWidth="1"/>
  </cols>
  <sheetData>
    <row r="1" spans="1:5" x14ac:dyDescent="0.25">
      <c r="E1" s="65" t="s">
        <v>350</v>
      </c>
    </row>
    <row r="2" spans="1:5" x14ac:dyDescent="0.25">
      <c r="A2" s="2023" t="s">
        <v>408</v>
      </c>
      <c r="B2" s="2023"/>
      <c r="C2" s="2023"/>
      <c r="D2" s="2023"/>
      <c r="E2" s="2023"/>
    </row>
    <row r="3" spans="1:5" x14ac:dyDescent="0.25">
      <c r="A3" s="2023" t="s">
        <v>351</v>
      </c>
      <c r="B3" s="2023"/>
      <c r="C3" s="2023"/>
      <c r="D3" s="2023"/>
      <c r="E3" s="2023"/>
    </row>
    <row r="4" spans="1:5" x14ac:dyDescent="0.25">
      <c r="A4" s="2122" t="s">
        <v>32</v>
      </c>
      <c r="B4" s="2122"/>
      <c r="C4" s="2122"/>
      <c r="D4" s="2122"/>
      <c r="E4" s="2122"/>
    </row>
    <row r="5" spans="1:5" x14ac:dyDescent="0.25">
      <c r="E5" s="6" t="s">
        <v>6</v>
      </c>
    </row>
    <row r="6" spans="1:5" ht="31.5" x14ac:dyDescent="0.25">
      <c r="A6" s="55" t="s">
        <v>0</v>
      </c>
      <c r="B6" s="55" t="s">
        <v>1</v>
      </c>
      <c r="C6" s="55" t="s">
        <v>338</v>
      </c>
      <c r="D6" s="55" t="s">
        <v>322</v>
      </c>
      <c r="E6" s="55" t="s">
        <v>43</v>
      </c>
    </row>
    <row r="7" spans="1:5" x14ac:dyDescent="0.25">
      <c r="A7" s="55" t="s">
        <v>2</v>
      </c>
      <c r="B7" s="55" t="s">
        <v>3</v>
      </c>
      <c r="C7" s="55">
        <v>1</v>
      </c>
      <c r="D7" s="55">
        <v>2</v>
      </c>
      <c r="E7" s="55" t="s">
        <v>352</v>
      </c>
    </row>
    <row r="8" spans="1:5" x14ac:dyDescent="0.25">
      <c r="A8" s="55"/>
      <c r="B8" s="62" t="s">
        <v>89</v>
      </c>
      <c r="C8" s="56"/>
      <c r="D8" s="56"/>
      <c r="E8" s="56"/>
    </row>
    <row r="9" spans="1:5" x14ac:dyDescent="0.25">
      <c r="A9" s="56">
        <v>1</v>
      </c>
      <c r="B9" s="63" t="s">
        <v>353</v>
      </c>
      <c r="C9" s="56"/>
      <c r="D9" s="56"/>
      <c r="E9" s="56"/>
    </row>
    <row r="10" spans="1:5" x14ac:dyDescent="0.25">
      <c r="A10" s="56" t="s">
        <v>23</v>
      </c>
      <c r="B10" s="64" t="s">
        <v>354</v>
      </c>
      <c r="C10" s="56"/>
      <c r="D10" s="56"/>
      <c r="E10" s="56"/>
    </row>
    <row r="11" spans="1:5" x14ac:dyDescent="0.25">
      <c r="A11" s="56" t="s">
        <v>23</v>
      </c>
      <c r="B11" s="64" t="s">
        <v>355</v>
      </c>
      <c r="C11" s="56"/>
      <c r="D11" s="56"/>
      <c r="E11" s="56"/>
    </row>
    <row r="12" spans="1:5" x14ac:dyDescent="0.25">
      <c r="A12" s="56">
        <v>2</v>
      </c>
      <c r="B12" s="63" t="s">
        <v>356</v>
      </c>
      <c r="C12" s="56"/>
      <c r="D12" s="56"/>
      <c r="E12" s="56"/>
    </row>
    <row r="13" spans="1:5" x14ac:dyDescent="0.25">
      <c r="A13" s="56">
        <v>3</v>
      </c>
      <c r="B13" s="63" t="s">
        <v>357</v>
      </c>
      <c r="C13" s="56"/>
      <c r="D13" s="56"/>
      <c r="E13" s="56"/>
    </row>
    <row r="14" spans="1:5" x14ac:dyDescent="0.25">
      <c r="A14" s="56">
        <v>4</v>
      </c>
      <c r="B14" s="63" t="s">
        <v>358</v>
      </c>
      <c r="C14" s="56"/>
      <c r="D14" s="56"/>
      <c r="E14" s="56"/>
    </row>
    <row r="15" spans="1:5" x14ac:dyDescent="0.25">
      <c r="A15" s="56">
        <v>5</v>
      </c>
      <c r="B15" s="63" t="s">
        <v>359</v>
      </c>
      <c r="C15" s="56"/>
      <c r="D15" s="56"/>
      <c r="E15" s="56"/>
    </row>
    <row r="16" spans="1:5" x14ac:dyDescent="0.25">
      <c r="A16" s="56">
        <v>6</v>
      </c>
      <c r="B16" s="63" t="s">
        <v>360</v>
      </c>
      <c r="C16" s="56"/>
      <c r="D16" s="56"/>
      <c r="E16" s="56"/>
    </row>
    <row r="17" spans="1:5" x14ac:dyDescent="0.25">
      <c r="A17" s="56">
        <v>7</v>
      </c>
      <c r="B17" s="63" t="s">
        <v>361</v>
      </c>
      <c r="C17" s="56"/>
      <c r="D17" s="56"/>
      <c r="E17" s="56"/>
    </row>
    <row r="18" spans="1:5" x14ac:dyDescent="0.25">
      <c r="A18" s="56">
        <v>8</v>
      </c>
      <c r="B18" s="63"/>
      <c r="C18" s="56"/>
      <c r="D18" s="56"/>
      <c r="E18" s="56"/>
    </row>
    <row r="19" spans="1:5" x14ac:dyDescent="0.25">
      <c r="A19" s="56">
        <v>9</v>
      </c>
      <c r="B19" s="63"/>
      <c r="C19" s="56"/>
      <c r="D19" s="56"/>
      <c r="E19" s="56"/>
    </row>
    <row r="20" spans="1:5" x14ac:dyDescent="0.25">
      <c r="A20" s="56">
        <v>10</v>
      </c>
      <c r="B20" s="63"/>
      <c r="C20" s="56"/>
      <c r="D20" s="56"/>
      <c r="E20" s="56"/>
    </row>
  </sheetData>
  <mergeCells count="3">
    <mergeCell ref="A2:E2"/>
    <mergeCell ref="A3:E3"/>
    <mergeCell ref="A4:E4"/>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4"/>
  <sheetViews>
    <sheetView workbookViewId="0">
      <selection activeCell="F26" sqref="F26"/>
    </sheetView>
  </sheetViews>
  <sheetFormatPr defaultRowHeight="15.75" x14ac:dyDescent="0.25"/>
  <cols>
    <col min="1" max="1" width="4.25" customWidth="1"/>
    <col min="2" max="2" width="27.375" customWidth="1"/>
    <col min="4" max="4" width="8.375" customWidth="1"/>
    <col min="6" max="7" width="8.25" customWidth="1"/>
  </cols>
  <sheetData>
    <row r="1" spans="1:19" ht="31.5" customHeight="1" x14ac:dyDescent="0.25">
      <c r="A1" s="2122" t="s">
        <v>409</v>
      </c>
      <c r="B1" s="2122"/>
      <c r="C1" s="2122"/>
      <c r="D1" s="2122"/>
      <c r="E1" s="2122"/>
      <c r="F1" s="2122"/>
      <c r="G1" s="2122"/>
      <c r="H1" s="2122"/>
      <c r="I1" s="2122"/>
      <c r="J1" s="2122"/>
      <c r="K1" s="2122"/>
      <c r="L1" s="2122"/>
      <c r="M1" s="2122"/>
      <c r="N1" s="2122"/>
      <c r="O1" s="2122"/>
      <c r="P1" s="2122"/>
      <c r="Q1" s="2122"/>
      <c r="R1" s="2122"/>
      <c r="S1" s="2122"/>
    </row>
    <row r="2" spans="1:19" x14ac:dyDescent="0.25">
      <c r="A2" s="2122" t="s">
        <v>32</v>
      </c>
      <c r="B2" s="2122"/>
      <c r="C2" s="2122"/>
      <c r="D2" s="2122"/>
      <c r="E2" s="2122"/>
      <c r="F2" s="2122"/>
      <c r="G2" s="2122"/>
      <c r="H2" s="2122"/>
      <c r="I2" s="2122"/>
      <c r="J2" s="2122"/>
      <c r="K2" s="2122"/>
      <c r="L2" s="2122"/>
      <c r="M2" s="2122"/>
      <c r="N2" s="2122"/>
      <c r="O2" s="2122"/>
      <c r="P2" s="2122"/>
      <c r="Q2" s="2122"/>
      <c r="R2" s="2122"/>
      <c r="S2" s="2122"/>
    </row>
    <row r="3" spans="1:19" x14ac:dyDescent="0.25">
      <c r="A3" s="6"/>
      <c r="Q3" s="2024" t="s">
        <v>6</v>
      </c>
      <c r="R3" s="2024"/>
      <c r="S3" s="2024"/>
    </row>
    <row r="4" spans="1:19" x14ac:dyDescent="0.25">
      <c r="A4" s="2022" t="s">
        <v>0</v>
      </c>
      <c r="B4" s="2022" t="s">
        <v>60</v>
      </c>
      <c r="C4" s="2022" t="s">
        <v>61</v>
      </c>
      <c r="D4" s="2022" t="s">
        <v>96</v>
      </c>
      <c r="E4" s="2022"/>
      <c r="F4" s="2022" t="s">
        <v>292</v>
      </c>
      <c r="G4" s="2022"/>
      <c r="H4" s="2022"/>
      <c r="I4" s="2022"/>
      <c r="J4" s="2022"/>
      <c r="K4" s="2022"/>
      <c r="L4" s="2022"/>
      <c r="M4" s="2022" t="s">
        <v>293</v>
      </c>
      <c r="N4" s="2022"/>
      <c r="O4" s="2022"/>
      <c r="P4" s="2022"/>
      <c r="Q4" s="2022"/>
      <c r="R4" s="2022"/>
      <c r="S4" s="2022"/>
    </row>
    <row r="5" spans="1:19" x14ac:dyDescent="0.25">
      <c r="A5" s="2022"/>
      <c r="B5" s="2022"/>
      <c r="C5" s="2022"/>
      <c r="D5" s="2022" t="s">
        <v>109</v>
      </c>
      <c r="E5" s="2022" t="s">
        <v>110</v>
      </c>
      <c r="F5" s="2022" t="s">
        <v>61</v>
      </c>
      <c r="G5" s="2022" t="s">
        <v>109</v>
      </c>
      <c r="H5" s="2022"/>
      <c r="I5" s="2022"/>
      <c r="J5" s="2022" t="s">
        <v>110</v>
      </c>
      <c r="K5" s="2022"/>
      <c r="L5" s="2022"/>
      <c r="M5" s="2022" t="s">
        <v>61</v>
      </c>
      <c r="N5" s="2022" t="s">
        <v>109</v>
      </c>
      <c r="O5" s="2022"/>
      <c r="P5" s="2022"/>
      <c r="Q5" s="2022" t="s">
        <v>110</v>
      </c>
      <c r="R5" s="2022"/>
      <c r="S5" s="2022"/>
    </row>
    <row r="6" spans="1:19" ht="47.25" x14ac:dyDescent="0.25">
      <c r="A6" s="2022"/>
      <c r="B6" s="2022"/>
      <c r="C6" s="2022"/>
      <c r="D6" s="2022"/>
      <c r="E6" s="2022"/>
      <c r="F6" s="2022"/>
      <c r="G6" s="13" t="s">
        <v>61</v>
      </c>
      <c r="H6" s="13" t="s">
        <v>111</v>
      </c>
      <c r="I6" s="13" t="s">
        <v>112</v>
      </c>
      <c r="J6" s="13" t="s">
        <v>61</v>
      </c>
      <c r="K6" s="13" t="s">
        <v>111</v>
      </c>
      <c r="L6" s="13" t="s">
        <v>112</v>
      </c>
      <c r="M6" s="2022"/>
      <c r="N6" s="13" t="s">
        <v>61</v>
      </c>
      <c r="O6" s="13" t="s">
        <v>111</v>
      </c>
      <c r="P6" s="13" t="s">
        <v>112</v>
      </c>
      <c r="Q6" s="13" t="s">
        <v>61</v>
      </c>
      <c r="R6" s="13" t="s">
        <v>111</v>
      </c>
      <c r="S6" s="13" t="s">
        <v>112</v>
      </c>
    </row>
    <row r="7" spans="1:19" ht="31.5" x14ac:dyDescent="0.25">
      <c r="A7" s="10" t="s">
        <v>2</v>
      </c>
      <c r="B7" s="10" t="s">
        <v>3</v>
      </c>
      <c r="C7" s="10" t="s">
        <v>113</v>
      </c>
      <c r="D7" s="10" t="s">
        <v>114</v>
      </c>
      <c r="E7" s="10" t="s">
        <v>115</v>
      </c>
      <c r="F7" s="10" t="s">
        <v>116</v>
      </c>
      <c r="G7" s="10" t="s">
        <v>117</v>
      </c>
      <c r="H7" s="10">
        <v>6</v>
      </c>
      <c r="I7" s="10">
        <v>7</v>
      </c>
      <c r="J7" s="10" t="s">
        <v>118</v>
      </c>
      <c r="K7" s="10">
        <v>9</v>
      </c>
      <c r="L7" s="10">
        <v>10</v>
      </c>
      <c r="M7" s="10" t="s">
        <v>119</v>
      </c>
      <c r="N7" s="10" t="s">
        <v>120</v>
      </c>
      <c r="O7" s="10">
        <v>13</v>
      </c>
      <c r="P7" s="10">
        <v>14</v>
      </c>
      <c r="Q7" s="10" t="s">
        <v>121</v>
      </c>
      <c r="R7" s="10">
        <v>16</v>
      </c>
      <c r="S7" s="10">
        <v>17</v>
      </c>
    </row>
    <row r="8" spans="1:19" x14ac:dyDescent="0.25">
      <c r="A8" s="16"/>
      <c r="B8" s="7" t="s">
        <v>89</v>
      </c>
      <c r="C8" s="14"/>
      <c r="D8" s="14"/>
      <c r="E8" s="14"/>
      <c r="F8" s="14"/>
      <c r="G8" s="14"/>
      <c r="H8" s="14"/>
      <c r="I8" s="14"/>
      <c r="J8" s="14"/>
      <c r="K8" s="14"/>
      <c r="L8" s="14"/>
      <c r="M8" s="14"/>
      <c r="N8" s="14"/>
      <c r="O8" s="14"/>
      <c r="P8" s="14"/>
      <c r="Q8" s="14"/>
      <c r="R8" s="14"/>
      <c r="S8" s="14"/>
    </row>
    <row r="9" spans="1:19" x14ac:dyDescent="0.25">
      <c r="A9" s="16" t="s">
        <v>9</v>
      </c>
      <c r="B9" s="7" t="s">
        <v>122</v>
      </c>
      <c r="C9" s="14"/>
      <c r="D9" s="14"/>
      <c r="E9" s="14"/>
      <c r="F9" s="14"/>
      <c r="G9" s="14"/>
      <c r="H9" s="14"/>
      <c r="I9" s="14"/>
      <c r="J9" s="14"/>
      <c r="K9" s="14"/>
      <c r="L9" s="14"/>
      <c r="M9" s="14"/>
      <c r="N9" s="14"/>
      <c r="O9" s="14"/>
      <c r="P9" s="14"/>
      <c r="Q9" s="14"/>
      <c r="R9" s="14"/>
      <c r="S9" s="14"/>
    </row>
    <row r="10" spans="1:19" x14ac:dyDescent="0.25">
      <c r="A10" s="14">
        <v>1</v>
      </c>
      <c r="B10" s="3" t="s">
        <v>91</v>
      </c>
      <c r="C10" s="14"/>
      <c r="D10" s="14"/>
      <c r="E10" s="14"/>
      <c r="F10" s="14"/>
      <c r="G10" s="14"/>
      <c r="H10" s="14"/>
      <c r="I10" s="14"/>
      <c r="J10" s="14"/>
      <c r="K10" s="14"/>
      <c r="L10" s="14"/>
      <c r="M10" s="14"/>
      <c r="N10" s="14"/>
      <c r="O10" s="14"/>
      <c r="P10" s="14"/>
      <c r="Q10" s="14"/>
      <c r="R10" s="14"/>
      <c r="S10" s="14"/>
    </row>
    <row r="11" spans="1:19" x14ac:dyDescent="0.25">
      <c r="A11" s="14">
        <v>2</v>
      </c>
      <c r="B11" s="3" t="s">
        <v>92</v>
      </c>
      <c r="C11" s="14"/>
      <c r="D11" s="14"/>
      <c r="E11" s="14"/>
      <c r="F11" s="14"/>
      <c r="G11" s="14"/>
      <c r="H11" s="14"/>
      <c r="I11" s="14"/>
      <c r="J11" s="14"/>
      <c r="K11" s="14"/>
      <c r="L11" s="14"/>
      <c r="M11" s="14"/>
      <c r="N11" s="14"/>
      <c r="O11" s="14"/>
      <c r="P11" s="14"/>
      <c r="Q11" s="14"/>
      <c r="R11" s="14"/>
      <c r="S11" s="14"/>
    </row>
    <row r="12" spans="1:19" x14ac:dyDescent="0.25">
      <c r="A12" s="14">
        <v>3</v>
      </c>
      <c r="B12" s="3" t="s">
        <v>123</v>
      </c>
      <c r="C12" s="14"/>
      <c r="D12" s="14"/>
      <c r="E12" s="14"/>
      <c r="F12" s="14"/>
      <c r="G12" s="14"/>
      <c r="H12" s="14"/>
      <c r="I12" s="14"/>
      <c r="J12" s="14"/>
      <c r="K12" s="14"/>
      <c r="L12" s="14"/>
      <c r="M12" s="14"/>
      <c r="N12" s="14"/>
      <c r="O12" s="14"/>
      <c r="P12" s="14"/>
      <c r="Q12" s="14"/>
      <c r="R12" s="14"/>
      <c r="S12" s="14"/>
    </row>
    <row r="13" spans="1:19" x14ac:dyDescent="0.25">
      <c r="A13" s="16" t="s">
        <v>11</v>
      </c>
      <c r="B13" s="7" t="s">
        <v>70</v>
      </c>
      <c r="C13" s="14"/>
      <c r="D13" s="14"/>
      <c r="E13" s="14"/>
      <c r="F13" s="14"/>
      <c r="G13" s="14"/>
      <c r="H13" s="14"/>
      <c r="I13" s="14"/>
      <c r="J13" s="14"/>
      <c r="K13" s="14"/>
      <c r="L13" s="14"/>
      <c r="M13" s="14"/>
      <c r="N13" s="14"/>
      <c r="O13" s="14"/>
      <c r="P13" s="14"/>
      <c r="Q13" s="14"/>
      <c r="R13" s="14"/>
      <c r="S13" s="14"/>
    </row>
    <row r="14" spans="1:19" x14ac:dyDescent="0.25">
      <c r="A14" s="14">
        <v>1</v>
      </c>
      <c r="B14" s="3" t="s">
        <v>148</v>
      </c>
      <c r="C14" s="14"/>
      <c r="D14" s="14"/>
      <c r="E14" s="14"/>
      <c r="F14" s="14"/>
      <c r="G14" s="14"/>
      <c r="H14" s="14"/>
      <c r="I14" s="14"/>
      <c r="J14" s="14"/>
      <c r="K14" s="14"/>
      <c r="L14" s="14"/>
      <c r="M14" s="14"/>
      <c r="N14" s="14"/>
      <c r="O14" s="14"/>
      <c r="P14" s="14"/>
      <c r="Q14" s="14"/>
      <c r="R14" s="14"/>
      <c r="S14" s="14"/>
    </row>
    <row r="15" spans="1:19" x14ac:dyDescent="0.25">
      <c r="A15" s="14">
        <v>2</v>
      </c>
      <c r="B15" s="3" t="s">
        <v>149</v>
      </c>
      <c r="C15" s="14"/>
      <c r="D15" s="14"/>
      <c r="E15" s="14"/>
      <c r="F15" s="14"/>
      <c r="G15" s="14"/>
      <c r="H15" s="14"/>
      <c r="I15" s="14"/>
      <c r="J15" s="14"/>
      <c r="K15" s="14"/>
      <c r="L15" s="14"/>
      <c r="M15" s="14"/>
      <c r="N15" s="14"/>
      <c r="O15" s="14"/>
      <c r="P15" s="14"/>
      <c r="Q15" s="14"/>
      <c r="R15" s="14"/>
      <c r="S15" s="14"/>
    </row>
    <row r="16" spans="1:19" x14ac:dyDescent="0.25">
      <c r="A16" s="14">
        <v>3</v>
      </c>
      <c r="B16" s="3" t="s">
        <v>150</v>
      </c>
      <c r="C16" s="14"/>
      <c r="D16" s="14"/>
      <c r="E16" s="14"/>
      <c r="F16" s="14"/>
      <c r="G16" s="14"/>
      <c r="H16" s="14"/>
      <c r="I16" s="14"/>
      <c r="J16" s="14"/>
      <c r="K16" s="14"/>
      <c r="L16" s="14"/>
      <c r="M16" s="14"/>
      <c r="N16" s="14"/>
      <c r="O16" s="14"/>
      <c r="P16" s="14"/>
      <c r="Q16" s="14"/>
      <c r="R16" s="14"/>
      <c r="S16" s="14"/>
    </row>
    <row r="17" spans="1:19" x14ac:dyDescent="0.25">
      <c r="A17" s="14">
        <v>4</v>
      </c>
      <c r="B17" s="3" t="s">
        <v>151</v>
      </c>
      <c r="C17" s="14"/>
      <c r="D17" s="14"/>
      <c r="E17" s="14"/>
      <c r="F17" s="14"/>
      <c r="G17" s="14"/>
      <c r="H17" s="14"/>
      <c r="I17" s="14"/>
      <c r="J17" s="14"/>
      <c r="K17" s="14"/>
      <c r="L17" s="14"/>
      <c r="M17" s="14"/>
      <c r="N17" s="14"/>
      <c r="O17" s="14"/>
      <c r="P17" s="14"/>
      <c r="Q17" s="14"/>
      <c r="R17" s="14"/>
      <c r="S17" s="14"/>
    </row>
    <row r="18" spans="1:19" x14ac:dyDescent="0.25">
      <c r="A18" s="14">
        <v>5</v>
      </c>
      <c r="B18" s="3" t="s">
        <v>152</v>
      </c>
      <c r="C18" s="14"/>
      <c r="D18" s="14"/>
      <c r="E18" s="14"/>
      <c r="F18" s="14"/>
      <c r="G18" s="14"/>
      <c r="H18" s="14"/>
      <c r="I18" s="14"/>
      <c r="J18" s="14"/>
      <c r="K18" s="14"/>
      <c r="L18" s="14"/>
      <c r="M18" s="14"/>
      <c r="N18" s="14"/>
      <c r="O18" s="14"/>
      <c r="P18" s="14"/>
      <c r="Q18" s="14"/>
      <c r="R18" s="14"/>
      <c r="S18" s="14"/>
    </row>
    <row r="19" spans="1:19" x14ac:dyDescent="0.25">
      <c r="A19" s="14">
        <v>6</v>
      </c>
      <c r="B19" s="3" t="s">
        <v>153</v>
      </c>
      <c r="C19" s="14"/>
      <c r="D19" s="14"/>
      <c r="E19" s="14"/>
      <c r="F19" s="14"/>
      <c r="G19" s="14"/>
      <c r="H19" s="14"/>
      <c r="I19" s="14"/>
      <c r="J19" s="14"/>
      <c r="K19" s="14"/>
      <c r="L19" s="14"/>
      <c r="M19" s="14"/>
      <c r="N19" s="14"/>
      <c r="O19" s="14"/>
      <c r="P19" s="14"/>
      <c r="Q19" s="14"/>
      <c r="R19" s="14"/>
      <c r="S19" s="14"/>
    </row>
    <row r="20" spans="1:19" x14ac:dyDescent="0.25">
      <c r="A20" s="14">
        <v>7</v>
      </c>
      <c r="B20" s="3" t="s">
        <v>154</v>
      </c>
      <c r="C20" s="14"/>
      <c r="D20" s="14"/>
      <c r="E20" s="14"/>
      <c r="F20" s="14"/>
      <c r="G20" s="14"/>
      <c r="H20" s="14"/>
      <c r="I20" s="14"/>
      <c r="J20" s="14"/>
      <c r="K20" s="14"/>
      <c r="L20" s="14"/>
      <c r="M20" s="14"/>
      <c r="N20" s="14"/>
      <c r="O20" s="14"/>
      <c r="P20" s="14"/>
      <c r="Q20" s="14"/>
      <c r="R20" s="14"/>
      <c r="S20" s="14"/>
    </row>
    <row r="21" spans="1:19" x14ac:dyDescent="0.25">
      <c r="A21" s="14">
        <v>8</v>
      </c>
      <c r="B21" s="3" t="s">
        <v>155</v>
      </c>
      <c r="C21" s="14"/>
      <c r="D21" s="14"/>
      <c r="E21" s="14"/>
      <c r="F21" s="14"/>
      <c r="G21" s="14"/>
      <c r="H21" s="14"/>
      <c r="I21" s="14"/>
      <c r="J21" s="14"/>
      <c r="K21" s="14"/>
      <c r="L21" s="14"/>
      <c r="M21" s="14"/>
      <c r="N21" s="14"/>
      <c r="O21" s="14"/>
      <c r="P21" s="14"/>
      <c r="Q21" s="14"/>
      <c r="R21" s="14"/>
      <c r="S21" s="14"/>
    </row>
    <row r="22" spans="1:19" x14ac:dyDescent="0.25">
      <c r="A22" s="32"/>
      <c r="B22" s="30"/>
      <c r="C22" s="15"/>
      <c r="D22" s="15"/>
      <c r="E22" s="15"/>
      <c r="F22" s="15"/>
      <c r="G22" s="15"/>
      <c r="H22" s="15"/>
      <c r="I22" s="15"/>
      <c r="J22" s="15"/>
      <c r="K22" s="15"/>
      <c r="L22" s="15"/>
      <c r="M22" s="15"/>
      <c r="N22" s="15"/>
      <c r="O22" s="15"/>
      <c r="P22" s="15"/>
      <c r="Q22" s="15"/>
      <c r="R22" s="15"/>
      <c r="S22" s="15"/>
    </row>
    <row r="23" spans="1:19" ht="42.75" customHeight="1" x14ac:dyDescent="0.25">
      <c r="A23" s="2016" t="s">
        <v>124</v>
      </c>
      <c r="B23" s="2016"/>
      <c r="C23" s="2016"/>
      <c r="D23" s="2016"/>
      <c r="E23" s="2016"/>
      <c r="F23" s="2016"/>
      <c r="G23" s="2016"/>
      <c r="H23" s="2016"/>
      <c r="I23" s="2016"/>
      <c r="J23" s="2016"/>
      <c r="K23" s="2016"/>
      <c r="L23" s="2016"/>
      <c r="M23" s="2016"/>
      <c r="N23" s="2016"/>
      <c r="O23" s="2016"/>
      <c r="P23" s="2016"/>
      <c r="Q23" s="2016"/>
      <c r="R23" s="2016"/>
      <c r="S23" s="2016"/>
    </row>
    <row r="24" spans="1:19" x14ac:dyDescent="0.25">
      <c r="A24" s="1"/>
    </row>
  </sheetData>
  <mergeCells count="18">
    <mergeCell ref="A1:S1"/>
    <mergeCell ref="A2:S2"/>
    <mergeCell ref="Q3:S3"/>
    <mergeCell ref="A23:S23"/>
    <mergeCell ref="J5:L5"/>
    <mergeCell ref="M5:M6"/>
    <mergeCell ref="N5:P5"/>
    <mergeCell ref="Q5:S5"/>
    <mergeCell ref="A4:A6"/>
    <mergeCell ref="B4:B6"/>
    <mergeCell ref="C4:C6"/>
    <mergeCell ref="D4:E4"/>
    <mergeCell ref="F4:L4"/>
    <mergeCell ref="M4:S4"/>
    <mergeCell ref="D5:D6"/>
    <mergeCell ref="E5:E6"/>
    <mergeCell ref="F5:F6"/>
    <mergeCell ref="G5:I5"/>
  </mergeCells>
  <pageMargins left="0.7" right="0.2" top="0.75" bottom="0.75" header="0.3" footer="0.3"/>
  <pageSetup paperSize="9" orientation="landscape" verticalDpi="0" r:id="rId1"/>
  <headerFooter>
    <oddHeader>&amp;RBiểu mẫu số 38</oddHead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J21" sqref="J21"/>
    </sheetView>
  </sheetViews>
  <sheetFormatPr defaultRowHeight="15.75" x14ac:dyDescent="0.25"/>
  <cols>
    <col min="1" max="1" width="5.75" customWidth="1"/>
    <col min="2" max="2" width="32" customWidth="1"/>
    <col min="3" max="6" width="9.125" customWidth="1"/>
  </cols>
  <sheetData>
    <row r="1" spans="1:6" x14ac:dyDescent="0.25">
      <c r="F1" s="65" t="s">
        <v>363</v>
      </c>
    </row>
    <row r="2" spans="1:6" x14ac:dyDescent="0.25">
      <c r="A2" s="2023" t="s">
        <v>364</v>
      </c>
      <c r="B2" s="2023"/>
      <c r="C2" s="2023"/>
      <c r="D2" s="2023"/>
      <c r="E2" s="2023"/>
      <c r="F2" s="2023"/>
    </row>
    <row r="3" spans="1:6" x14ac:dyDescent="0.25">
      <c r="A3" s="2122" t="s">
        <v>365</v>
      </c>
      <c r="B3" s="2122"/>
      <c r="C3" s="2122"/>
      <c r="D3" s="2122"/>
      <c r="E3" s="2122"/>
      <c r="F3" s="2122"/>
    </row>
    <row r="4" spans="1:6" x14ac:dyDescent="0.25">
      <c r="F4" s="6" t="s">
        <v>366</v>
      </c>
    </row>
    <row r="5" spans="1:6" x14ac:dyDescent="0.25">
      <c r="A5" s="2022" t="s">
        <v>0</v>
      </c>
      <c r="B5" s="2022" t="s">
        <v>63</v>
      </c>
      <c r="C5" s="2022" t="s">
        <v>367</v>
      </c>
      <c r="D5" s="2022"/>
      <c r="E5" s="2022"/>
      <c r="F5" s="2022"/>
    </row>
    <row r="6" spans="1:6" ht="63" x14ac:dyDescent="0.25">
      <c r="A6" s="2022"/>
      <c r="B6" s="2022"/>
      <c r="C6" s="55" t="s">
        <v>289</v>
      </c>
      <c r="D6" s="55" t="s">
        <v>290</v>
      </c>
      <c r="E6" s="55" t="s">
        <v>329</v>
      </c>
      <c r="F6" s="55" t="s">
        <v>128</v>
      </c>
    </row>
    <row r="7" spans="1:6" x14ac:dyDescent="0.25">
      <c r="A7" s="55" t="s">
        <v>2</v>
      </c>
      <c r="B7" s="55" t="s">
        <v>3</v>
      </c>
      <c r="C7" s="55">
        <v>1</v>
      </c>
      <c r="D7" s="55">
        <v>2</v>
      </c>
      <c r="E7" s="55">
        <v>3</v>
      </c>
      <c r="F7" s="55">
        <v>4</v>
      </c>
    </row>
    <row r="8" spans="1:6" x14ac:dyDescent="0.25">
      <c r="A8" s="56">
        <v>1</v>
      </c>
      <c r="B8" s="63" t="s">
        <v>318</v>
      </c>
      <c r="C8" s="56"/>
      <c r="D8" s="56"/>
      <c r="E8" s="56"/>
      <c r="F8" s="56"/>
    </row>
    <row r="9" spans="1:6" x14ac:dyDescent="0.25">
      <c r="A9" s="56">
        <v>2</v>
      </c>
      <c r="B9" s="63" t="s">
        <v>319</v>
      </c>
      <c r="C9" s="56"/>
      <c r="D9" s="56"/>
      <c r="E9" s="56"/>
      <c r="F9" s="56"/>
    </row>
    <row r="10" spans="1:6" x14ac:dyDescent="0.25">
      <c r="A10" s="56">
        <v>3</v>
      </c>
      <c r="B10" s="63" t="s">
        <v>331</v>
      </c>
      <c r="C10" s="56"/>
      <c r="D10" s="56"/>
      <c r="E10" s="56"/>
      <c r="F10" s="56"/>
    </row>
    <row r="11" spans="1:6" x14ac:dyDescent="0.25">
      <c r="A11" s="56">
        <v>4</v>
      </c>
      <c r="B11" s="63" t="s">
        <v>332</v>
      </c>
      <c r="C11" s="56"/>
      <c r="D11" s="56"/>
      <c r="E11" s="56"/>
      <c r="F11" s="56"/>
    </row>
    <row r="12" spans="1:6" x14ac:dyDescent="0.25">
      <c r="A12" s="56">
        <v>5</v>
      </c>
      <c r="B12" s="63" t="s">
        <v>327</v>
      </c>
      <c r="C12" s="56"/>
      <c r="D12" s="56"/>
      <c r="E12" s="56"/>
      <c r="F12" s="56"/>
    </row>
    <row r="13" spans="1:6" x14ac:dyDescent="0.25">
      <c r="A13" s="56">
        <v>6</v>
      </c>
      <c r="B13" s="63" t="s">
        <v>333</v>
      </c>
      <c r="C13" s="56"/>
      <c r="D13" s="56"/>
      <c r="E13" s="56"/>
      <c r="F13" s="56"/>
    </row>
    <row r="14" spans="1:6" x14ac:dyDescent="0.25">
      <c r="A14" s="56">
        <v>7</v>
      </c>
      <c r="B14" s="63" t="s">
        <v>321</v>
      </c>
      <c r="C14" s="56"/>
      <c r="D14" s="56"/>
      <c r="E14" s="56"/>
      <c r="F14" s="56"/>
    </row>
    <row r="15" spans="1:6" x14ac:dyDescent="0.25">
      <c r="A15" s="56">
        <v>8</v>
      </c>
      <c r="B15" s="63" t="s">
        <v>334</v>
      </c>
      <c r="C15" s="56"/>
      <c r="D15" s="56"/>
      <c r="E15" s="56"/>
      <c r="F15" s="56"/>
    </row>
    <row r="16" spans="1:6" x14ac:dyDescent="0.25">
      <c r="A16" s="56">
        <v>9</v>
      </c>
      <c r="B16" s="63" t="s">
        <v>123</v>
      </c>
      <c r="C16" s="56"/>
      <c r="D16" s="56"/>
      <c r="E16" s="56"/>
      <c r="F16" s="56"/>
    </row>
    <row r="17" spans="1:6" x14ac:dyDescent="0.25">
      <c r="A17" s="56">
        <v>10</v>
      </c>
      <c r="B17" s="63"/>
      <c r="C17" s="56"/>
      <c r="D17" s="56"/>
      <c r="E17" s="56"/>
      <c r="F17" s="56"/>
    </row>
    <row r="18" spans="1:6" x14ac:dyDescent="0.25">
      <c r="A18" s="56">
        <v>11</v>
      </c>
      <c r="B18" s="63"/>
      <c r="C18" s="56"/>
      <c r="D18" s="56"/>
      <c r="E18" s="56"/>
      <c r="F18" s="56"/>
    </row>
    <row r="19" spans="1:6" x14ac:dyDescent="0.25">
      <c r="A19" s="56">
        <v>12</v>
      </c>
      <c r="B19" s="63"/>
      <c r="C19" s="56"/>
      <c r="D19" s="56"/>
      <c r="E19" s="56"/>
      <c r="F19" s="56"/>
    </row>
    <row r="20" spans="1:6" x14ac:dyDescent="0.25">
      <c r="A20" s="56">
        <v>13</v>
      </c>
      <c r="B20" s="63"/>
      <c r="C20" s="56"/>
      <c r="D20" s="56"/>
      <c r="E20" s="56"/>
      <c r="F20" s="56"/>
    </row>
    <row r="21" spans="1:6" x14ac:dyDescent="0.25">
      <c r="A21" s="56">
        <v>14</v>
      </c>
      <c r="B21" s="63"/>
      <c r="C21" s="56"/>
      <c r="D21" s="56"/>
      <c r="E21" s="56"/>
      <c r="F21" s="56"/>
    </row>
  </sheetData>
  <mergeCells count="5">
    <mergeCell ref="A2:F2"/>
    <mergeCell ref="A3:F3"/>
    <mergeCell ref="A5:A6"/>
    <mergeCell ref="B5:B6"/>
    <mergeCell ref="C5:F5"/>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workbookViewId="0">
      <selection sqref="A1:L1"/>
    </sheetView>
  </sheetViews>
  <sheetFormatPr defaultRowHeight="15.75" x14ac:dyDescent="0.25"/>
  <cols>
    <col min="1" max="1" width="5.875" customWidth="1"/>
    <col min="2" max="2" width="20" customWidth="1"/>
    <col min="9" max="9" width="7.875" customWidth="1"/>
    <col min="10" max="10" width="7.125" customWidth="1"/>
    <col min="11" max="11" width="6.875" customWidth="1"/>
    <col min="12" max="12" width="7.75" customWidth="1"/>
  </cols>
  <sheetData>
    <row r="1" spans="1:12" ht="44.25" customHeight="1" x14ac:dyDescent="0.25">
      <c r="A1" s="2023" t="s">
        <v>412</v>
      </c>
      <c r="B1" s="2023"/>
      <c r="C1" s="2023"/>
      <c r="D1" s="2023"/>
      <c r="E1" s="2023"/>
      <c r="F1" s="2023"/>
      <c r="G1" s="2023"/>
      <c r="H1" s="2023"/>
      <c r="I1" s="2023"/>
      <c r="J1" s="2023"/>
      <c r="K1" s="2023"/>
      <c r="L1" s="2023"/>
    </row>
    <row r="2" spans="1:12" x14ac:dyDescent="0.25">
      <c r="A2" s="2122" t="s">
        <v>53</v>
      </c>
      <c r="B2" s="2122"/>
      <c r="C2" s="2122"/>
      <c r="D2" s="2122"/>
      <c r="E2" s="2122"/>
      <c r="F2" s="2122"/>
      <c r="G2" s="2122"/>
      <c r="H2" s="2122"/>
      <c r="I2" s="2122"/>
      <c r="J2" s="2122"/>
      <c r="K2" s="2122"/>
      <c r="L2" s="2122"/>
    </row>
    <row r="3" spans="1:12" x14ac:dyDescent="0.25">
      <c r="A3" s="6"/>
      <c r="K3" s="2017" t="s">
        <v>6</v>
      </c>
      <c r="L3" s="2017"/>
    </row>
    <row r="4" spans="1:12" x14ac:dyDescent="0.25">
      <c r="A4" s="2022" t="s">
        <v>0</v>
      </c>
      <c r="B4" s="2022" t="s">
        <v>60</v>
      </c>
      <c r="C4" s="2022" t="s">
        <v>61</v>
      </c>
      <c r="D4" s="2022"/>
      <c r="E4" s="2022"/>
      <c r="F4" s="2022" t="s">
        <v>136</v>
      </c>
      <c r="G4" s="2022"/>
      <c r="H4" s="2022"/>
      <c r="I4" s="2022" t="s">
        <v>136</v>
      </c>
      <c r="J4" s="2022"/>
      <c r="K4" s="2022"/>
      <c r="L4" s="2022" t="s">
        <v>102</v>
      </c>
    </row>
    <row r="5" spans="1:12" ht="47.25" x14ac:dyDescent="0.25">
      <c r="A5" s="2022"/>
      <c r="B5" s="2022"/>
      <c r="C5" s="13" t="s">
        <v>61</v>
      </c>
      <c r="D5" s="13" t="s">
        <v>111</v>
      </c>
      <c r="E5" s="13" t="s">
        <v>112</v>
      </c>
      <c r="F5" s="13" t="s">
        <v>61</v>
      </c>
      <c r="G5" s="13" t="s">
        <v>111</v>
      </c>
      <c r="H5" s="13" t="s">
        <v>112</v>
      </c>
      <c r="I5" s="13" t="s">
        <v>61</v>
      </c>
      <c r="J5" s="13" t="s">
        <v>111</v>
      </c>
      <c r="K5" s="13" t="s">
        <v>112</v>
      </c>
      <c r="L5" s="2022"/>
    </row>
    <row r="6" spans="1:12" x14ac:dyDescent="0.25">
      <c r="A6" s="10" t="s">
        <v>2</v>
      </c>
      <c r="B6" s="10" t="s">
        <v>3</v>
      </c>
      <c r="C6" s="10" t="s">
        <v>72</v>
      </c>
      <c r="D6" s="10">
        <v>2</v>
      </c>
      <c r="E6" s="10">
        <v>3</v>
      </c>
      <c r="F6" s="10" t="s">
        <v>73</v>
      </c>
      <c r="G6" s="10">
        <v>5</v>
      </c>
      <c r="H6" s="10">
        <v>6</v>
      </c>
      <c r="I6" s="10" t="s">
        <v>137</v>
      </c>
      <c r="J6" s="10">
        <v>8</v>
      </c>
      <c r="K6" s="10">
        <v>9</v>
      </c>
      <c r="L6" s="10">
        <v>10</v>
      </c>
    </row>
    <row r="7" spans="1:12" x14ac:dyDescent="0.25">
      <c r="A7" s="14"/>
      <c r="B7" s="7" t="s">
        <v>89</v>
      </c>
      <c r="C7" s="14"/>
      <c r="D7" s="14"/>
      <c r="E7" s="14"/>
      <c r="F7" s="14"/>
      <c r="G7" s="14"/>
      <c r="H7" s="14"/>
      <c r="I7" s="14"/>
      <c r="J7" s="14"/>
      <c r="K7" s="14"/>
      <c r="L7" s="14"/>
    </row>
    <row r="8" spans="1:12" x14ac:dyDescent="0.25">
      <c r="A8" s="14">
        <v>1</v>
      </c>
      <c r="B8" s="3" t="s">
        <v>148</v>
      </c>
      <c r="C8" s="14"/>
      <c r="D8" s="14"/>
      <c r="E8" s="14"/>
      <c r="F8" s="14"/>
      <c r="G8" s="14"/>
      <c r="H8" s="14"/>
      <c r="I8" s="14"/>
      <c r="J8" s="14"/>
      <c r="K8" s="14"/>
      <c r="L8" s="14"/>
    </row>
    <row r="9" spans="1:12" x14ac:dyDescent="0.25">
      <c r="A9" s="14">
        <v>2</v>
      </c>
      <c r="B9" s="3" t="s">
        <v>149</v>
      </c>
      <c r="C9" s="14"/>
      <c r="D9" s="14"/>
      <c r="E9" s="14"/>
      <c r="F9" s="14"/>
      <c r="G9" s="14"/>
      <c r="H9" s="14"/>
      <c r="I9" s="14"/>
      <c r="J9" s="14"/>
      <c r="K9" s="14"/>
      <c r="L9" s="14"/>
    </row>
    <row r="10" spans="1:12" x14ac:dyDescent="0.25">
      <c r="A10" s="14">
        <v>3</v>
      </c>
      <c r="B10" s="3" t="s">
        <v>150</v>
      </c>
      <c r="C10" s="14"/>
      <c r="D10" s="14"/>
      <c r="E10" s="14"/>
      <c r="F10" s="14"/>
      <c r="G10" s="14"/>
      <c r="H10" s="14"/>
      <c r="I10" s="14"/>
      <c r="J10" s="14"/>
      <c r="K10" s="14"/>
      <c r="L10" s="14"/>
    </row>
    <row r="11" spans="1:12" x14ac:dyDescent="0.25">
      <c r="A11" s="14">
        <v>4</v>
      </c>
      <c r="B11" s="3" t="s">
        <v>151</v>
      </c>
      <c r="C11" s="14"/>
      <c r="D11" s="14"/>
      <c r="E11" s="14"/>
      <c r="F11" s="14"/>
      <c r="G11" s="14"/>
      <c r="H11" s="14"/>
      <c r="I11" s="14"/>
      <c r="J11" s="14"/>
      <c r="K11" s="14"/>
      <c r="L11" s="14"/>
    </row>
    <row r="12" spans="1:12" x14ac:dyDescent="0.25">
      <c r="A12" s="14">
        <v>5</v>
      </c>
      <c r="B12" s="3" t="s">
        <v>152</v>
      </c>
      <c r="C12" s="14"/>
      <c r="D12" s="14"/>
      <c r="E12" s="14"/>
      <c r="F12" s="14"/>
      <c r="G12" s="14"/>
      <c r="H12" s="14"/>
      <c r="I12" s="14"/>
      <c r="J12" s="14"/>
      <c r="K12" s="14"/>
      <c r="L12" s="14"/>
    </row>
    <row r="13" spans="1:12" x14ac:dyDescent="0.25">
      <c r="A13" s="14">
        <v>6</v>
      </c>
      <c r="B13" s="3" t="s">
        <v>153</v>
      </c>
      <c r="C13" s="14"/>
      <c r="D13" s="14"/>
      <c r="E13" s="14"/>
      <c r="F13" s="14"/>
      <c r="G13" s="14"/>
      <c r="H13" s="14"/>
      <c r="I13" s="14"/>
      <c r="J13" s="14"/>
      <c r="K13" s="14"/>
      <c r="L13" s="14"/>
    </row>
    <row r="14" spans="1:12" x14ac:dyDescent="0.25">
      <c r="A14" s="14">
        <v>7</v>
      </c>
      <c r="B14" s="3" t="s">
        <v>154</v>
      </c>
      <c r="C14" s="14"/>
      <c r="D14" s="14"/>
      <c r="E14" s="14"/>
      <c r="F14" s="14"/>
      <c r="G14" s="14"/>
      <c r="H14" s="14"/>
      <c r="I14" s="14"/>
      <c r="J14" s="14"/>
      <c r="K14" s="14"/>
      <c r="L14" s="14"/>
    </row>
    <row r="15" spans="1:12" x14ac:dyDescent="0.25">
      <c r="A15" s="14">
        <v>8</v>
      </c>
      <c r="B15" s="3" t="s">
        <v>155</v>
      </c>
      <c r="C15" s="14"/>
      <c r="D15" s="14"/>
      <c r="E15" s="14"/>
      <c r="F15" s="14"/>
      <c r="G15" s="14"/>
      <c r="H15" s="14"/>
      <c r="I15" s="14"/>
      <c r="J15" s="14"/>
      <c r="K15" s="14"/>
      <c r="L15" s="14"/>
    </row>
    <row r="16" spans="1:12" x14ac:dyDescent="0.25">
      <c r="A16" s="15"/>
      <c r="B16" s="5"/>
      <c r="C16" s="15"/>
      <c r="D16" s="15"/>
      <c r="E16" s="15"/>
      <c r="F16" s="15"/>
      <c r="G16" s="15"/>
      <c r="H16" s="15"/>
      <c r="I16" s="15"/>
      <c r="J16" s="15"/>
      <c r="K16" s="15"/>
      <c r="L16" s="15"/>
    </row>
    <row r="17" spans="1:12" ht="36.75" customHeight="1" x14ac:dyDescent="0.25">
      <c r="A17" s="2016" t="s">
        <v>138</v>
      </c>
      <c r="B17" s="2016"/>
      <c r="C17" s="2016"/>
      <c r="D17" s="2016"/>
      <c r="E17" s="2016"/>
      <c r="F17" s="2016"/>
      <c r="G17" s="2016"/>
      <c r="H17" s="2016"/>
      <c r="I17" s="2016"/>
      <c r="J17" s="2016"/>
      <c r="K17" s="2016"/>
      <c r="L17" s="2016"/>
    </row>
    <row r="18" spans="1:12" x14ac:dyDescent="0.25">
      <c r="A18" s="1"/>
    </row>
  </sheetData>
  <mergeCells count="10">
    <mergeCell ref="A17:L17"/>
    <mergeCell ref="A1:L1"/>
    <mergeCell ref="A2:L2"/>
    <mergeCell ref="K3:L3"/>
    <mergeCell ref="L4:L5"/>
    <mergeCell ref="A4:A5"/>
    <mergeCell ref="B4:B5"/>
    <mergeCell ref="C4:E4"/>
    <mergeCell ref="F4:H4"/>
    <mergeCell ref="I4:K4"/>
  </mergeCells>
  <pageMargins left="1.6" right="0.7" top="0.75" bottom="0.75" header="0.3" footer="0.3"/>
  <pageSetup paperSize="9" orientation="landscape" verticalDpi="0" r:id="rId1"/>
  <headerFooter>
    <oddHeader>&amp;RBiểu mẫu số 43</oddHead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J9" sqref="J8:J9"/>
    </sheetView>
  </sheetViews>
  <sheetFormatPr defaultRowHeight="15.75" x14ac:dyDescent="0.25"/>
  <cols>
    <col min="1" max="1" width="5.875" customWidth="1"/>
    <col min="2" max="2" width="16.25" customWidth="1"/>
  </cols>
  <sheetData>
    <row r="1" spans="1:12" ht="15" customHeight="1" x14ac:dyDescent="0.25">
      <c r="A1" s="2123" t="s">
        <v>139</v>
      </c>
      <c r="B1" s="2123"/>
      <c r="C1" s="2123"/>
      <c r="D1" s="2123"/>
      <c r="E1" s="2123"/>
      <c r="F1" s="2123"/>
      <c r="G1" s="2123"/>
      <c r="H1" s="2123"/>
      <c r="I1" s="2123"/>
      <c r="J1" s="2123"/>
      <c r="K1" s="2123"/>
      <c r="L1" s="2123"/>
    </row>
    <row r="2" spans="1:12" ht="15" customHeight="1" x14ac:dyDescent="0.25">
      <c r="A2" s="2124" t="s">
        <v>220</v>
      </c>
      <c r="B2" s="2124"/>
      <c r="C2" s="2124"/>
      <c r="D2" s="2124"/>
      <c r="E2" s="2124"/>
      <c r="F2" s="2124"/>
      <c r="G2" s="2124"/>
      <c r="H2" s="2124"/>
      <c r="I2" s="2124"/>
      <c r="J2" s="2124"/>
      <c r="K2" s="2124"/>
      <c r="L2" s="2124"/>
    </row>
    <row r="3" spans="1:12" ht="14.25" customHeight="1" x14ac:dyDescent="0.25">
      <c r="A3" s="2122" t="s">
        <v>53</v>
      </c>
      <c r="B3" s="2122"/>
      <c r="C3" s="2122"/>
      <c r="D3" s="2122"/>
      <c r="E3" s="2122"/>
      <c r="F3" s="2122"/>
      <c r="G3" s="2122"/>
      <c r="H3" s="2122"/>
      <c r="I3" s="2122"/>
      <c r="J3" s="2122"/>
      <c r="K3" s="2122"/>
      <c r="L3" s="2122"/>
    </row>
    <row r="4" spans="1:12" x14ac:dyDescent="0.25">
      <c r="A4" s="6"/>
      <c r="K4" s="2024" t="s">
        <v>6</v>
      </c>
      <c r="L4" s="2024"/>
    </row>
    <row r="5" spans="1:12" x14ac:dyDescent="0.25">
      <c r="A5" s="2022" t="s">
        <v>0</v>
      </c>
      <c r="B5" s="2022" t="s">
        <v>60</v>
      </c>
      <c r="C5" s="2022" t="s">
        <v>61</v>
      </c>
      <c r="D5" s="2022"/>
      <c r="E5" s="2022"/>
      <c r="F5" s="2022" t="s">
        <v>140</v>
      </c>
      <c r="G5" s="2022"/>
      <c r="H5" s="2022"/>
      <c r="I5" s="2022" t="s">
        <v>140</v>
      </c>
      <c r="J5" s="2022"/>
      <c r="K5" s="2022"/>
      <c r="L5" s="2022" t="s">
        <v>102</v>
      </c>
    </row>
    <row r="6" spans="1:12" ht="47.25" x14ac:dyDescent="0.25">
      <c r="A6" s="2022"/>
      <c r="B6" s="2022"/>
      <c r="C6" s="13" t="s">
        <v>61</v>
      </c>
      <c r="D6" s="13" t="s">
        <v>111</v>
      </c>
      <c r="E6" s="13" t="s">
        <v>112</v>
      </c>
      <c r="F6" s="13" t="s">
        <v>61</v>
      </c>
      <c r="G6" s="13" t="s">
        <v>111</v>
      </c>
      <c r="H6" s="13" t="s">
        <v>112</v>
      </c>
      <c r="I6" s="13" t="s">
        <v>61</v>
      </c>
      <c r="J6" s="13" t="s">
        <v>111</v>
      </c>
      <c r="K6" s="13" t="s">
        <v>112</v>
      </c>
      <c r="L6" s="2022"/>
    </row>
    <row r="7" spans="1:12" x14ac:dyDescent="0.25">
      <c r="A7" s="13" t="s">
        <v>2</v>
      </c>
      <c r="B7" s="13" t="s">
        <v>3</v>
      </c>
      <c r="C7" s="13" t="s">
        <v>72</v>
      </c>
      <c r="D7" s="13">
        <v>2</v>
      </c>
      <c r="E7" s="13">
        <v>3</v>
      </c>
      <c r="F7" s="13" t="s">
        <v>73</v>
      </c>
      <c r="G7" s="13">
        <v>5</v>
      </c>
      <c r="H7" s="13">
        <v>6</v>
      </c>
      <c r="I7" s="13" t="s">
        <v>137</v>
      </c>
      <c r="J7" s="13">
        <v>8</v>
      </c>
      <c r="K7" s="13">
        <v>9</v>
      </c>
      <c r="L7" s="13">
        <v>10</v>
      </c>
    </row>
    <row r="8" spans="1:12" x14ac:dyDescent="0.25">
      <c r="A8" s="2"/>
      <c r="B8" s="28" t="s">
        <v>89</v>
      </c>
      <c r="C8" s="2"/>
      <c r="D8" s="2"/>
      <c r="E8" s="2"/>
      <c r="F8" s="2"/>
      <c r="G8" s="2"/>
      <c r="H8" s="2"/>
      <c r="I8" s="2"/>
      <c r="J8" s="2"/>
      <c r="K8" s="2"/>
      <c r="L8" s="2"/>
    </row>
    <row r="9" spans="1:12" x14ac:dyDescent="0.25">
      <c r="A9" s="14">
        <v>1</v>
      </c>
      <c r="B9" s="3" t="s">
        <v>148</v>
      </c>
      <c r="C9" s="14"/>
      <c r="D9" s="14"/>
      <c r="E9" s="14"/>
      <c r="F9" s="14"/>
      <c r="G9" s="14"/>
      <c r="H9" s="14"/>
      <c r="I9" s="14"/>
      <c r="J9" s="14"/>
      <c r="K9" s="14"/>
      <c r="L9" s="14"/>
    </row>
    <row r="10" spans="1:12" x14ac:dyDescent="0.25">
      <c r="A10" s="14">
        <v>2</v>
      </c>
      <c r="B10" s="3" t="s">
        <v>149</v>
      </c>
      <c r="C10" s="14"/>
      <c r="D10" s="14"/>
      <c r="E10" s="14"/>
      <c r="F10" s="14"/>
      <c r="G10" s="14"/>
      <c r="H10" s="14"/>
      <c r="I10" s="14"/>
      <c r="J10" s="14"/>
      <c r="K10" s="14"/>
      <c r="L10" s="14"/>
    </row>
    <row r="11" spans="1:12" x14ac:dyDescent="0.25">
      <c r="A11" s="14">
        <v>3</v>
      </c>
      <c r="B11" s="3" t="s">
        <v>150</v>
      </c>
      <c r="C11" s="14"/>
      <c r="D11" s="14"/>
      <c r="E11" s="14"/>
      <c r="F11" s="14"/>
      <c r="G11" s="14"/>
      <c r="H11" s="14"/>
      <c r="I11" s="14"/>
      <c r="J11" s="14"/>
      <c r="K11" s="14"/>
      <c r="L11" s="14"/>
    </row>
    <row r="12" spans="1:12" x14ac:dyDescent="0.25">
      <c r="A12" s="14">
        <v>4</v>
      </c>
      <c r="B12" s="3" t="s">
        <v>151</v>
      </c>
      <c r="C12" s="14"/>
      <c r="D12" s="14"/>
      <c r="E12" s="14"/>
      <c r="F12" s="14"/>
      <c r="G12" s="14"/>
      <c r="H12" s="14"/>
      <c r="I12" s="14"/>
      <c r="J12" s="14"/>
      <c r="K12" s="14"/>
      <c r="L12" s="14"/>
    </row>
    <row r="13" spans="1:12" x14ac:dyDescent="0.25">
      <c r="A13" s="14">
        <v>5</v>
      </c>
      <c r="B13" s="3" t="s">
        <v>152</v>
      </c>
      <c r="C13" s="14"/>
      <c r="D13" s="14"/>
      <c r="E13" s="14"/>
      <c r="F13" s="14"/>
      <c r="G13" s="14"/>
      <c r="H13" s="14"/>
      <c r="I13" s="14"/>
      <c r="J13" s="14"/>
      <c r="K13" s="14"/>
      <c r="L13" s="14"/>
    </row>
    <row r="14" spans="1:12" x14ac:dyDescent="0.25">
      <c r="A14" s="14">
        <v>6</v>
      </c>
      <c r="B14" s="3" t="s">
        <v>153</v>
      </c>
      <c r="C14" s="14"/>
      <c r="D14" s="14"/>
      <c r="E14" s="14"/>
      <c r="F14" s="14"/>
      <c r="G14" s="14"/>
      <c r="H14" s="14"/>
      <c r="I14" s="14"/>
      <c r="J14" s="14"/>
      <c r="K14" s="14"/>
      <c r="L14" s="14"/>
    </row>
    <row r="15" spans="1:12" x14ac:dyDescent="0.25">
      <c r="A15" s="14">
        <v>7</v>
      </c>
      <c r="B15" s="3" t="s">
        <v>154</v>
      </c>
      <c r="C15" s="14"/>
      <c r="D15" s="14"/>
      <c r="E15" s="14"/>
      <c r="F15" s="14"/>
      <c r="G15" s="14"/>
      <c r="H15" s="14"/>
      <c r="I15" s="14"/>
      <c r="J15" s="14"/>
      <c r="K15" s="14"/>
      <c r="L15" s="14"/>
    </row>
    <row r="16" spans="1:12" x14ac:dyDescent="0.25">
      <c r="A16" s="14">
        <v>8</v>
      </c>
      <c r="B16" s="3" t="s">
        <v>155</v>
      </c>
      <c r="C16" s="14"/>
      <c r="D16" s="14"/>
      <c r="E16" s="14"/>
      <c r="F16" s="14"/>
      <c r="G16" s="14"/>
      <c r="H16" s="14"/>
      <c r="I16" s="14"/>
      <c r="J16" s="14"/>
      <c r="K16" s="14"/>
      <c r="L16" s="14"/>
    </row>
    <row r="17" spans="1:12" x14ac:dyDescent="0.25">
      <c r="A17" s="15"/>
      <c r="B17" s="5"/>
      <c r="C17" s="15"/>
      <c r="D17" s="15"/>
      <c r="E17" s="15"/>
      <c r="F17" s="15"/>
      <c r="G17" s="15"/>
      <c r="H17" s="15"/>
      <c r="I17" s="15"/>
      <c r="J17" s="15"/>
      <c r="K17" s="15"/>
      <c r="L17" s="15"/>
    </row>
    <row r="18" spans="1:12" ht="33.75" customHeight="1" x14ac:dyDescent="0.25">
      <c r="A18" s="2016" t="s">
        <v>141</v>
      </c>
      <c r="B18" s="2016"/>
      <c r="C18" s="2016"/>
      <c r="D18" s="2016"/>
      <c r="E18" s="2016"/>
      <c r="F18" s="2016"/>
      <c r="G18" s="2016"/>
      <c r="H18" s="2016"/>
      <c r="I18" s="2016"/>
      <c r="J18" s="2016"/>
      <c r="K18" s="2016"/>
      <c r="L18" s="2016"/>
    </row>
    <row r="19" spans="1:12" x14ac:dyDescent="0.25">
      <c r="A19" s="1"/>
    </row>
  </sheetData>
  <mergeCells count="11">
    <mergeCell ref="A18:L18"/>
    <mergeCell ref="A1:L1"/>
    <mergeCell ref="A2:L2"/>
    <mergeCell ref="A3:L3"/>
    <mergeCell ref="K4:L4"/>
    <mergeCell ref="L5:L6"/>
    <mergeCell ref="A5:A6"/>
    <mergeCell ref="B5:B6"/>
    <mergeCell ref="C5:E5"/>
    <mergeCell ref="F5:H5"/>
    <mergeCell ref="I5:K5"/>
  </mergeCells>
  <pageMargins left="1.17" right="0.39" top="0.75" bottom="0.75" header="0.3" footer="0.3"/>
  <pageSetup paperSize="9" orientation="landscape" verticalDpi="0" r:id="rId1"/>
  <headerFooter>
    <oddHeader>&amp;RBiểu mẫu số 44</oddHead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workbookViewId="0">
      <selection activeCell="I26" sqref="I26"/>
    </sheetView>
  </sheetViews>
  <sheetFormatPr defaultRowHeight="15.75" x14ac:dyDescent="0.25"/>
  <cols>
    <col min="1" max="1" width="5.375" customWidth="1"/>
    <col min="2" max="2" width="12.875" customWidth="1"/>
    <col min="3" max="13" width="9" customWidth="1"/>
  </cols>
  <sheetData>
    <row r="1" spans="1:13" x14ac:dyDescent="0.25">
      <c r="M1" s="65" t="s">
        <v>368</v>
      </c>
    </row>
    <row r="2" spans="1:13" x14ac:dyDescent="0.25">
      <c r="A2" s="2023" t="s">
        <v>369</v>
      </c>
      <c r="B2" s="2023"/>
      <c r="C2" s="2023"/>
      <c r="D2" s="2023"/>
      <c r="E2" s="2023"/>
      <c r="F2" s="2023"/>
      <c r="G2" s="2023"/>
      <c r="H2" s="2023"/>
      <c r="I2" s="2023"/>
      <c r="J2" s="2023"/>
      <c r="K2" s="2023"/>
      <c r="L2" s="2023"/>
      <c r="M2" s="2023"/>
    </row>
    <row r="3" spans="1:13" x14ac:dyDescent="0.25">
      <c r="A3" s="2122" t="s">
        <v>32</v>
      </c>
      <c r="B3" s="2122"/>
      <c r="C3" s="2122"/>
      <c r="D3" s="2122"/>
      <c r="E3" s="2122"/>
      <c r="F3" s="2122"/>
      <c r="G3" s="2122"/>
      <c r="H3" s="2122"/>
      <c r="I3" s="2122"/>
      <c r="J3" s="2122"/>
      <c r="K3" s="2122"/>
      <c r="L3" s="2122"/>
      <c r="M3" s="2122"/>
    </row>
    <row r="4" spans="1:13" x14ac:dyDescent="0.25">
      <c r="M4" s="6" t="s">
        <v>6</v>
      </c>
    </row>
    <row r="5" spans="1:13" x14ac:dyDescent="0.25">
      <c r="A5" s="2022" t="s">
        <v>0</v>
      </c>
      <c r="B5" s="2022" t="s">
        <v>336</v>
      </c>
      <c r="C5" s="2022" t="s">
        <v>370</v>
      </c>
      <c r="D5" s="2022" t="s">
        <v>322</v>
      </c>
      <c r="E5" s="2022"/>
      <c r="F5" s="2022"/>
      <c r="G5" s="2022"/>
      <c r="H5" s="2022" t="s">
        <v>371</v>
      </c>
      <c r="I5" s="2022" t="s">
        <v>372</v>
      </c>
      <c r="J5" s="2022"/>
      <c r="K5" s="2022"/>
      <c r="L5" s="2022"/>
      <c r="M5" s="2022" t="s">
        <v>373</v>
      </c>
    </row>
    <row r="6" spans="1:13" x14ac:dyDescent="0.25">
      <c r="A6" s="2022"/>
      <c r="B6" s="2022"/>
      <c r="C6" s="2022"/>
      <c r="D6" s="2022" t="s">
        <v>340</v>
      </c>
      <c r="E6" s="2022"/>
      <c r="F6" s="2022" t="s">
        <v>341</v>
      </c>
      <c r="G6" s="2022" t="s">
        <v>342</v>
      </c>
      <c r="H6" s="2022"/>
      <c r="I6" s="2022" t="s">
        <v>340</v>
      </c>
      <c r="J6" s="2022"/>
      <c r="K6" s="2022" t="s">
        <v>341</v>
      </c>
      <c r="L6" s="2022" t="s">
        <v>342</v>
      </c>
      <c r="M6" s="2022"/>
    </row>
    <row r="7" spans="1:13" ht="63" x14ac:dyDescent="0.25">
      <c r="A7" s="2022"/>
      <c r="B7" s="2022"/>
      <c r="C7" s="2022"/>
      <c r="D7" s="55" t="s">
        <v>61</v>
      </c>
      <c r="E7" s="55" t="s">
        <v>343</v>
      </c>
      <c r="F7" s="2022"/>
      <c r="G7" s="2022"/>
      <c r="H7" s="2022"/>
      <c r="I7" s="55" t="s">
        <v>61</v>
      </c>
      <c r="J7" s="55" t="s">
        <v>374</v>
      </c>
      <c r="K7" s="2022"/>
      <c r="L7" s="2022"/>
      <c r="M7" s="2022"/>
    </row>
    <row r="8" spans="1:13" x14ac:dyDescent="0.25">
      <c r="A8" s="55" t="s">
        <v>2</v>
      </c>
      <c r="B8" s="55" t="s">
        <v>3</v>
      </c>
      <c r="C8" s="55">
        <v>1</v>
      </c>
      <c r="D8" s="55">
        <v>2</v>
      </c>
      <c r="E8" s="55">
        <v>3</v>
      </c>
      <c r="F8" s="55">
        <v>4</v>
      </c>
      <c r="G8" s="55" t="s">
        <v>375</v>
      </c>
      <c r="H8" s="55" t="s">
        <v>376</v>
      </c>
      <c r="I8" s="55">
        <v>7</v>
      </c>
      <c r="J8" s="55">
        <v>8</v>
      </c>
      <c r="K8" s="55">
        <v>9</v>
      </c>
      <c r="L8" s="55" t="s">
        <v>377</v>
      </c>
      <c r="M8" s="55" t="s">
        <v>378</v>
      </c>
    </row>
    <row r="9" spans="1:13" x14ac:dyDescent="0.25">
      <c r="A9" s="56">
        <v>1</v>
      </c>
      <c r="B9" s="63" t="s">
        <v>347</v>
      </c>
      <c r="C9" s="70"/>
      <c r="D9" s="70"/>
      <c r="E9" s="70"/>
      <c r="F9" s="70"/>
      <c r="G9" s="70"/>
      <c r="H9" s="70"/>
      <c r="I9" s="70"/>
      <c r="J9" s="70"/>
      <c r="K9" s="70"/>
      <c r="L9" s="70"/>
      <c r="M9" s="70"/>
    </row>
    <row r="10" spans="1:13" x14ac:dyDescent="0.25">
      <c r="A10" s="56">
        <v>2</v>
      </c>
      <c r="B10" s="63" t="s">
        <v>348</v>
      </c>
      <c r="C10" s="70"/>
      <c r="D10" s="70"/>
      <c r="E10" s="70"/>
      <c r="F10" s="70"/>
      <c r="G10" s="70"/>
      <c r="H10" s="70"/>
      <c r="I10" s="70"/>
      <c r="J10" s="70"/>
      <c r="K10" s="70"/>
      <c r="L10" s="70"/>
      <c r="M10" s="70"/>
    </row>
    <row r="11" spans="1:13" x14ac:dyDescent="0.25">
      <c r="A11" s="56">
        <v>3</v>
      </c>
      <c r="B11" s="63" t="s">
        <v>349</v>
      </c>
      <c r="C11" s="70"/>
      <c r="D11" s="70"/>
      <c r="E11" s="70"/>
      <c r="F11" s="70"/>
      <c r="G11" s="70"/>
      <c r="H11" s="70"/>
      <c r="I11" s="70"/>
      <c r="J11" s="70"/>
      <c r="K11" s="70"/>
      <c r="L11" s="70"/>
      <c r="M11" s="70"/>
    </row>
    <row r="12" spans="1:13" x14ac:dyDescent="0.25">
      <c r="A12" s="56">
        <v>4</v>
      </c>
      <c r="B12" s="63" t="s">
        <v>320</v>
      </c>
      <c r="C12" s="70"/>
      <c r="D12" s="70"/>
      <c r="E12" s="70"/>
      <c r="F12" s="70"/>
      <c r="G12" s="70"/>
      <c r="H12" s="70"/>
      <c r="I12" s="70"/>
      <c r="J12" s="70"/>
      <c r="K12" s="70"/>
      <c r="L12" s="70"/>
      <c r="M12" s="70"/>
    </row>
    <row r="13" spans="1:13" x14ac:dyDescent="0.25">
      <c r="A13" s="56">
        <v>5</v>
      </c>
      <c r="B13" s="68"/>
      <c r="C13" s="70"/>
      <c r="D13" s="70"/>
      <c r="E13" s="70"/>
      <c r="F13" s="70"/>
      <c r="G13" s="70"/>
      <c r="H13" s="70"/>
      <c r="I13" s="70"/>
      <c r="J13" s="70"/>
      <c r="K13" s="70"/>
      <c r="L13" s="70"/>
      <c r="M13" s="70"/>
    </row>
    <row r="14" spans="1:13" x14ac:dyDescent="0.25">
      <c r="A14" s="56">
        <v>6</v>
      </c>
      <c r="B14" s="68"/>
      <c r="C14" s="70"/>
      <c r="D14" s="70"/>
      <c r="E14" s="70"/>
      <c r="F14" s="70"/>
      <c r="G14" s="70"/>
      <c r="H14" s="70"/>
      <c r="I14" s="70"/>
      <c r="J14" s="70"/>
      <c r="K14" s="70"/>
      <c r="L14" s="70"/>
      <c r="M14" s="70"/>
    </row>
    <row r="15" spans="1:13" x14ac:dyDescent="0.25">
      <c r="A15" s="56">
        <v>7</v>
      </c>
      <c r="B15" s="68"/>
      <c r="C15" s="70"/>
      <c r="D15" s="70"/>
      <c r="E15" s="70"/>
      <c r="F15" s="70"/>
      <c r="G15" s="70"/>
      <c r="H15" s="70"/>
      <c r="I15" s="70"/>
      <c r="J15" s="70"/>
      <c r="K15" s="70"/>
      <c r="L15" s="70"/>
      <c r="M15" s="70"/>
    </row>
    <row r="16" spans="1:13" x14ac:dyDescent="0.25">
      <c r="A16" s="56">
        <v>8</v>
      </c>
      <c r="B16" s="68"/>
      <c r="C16" s="70"/>
      <c r="D16" s="70"/>
      <c r="E16" s="70"/>
      <c r="F16" s="70"/>
      <c r="G16" s="70"/>
      <c r="H16" s="70"/>
      <c r="I16" s="70"/>
      <c r="J16" s="70"/>
      <c r="K16" s="70"/>
      <c r="L16" s="70"/>
      <c r="M16" s="70"/>
    </row>
    <row r="17" spans="1:13" x14ac:dyDescent="0.25">
      <c r="A17" s="56">
        <v>9</v>
      </c>
      <c r="B17" s="68"/>
      <c r="C17" s="70"/>
      <c r="D17" s="70"/>
      <c r="E17" s="70"/>
      <c r="F17" s="70"/>
      <c r="G17" s="70"/>
      <c r="H17" s="70"/>
      <c r="I17" s="70"/>
      <c r="J17" s="70"/>
      <c r="K17" s="70"/>
      <c r="L17" s="70"/>
      <c r="M17" s="70"/>
    </row>
    <row r="18" spans="1:13" x14ac:dyDescent="0.25">
      <c r="A18" s="56">
        <v>10</v>
      </c>
      <c r="B18" s="68"/>
      <c r="C18" s="70"/>
      <c r="D18" s="70"/>
      <c r="E18" s="70"/>
      <c r="F18" s="70"/>
      <c r="G18" s="70"/>
      <c r="H18" s="70"/>
      <c r="I18" s="70"/>
      <c r="J18" s="70"/>
      <c r="K18" s="70"/>
      <c r="L18" s="70"/>
      <c r="M18" s="70"/>
    </row>
    <row r="19" spans="1:13" x14ac:dyDescent="0.25">
      <c r="A19" s="56">
        <v>11</v>
      </c>
      <c r="B19" s="68"/>
      <c r="C19" s="70"/>
      <c r="D19" s="70"/>
      <c r="E19" s="70"/>
      <c r="F19" s="70"/>
      <c r="G19" s="70"/>
      <c r="H19" s="70"/>
      <c r="I19" s="70"/>
      <c r="J19" s="70"/>
      <c r="K19" s="70"/>
      <c r="L19" s="70"/>
      <c r="M19" s="70"/>
    </row>
    <row r="20" spans="1:13" x14ac:dyDescent="0.25">
      <c r="A20" s="56">
        <v>15</v>
      </c>
      <c r="B20" s="68"/>
      <c r="C20" s="70"/>
      <c r="D20" s="70"/>
      <c r="E20" s="70"/>
      <c r="F20" s="70"/>
      <c r="G20" s="70"/>
      <c r="H20" s="70"/>
      <c r="I20" s="70"/>
      <c r="J20" s="70"/>
      <c r="K20" s="70"/>
      <c r="L20" s="70"/>
      <c r="M20" s="70"/>
    </row>
  </sheetData>
  <mergeCells count="15">
    <mergeCell ref="A2:M2"/>
    <mergeCell ref="A3:M3"/>
    <mergeCell ref="A5:A7"/>
    <mergeCell ref="B5:B7"/>
    <mergeCell ref="C5:C7"/>
    <mergeCell ref="D5:G5"/>
    <mergeCell ref="H5:H7"/>
    <mergeCell ref="I5:L5"/>
    <mergeCell ref="M5:M7"/>
    <mergeCell ref="D6:E6"/>
    <mergeCell ref="F6:F7"/>
    <mergeCell ref="G6:G7"/>
    <mergeCell ref="I6:J6"/>
    <mergeCell ref="K6:K7"/>
    <mergeCell ref="L6:L7"/>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D29" sqref="D29"/>
    </sheetView>
  </sheetViews>
  <sheetFormatPr defaultRowHeight="15.75" x14ac:dyDescent="0.25"/>
  <cols>
    <col min="1" max="1" width="5.125" customWidth="1"/>
    <col min="2" max="2" width="34.75" customWidth="1"/>
    <col min="3" max="5" width="10.75" customWidth="1"/>
  </cols>
  <sheetData>
    <row r="1" spans="1:5" x14ac:dyDescent="0.25">
      <c r="E1" s="65" t="s">
        <v>379</v>
      </c>
    </row>
    <row r="2" spans="1:5" x14ac:dyDescent="0.25">
      <c r="A2" s="2023" t="s">
        <v>380</v>
      </c>
      <c r="B2" s="2023"/>
      <c r="C2" s="2023"/>
      <c r="D2" s="2023"/>
      <c r="E2" s="2023"/>
    </row>
    <row r="3" spans="1:5" x14ac:dyDescent="0.25">
      <c r="A3" s="2023" t="s">
        <v>351</v>
      </c>
      <c r="B3" s="2023"/>
      <c r="C3" s="2023"/>
      <c r="D3" s="2023"/>
      <c r="E3" s="2023"/>
    </row>
    <row r="4" spans="1:5" x14ac:dyDescent="0.25">
      <c r="A4" s="2023" t="s">
        <v>32</v>
      </c>
      <c r="B4" s="2023"/>
      <c r="C4" s="2023"/>
      <c r="D4" s="2023"/>
      <c r="E4" s="2023"/>
    </row>
    <row r="5" spans="1:5" x14ac:dyDescent="0.25">
      <c r="E5" s="6" t="s">
        <v>6</v>
      </c>
    </row>
    <row r="6" spans="1:5" ht="31.5" x14ac:dyDescent="0.25">
      <c r="A6" s="55" t="s">
        <v>0</v>
      </c>
      <c r="B6" s="55" t="s">
        <v>1</v>
      </c>
      <c r="C6" s="55" t="s">
        <v>338</v>
      </c>
      <c r="D6" s="55" t="s">
        <v>322</v>
      </c>
      <c r="E6" s="55" t="s">
        <v>43</v>
      </c>
    </row>
    <row r="7" spans="1:5" s="69" customFormat="1" x14ac:dyDescent="0.25">
      <c r="A7" s="56" t="s">
        <v>2</v>
      </c>
      <c r="B7" s="56" t="s">
        <v>3</v>
      </c>
      <c r="C7" s="56">
        <v>1</v>
      </c>
      <c r="D7" s="56">
        <v>2</v>
      </c>
      <c r="E7" s="56" t="s">
        <v>352</v>
      </c>
    </row>
    <row r="8" spans="1:5" x14ac:dyDescent="0.25">
      <c r="A8" s="55"/>
      <c r="B8" s="62" t="s">
        <v>89</v>
      </c>
      <c r="C8" s="56"/>
      <c r="D8" s="56"/>
      <c r="E8" s="56"/>
    </row>
    <row r="9" spans="1:5" x14ac:dyDescent="0.25">
      <c r="A9" s="56">
        <v>1</v>
      </c>
      <c r="B9" s="63" t="s">
        <v>353</v>
      </c>
      <c r="C9" s="56"/>
      <c r="D9" s="56"/>
      <c r="E9" s="56"/>
    </row>
    <row r="10" spans="1:5" x14ac:dyDescent="0.25">
      <c r="A10" s="56" t="s">
        <v>23</v>
      </c>
      <c r="B10" s="64" t="s">
        <v>354</v>
      </c>
      <c r="C10" s="56"/>
      <c r="D10" s="56"/>
      <c r="E10" s="56"/>
    </row>
    <row r="11" spans="1:5" x14ac:dyDescent="0.25">
      <c r="A11" s="56" t="s">
        <v>23</v>
      </c>
      <c r="B11" s="64" t="s">
        <v>355</v>
      </c>
      <c r="C11" s="56"/>
      <c r="D11" s="56"/>
      <c r="E11" s="56"/>
    </row>
    <row r="12" spans="1:5" x14ac:dyDescent="0.25">
      <c r="A12" s="56">
        <v>2</v>
      </c>
      <c r="B12" s="63" t="s">
        <v>356</v>
      </c>
      <c r="C12" s="56"/>
      <c r="D12" s="56"/>
      <c r="E12" s="56"/>
    </row>
    <row r="13" spans="1:5" x14ac:dyDescent="0.25">
      <c r="A13" s="56">
        <v>3</v>
      </c>
      <c r="B13" s="63" t="s">
        <v>357</v>
      </c>
      <c r="C13" s="56"/>
      <c r="D13" s="56"/>
      <c r="E13" s="56"/>
    </row>
    <row r="14" spans="1:5" x14ac:dyDescent="0.25">
      <c r="A14" s="56">
        <v>4</v>
      </c>
      <c r="B14" s="63" t="s">
        <v>358</v>
      </c>
      <c r="C14" s="56"/>
      <c r="D14" s="56"/>
      <c r="E14" s="56"/>
    </row>
    <row r="15" spans="1:5" x14ac:dyDescent="0.25">
      <c r="A15" s="56">
        <v>5</v>
      </c>
      <c r="B15" s="63" t="s">
        <v>359</v>
      </c>
      <c r="C15" s="56"/>
      <c r="D15" s="56"/>
      <c r="E15" s="56"/>
    </row>
    <row r="16" spans="1:5" x14ac:dyDescent="0.25">
      <c r="A16" s="56">
        <v>6</v>
      </c>
      <c r="B16" s="63" t="s">
        <v>360</v>
      </c>
      <c r="C16" s="56"/>
      <c r="D16" s="56"/>
      <c r="E16" s="56"/>
    </row>
    <row r="17" spans="1:5" x14ac:dyDescent="0.25">
      <c r="A17" s="56">
        <v>7</v>
      </c>
      <c r="B17" s="63" t="s">
        <v>361</v>
      </c>
      <c r="C17" s="56"/>
      <c r="D17" s="56"/>
      <c r="E17" s="56"/>
    </row>
    <row r="18" spans="1:5" x14ac:dyDescent="0.25">
      <c r="A18" s="56">
        <v>8</v>
      </c>
      <c r="B18" s="63"/>
      <c r="C18" s="56"/>
      <c r="D18" s="56"/>
      <c r="E18" s="56"/>
    </row>
    <row r="19" spans="1:5" x14ac:dyDescent="0.25">
      <c r="A19" s="56">
        <v>9</v>
      </c>
      <c r="B19" s="63"/>
      <c r="C19" s="56"/>
      <c r="D19" s="56"/>
      <c r="E19" s="56"/>
    </row>
    <row r="20" spans="1:5" x14ac:dyDescent="0.25">
      <c r="A20" s="56">
        <v>10</v>
      </c>
      <c r="B20" s="63"/>
      <c r="C20" s="56"/>
      <c r="D20" s="56"/>
      <c r="E20" s="56"/>
    </row>
  </sheetData>
  <mergeCells count="3">
    <mergeCell ref="A2:E2"/>
    <mergeCell ref="A3:E3"/>
    <mergeCell ref="A4:E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P29"/>
  <sheetViews>
    <sheetView topLeftCell="A10" workbookViewId="0">
      <selection activeCell="R12" sqref="R12"/>
    </sheetView>
  </sheetViews>
  <sheetFormatPr defaultRowHeight="15" x14ac:dyDescent="0.25"/>
  <cols>
    <col min="1" max="1" width="5.125" style="36" customWidth="1"/>
    <col min="2" max="2" width="38.125" style="36" customWidth="1"/>
    <col min="3" max="3" width="9.125" style="36" customWidth="1"/>
    <col min="4" max="4" width="10.875" style="36" customWidth="1"/>
    <col min="5" max="5" width="6" style="36" customWidth="1"/>
    <col min="6" max="7" width="9.375" style="36" customWidth="1"/>
    <col min="8" max="13" width="0" style="36" hidden="1" customWidth="1"/>
    <col min="14" max="16384" width="9" style="36"/>
  </cols>
  <sheetData>
    <row r="1" spans="1:14" x14ac:dyDescent="0.25">
      <c r="A1" s="1949" t="s">
        <v>1167</v>
      </c>
      <c r="B1" s="1949"/>
      <c r="C1" s="1949"/>
      <c r="D1" s="1949"/>
      <c r="E1" s="1949"/>
      <c r="F1" s="1949"/>
      <c r="G1" s="1949"/>
    </row>
    <row r="2" spans="1:14" ht="39.75" customHeight="1" x14ac:dyDescent="0.25">
      <c r="A2" s="1950" t="s">
        <v>1379</v>
      </c>
      <c r="B2" s="1950"/>
      <c r="C2" s="1950"/>
      <c r="D2" s="1950"/>
      <c r="E2" s="1950"/>
      <c r="F2" s="1950"/>
      <c r="G2" s="1950"/>
    </row>
    <row r="3" spans="1:14" ht="16.5" x14ac:dyDescent="0.25">
      <c r="A3" s="1951" t="str">
        <f>'[1]Biểu 09'!A2:G2</f>
        <v>(Kèm theo Báo cáo số               /BC-UBND ngày       tháng 11 năm 2017 của UBND tỉnh Bắc Kạn)</v>
      </c>
      <c r="B3" s="1951"/>
      <c r="C3" s="1951"/>
      <c r="D3" s="1951"/>
      <c r="E3" s="1951"/>
      <c r="F3" s="1951"/>
      <c r="G3" s="1951"/>
    </row>
    <row r="4" spans="1:14" x14ac:dyDescent="0.25">
      <c r="F4" s="1952" t="s">
        <v>6</v>
      </c>
      <c r="G4" s="1952"/>
    </row>
    <row r="5" spans="1:14" ht="57" x14ac:dyDescent="0.25">
      <c r="A5" s="1191" t="s">
        <v>0</v>
      </c>
      <c r="B5" s="1191" t="s">
        <v>1</v>
      </c>
      <c r="C5" s="1191" t="s">
        <v>219</v>
      </c>
      <c r="D5" s="1191" t="s">
        <v>1380</v>
      </c>
      <c r="E5" s="1191" t="s">
        <v>33</v>
      </c>
      <c r="F5" s="1191" t="s">
        <v>1320</v>
      </c>
      <c r="G5" s="1191" t="s">
        <v>1377</v>
      </c>
    </row>
    <row r="6" spans="1:14" x14ac:dyDescent="0.25">
      <c r="A6" s="1191" t="s">
        <v>2</v>
      </c>
      <c r="B6" s="1191" t="s">
        <v>3</v>
      </c>
      <c r="C6" s="1191">
        <v>1</v>
      </c>
      <c r="D6" s="1191">
        <v>2</v>
      </c>
      <c r="E6" s="1191" t="s">
        <v>352</v>
      </c>
      <c r="F6" s="1191">
        <v>4</v>
      </c>
      <c r="G6" s="1191">
        <v>5</v>
      </c>
    </row>
    <row r="7" spans="1:14" x14ac:dyDescent="0.25">
      <c r="A7" s="39"/>
      <c r="B7" s="40" t="s">
        <v>1345</v>
      </c>
      <c r="C7" s="41">
        <f>C8+C12</f>
        <v>4885577</v>
      </c>
      <c r="D7" s="41" t="e">
        <f>D8+D12</f>
        <v>#REF!</v>
      </c>
      <c r="E7" s="41"/>
      <c r="F7" s="41" t="e">
        <f t="shared" ref="F7:G7" si="0">F8+F12</f>
        <v>#REF!</v>
      </c>
      <c r="G7" s="41" t="e">
        <f t="shared" si="0"/>
        <v>#REF!</v>
      </c>
    </row>
    <row r="8" spans="1:14" ht="28.5" x14ac:dyDescent="0.25">
      <c r="A8" s="42" t="s">
        <v>2</v>
      </c>
      <c r="B8" s="43" t="s">
        <v>1346</v>
      </c>
      <c r="C8" s="44">
        <f>SUM(C9:C11)</f>
        <v>2147492</v>
      </c>
      <c r="D8" s="44" t="e">
        <f t="shared" ref="D8" si="1">SUM(D9:D11)</f>
        <v>#REF!</v>
      </c>
      <c r="E8" s="44"/>
      <c r="F8" s="44" t="e">
        <f>SUM(F9:F11)</f>
        <v>#REF!</v>
      </c>
      <c r="G8" s="44" t="e">
        <f>SUM(G9:G11)</f>
        <v>#REF!</v>
      </c>
      <c r="K8" s="41">
        <v>4850367</v>
      </c>
      <c r="L8" s="41">
        <v>4948418</v>
      </c>
    </row>
    <row r="9" spans="1:14" x14ac:dyDescent="0.25">
      <c r="A9" s="42" t="s">
        <v>9</v>
      </c>
      <c r="B9" s="43" t="s">
        <v>1347</v>
      </c>
      <c r="C9" s="46">
        <f>'03N Biểu 09'!C19</f>
        <v>1608890</v>
      </c>
      <c r="D9" s="46" t="e">
        <f>'03N Biểu 09'!E19</f>
        <v>#REF!</v>
      </c>
      <c r="E9" s="46" t="e">
        <f>D9/C9*100</f>
        <v>#REF!</v>
      </c>
      <c r="F9" s="46" t="e">
        <f>'03N Biểu 09'!F19</f>
        <v>#REF!</v>
      </c>
      <c r="G9" s="46" t="e">
        <f>'03N Biểu 09'!G19</f>
        <v>#REF!</v>
      </c>
    </row>
    <row r="10" spans="1:14" x14ac:dyDescent="0.25">
      <c r="A10" s="42" t="s">
        <v>11</v>
      </c>
      <c r="B10" s="43" t="s">
        <v>1348</v>
      </c>
      <c r="C10" s="46">
        <f>'03N Biểu 09'!C20</f>
        <v>84822</v>
      </c>
      <c r="D10" s="46" t="e">
        <f>'03N Biểu 09'!E20</f>
        <v>#REF!</v>
      </c>
      <c r="E10" s="46"/>
      <c r="F10" s="46" t="e">
        <f>'03N Biểu 09'!F20</f>
        <v>#REF!</v>
      </c>
      <c r="G10" s="46"/>
      <c r="M10" s="53" t="e">
        <f>F7-K8</f>
        <v>#REF!</v>
      </c>
    </row>
    <row r="11" spans="1:14" x14ac:dyDescent="0.25">
      <c r="A11" s="42" t="s">
        <v>14</v>
      </c>
      <c r="B11" s="43" t="s">
        <v>59</v>
      </c>
      <c r="C11" s="46">
        <f>'03N Biểu 09'!C21</f>
        <v>453780</v>
      </c>
      <c r="D11" s="46" t="e">
        <f>'03N Biểu 09'!E21</f>
        <v>#REF!</v>
      </c>
      <c r="E11" s="46"/>
      <c r="F11" s="46">
        <f>'03N Biểu 09'!F21</f>
        <v>563416</v>
      </c>
      <c r="G11" s="46">
        <f>'03N Biểu 09'!G21</f>
        <v>490612</v>
      </c>
    </row>
    <row r="12" spans="1:14" ht="31.5" customHeight="1" x14ac:dyDescent="0.25">
      <c r="A12" s="42" t="s">
        <v>3</v>
      </c>
      <c r="B12" s="43" t="s">
        <v>1349</v>
      </c>
      <c r="C12" s="44">
        <f>C13+C19+C25+C26+C23+C24</f>
        <v>2738085</v>
      </c>
      <c r="D12" s="44">
        <f>D13+D19+D25+D26+D24</f>
        <v>2636588</v>
      </c>
      <c r="E12" s="46">
        <f>D12/C12*100</f>
        <v>96.293139183042172</v>
      </c>
      <c r="F12" s="44">
        <f>F13+F19+F25+F26+F24</f>
        <v>2543617</v>
      </c>
      <c r="G12" s="44">
        <f>G13+G19+G25+G26+G24</f>
        <v>2873849</v>
      </c>
      <c r="K12" s="44">
        <v>3011963</v>
      </c>
      <c r="L12" s="53">
        <f>D12-K12</f>
        <v>-375375</v>
      </c>
    </row>
    <row r="13" spans="1:14" x14ac:dyDescent="0.25">
      <c r="A13" s="42" t="s">
        <v>9</v>
      </c>
      <c r="B13" s="43" t="s">
        <v>1350</v>
      </c>
      <c r="C13" s="44">
        <f>C14+C18</f>
        <v>1471125</v>
      </c>
      <c r="D13" s="44">
        <f>D14+D18</f>
        <v>1314986</v>
      </c>
      <c r="E13" s="46">
        <f>D13/C13*100</f>
        <v>89.386421955986066</v>
      </c>
      <c r="F13" s="44">
        <f>F14</f>
        <v>1165182</v>
      </c>
      <c r="G13" s="44">
        <f>G14</f>
        <v>1351657</v>
      </c>
      <c r="H13" s="44">
        <v>4850367</v>
      </c>
      <c r="I13" s="44">
        <v>4948418</v>
      </c>
    </row>
    <row r="14" spans="1:14" x14ac:dyDescent="0.25">
      <c r="A14" s="89">
        <v>1</v>
      </c>
      <c r="B14" s="45" t="s">
        <v>1351</v>
      </c>
      <c r="C14" s="46">
        <f>'Biểu 23'!C11</f>
        <v>1463125</v>
      </c>
      <c r="D14" s="46">
        <f>'03N Biểu 11'!E10-8000</f>
        <v>1306986</v>
      </c>
      <c r="E14" s="46">
        <f t="shared" ref="E14:E26" si="2">D14/C14*100</f>
        <v>89.328389577103806</v>
      </c>
      <c r="F14" s="46">
        <f>'03N Biểu 11'!F10</f>
        <v>1165182</v>
      </c>
      <c r="G14" s="46">
        <f>'[1]Biểu 11'!G10-'[1]Biểu 11'!G24</f>
        <v>1351657</v>
      </c>
      <c r="L14" s="53" t="e">
        <f>G7-L8</f>
        <v>#REF!</v>
      </c>
      <c r="N14" s="53">
        <f>C14-C17</f>
        <v>352746</v>
      </c>
    </row>
    <row r="15" spans="1:14" x14ac:dyDescent="0.25">
      <c r="A15" s="456"/>
      <c r="B15" s="457" t="s">
        <v>5</v>
      </c>
      <c r="C15" s="46"/>
      <c r="D15" s="46"/>
      <c r="E15" s="46"/>
      <c r="F15" s="46"/>
      <c r="G15" s="46"/>
      <c r="H15" s="46">
        <v>72442</v>
      </c>
      <c r="I15" s="46">
        <v>74133</v>
      </c>
    </row>
    <row r="16" spans="1:14" x14ac:dyDescent="0.25">
      <c r="A16" s="456" t="s">
        <v>23</v>
      </c>
      <c r="B16" s="457" t="s">
        <v>41</v>
      </c>
      <c r="C16" s="46"/>
      <c r="D16" s="46">
        <f>'Biểu 06 DT '!B46+'Biểu 06 DT '!B49</f>
        <v>379597</v>
      </c>
      <c r="E16" s="46"/>
      <c r="F16" s="46">
        <f>'03N Biểu 11'!F37</f>
        <v>346625</v>
      </c>
      <c r="G16" s="46">
        <f>'03N Biểu 11'!G37</f>
        <v>260000</v>
      </c>
      <c r="H16" s="458">
        <v>31660</v>
      </c>
      <c r="I16" s="458">
        <v>32520</v>
      </c>
    </row>
    <row r="17" spans="1:16" x14ac:dyDescent="0.25">
      <c r="A17" s="456" t="s">
        <v>23</v>
      </c>
      <c r="B17" s="457" t="s">
        <v>1352</v>
      </c>
      <c r="C17" s="46">
        <f>'Biểu 22'!D40</f>
        <v>1110379</v>
      </c>
      <c r="D17" s="46">
        <f>'Biểu 06 DT '!B51</f>
        <v>410729</v>
      </c>
      <c r="E17" s="46">
        <f t="shared" si="2"/>
        <v>36.989982699600766</v>
      </c>
      <c r="F17" s="46">
        <f>'03N Biểu 11'!F49</f>
        <v>596912</v>
      </c>
      <c r="G17" s="46">
        <f>'03N Biểu 11'!G49</f>
        <v>631000</v>
      </c>
      <c r="H17" s="53">
        <f>H15-H16</f>
        <v>40782</v>
      </c>
      <c r="I17" s="53">
        <f>I15-I16</f>
        <v>41613</v>
      </c>
      <c r="L17" s="44">
        <v>3020963</v>
      </c>
    </row>
    <row r="18" spans="1:16" ht="75" x14ac:dyDescent="0.25">
      <c r="A18" s="89">
        <v>2</v>
      </c>
      <c r="B18" s="45" t="s">
        <v>1353</v>
      </c>
      <c r="C18" s="46">
        <f>'Biểu 23'!C25</f>
        <v>8000</v>
      </c>
      <c r="D18" s="46">
        <v>8000</v>
      </c>
      <c r="E18" s="46"/>
      <c r="F18" s="46"/>
      <c r="G18" s="46"/>
      <c r="H18" s="53" t="e">
        <f>I13-G8-G13-G25-G26</f>
        <v>#REF!</v>
      </c>
      <c r="I18" s="53" t="e">
        <f>H13-F13-F25-F26-F8</f>
        <v>#REF!</v>
      </c>
    </row>
    <row r="19" spans="1:16" x14ac:dyDescent="0.25">
      <c r="A19" s="42" t="s">
        <v>11</v>
      </c>
      <c r="B19" s="43" t="s">
        <v>1354</v>
      </c>
      <c r="C19" s="44">
        <f>'Biểu 23'!C27</f>
        <v>1226307</v>
      </c>
      <c r="D19" s="44">
        <v>1283614</v>
      </c>
      <c r="E19" s="46">
        <f t="shared" si="2"/>
        <v>104.67313649844614</v>
      </c>
      <c r="F19" s="44">
        <v>1334373</v>
      </c>
      <c r="G19" s="44">
        <v>1469339</v>
      </c>
      <c r="N19" s="53" t="e">
        <f>'03N Biểu 09'!E17</f>
        <v>#REF!</v>
      </c>
      <c r="O19" s="53">
        <f>'03N Biểu 09'!F17</f>
        <v>2543067</v>
      </c>
      <c r="P19" s="53">
        <f>'03N Biểu 09'!G17</f>
        <v>2894177</v>
      </c>
    </row>
    <row r="20" spans="1:16" x14ac:dyDescent="0.25">
      <c r="A20" s="456"/>
      <c r="B20" s="457" t="s">
        <v>5</v>
      </c>
      <c r="C20" s="46"/>
      <c r="D20" s="46"/>
      <c r="E20" s="46"/>
      <c r="F20" s="46"/>
      <c r="G20" s="46"/>
      <c r="N20" s="53" t="e">
        <f>N19-D13-D24-D25-D26</f>
        <v>#REF!</v>
      </c>
      <c r="O20" s="53">
        <f>O19-F13-F24-F25-F26</f>
        <v>1333823</v>
      </c>
      <c r="P20" s="53">
        <f>P19-G13-G24-G25-G26</f>
        <v>1489667</v>
      </c>
    </row>
    <row r="21" spans="1:16" x14ac:dyDescent="0.25">
      <c r="A21" s="456" t="s">
        <v>23</v>
      </c>
      <c r="B21" s="457" t="s">
        <v>41</v>
      </c>
      <c r="C21" s="46">
        <f>'Biểu 22'!D30</f>
        <v>21461</v>
      </c>
      <c r="D21" s="46">
        <f>'Biểu 06 DT '!G47+'Biểu 06 DT '!G50</f>
        <v>116574</v>
      </c>
      <c r="E21" s="46">
        <f t="shared" si="2"/>
        <v>543.18997250827078</v>
      </c>
      <c r="F21" s="46">
        <v>108940</v>
      </c>
      <c r="G21" s="46">
        <v>119839</v>
      </c>
      <c r="K21" s="53">
        <f>1052132+D21+D22</f>
        <v>1234145</v>
      </c>
    </row>
    <row r="22" spans="1:16" x14ac:dyDescent="0.25">
      <c r="A22" s="456" t="s">
        <v>23</v>
      </c>
      <c r="B22" s="457" t="s">
        <v>42</v>
      </c>
      <c r="C22" s="46">
        <f>'Biểu 22'!D56</f>
        <v>147792</v>
      </c>
      <c r="D22" s="46">
        <f>'Biểu 06 DT '!G55</f>
        <v>65439</v>
      </c>
      <c r="E22" s="46">
        <f t="shared" si="2"/>
        <v>44.277768756089642</v>
      </c>
      <c r="F22" s="46">
        <f>323337-165000</f>
        <v>158337</v>
      </c>
      <c r="G22" s="46">
        <f>349060-185000</f>
        <v>164060</v>
      </c>
      <c r="K22" s="53">
        <f>K21-D19</f>
        <v>-49469</v>
      </c>
    </row>
    <row r="23" spans="1:16" x14ac:dyDescent="0.25">
      <c r="A23" s="42" t="s">
        <v>14</v>
      </c>
      <c r="B23" s="43" t="s">
        <v>40</v>
      </c>
      <c r="C23" s="44">
        <f>'Biểu 23'!C44</f>
        <v>3903</v>
      </c>
      <c r="D23" s="46"/>
      <c r="E23" s="46"/>
      <c r="F23" s="46"/>
      <c r="G23" s="46"/>
    </row>
    <row r="24" spans="1:16" ht="28.5" x14ac:dyDescent="0.25">
      <c r="A24" s="42" t="s">
        <v>15</v>
      </c>
      <c r="B24" s="1210" t="s">
        <v>278</v>
      </c>
      <c r="C24" s="44">
        <v>548</v>
      </c>
      <c r="D24" s="44">
        <f>'Biểu 06 DT '!B38</f>
        <v>1160</v>
      </c>
      <c r="E24" s="44"/>
      <c r="F24" s="44">
        <f>'03N Biểu 07'!H20</f>
        <v>2550</v>
      </c>
      <c r="G24" s="44">
        <f>'03N Biểu 07'!I20</f>
        <v>3650</v>
      </c>
    </row>
    <row r="25" spans="1:16" x14ac:dyDescent="0.25">
      <c r="A25" s="42" t="s">
        <v>17</v>
      </c>
      <c r="B25" s="43" t="s">
        <v>20</v>
      </c>
      <c r="C25" s="44">
        <v>1000</v>
      </c>
      <c r="D25" s="44">
        <v>1000</v>
      </c>
      <c r="E25" s="44">
        <f t="shared" si="2"/>
        <v>100</v>
      </c>
      <c r="F25" s="44">
        <v>1000</v>
      </c>
      <c r="G25" s="44">
        <v>1000</v>
      </c>
    </row>
    <row r="26" spans="1:16" x14ac:dyDescent="0.25">
      <c r="A26" s="47" t="s">
        <v>48</v>
      </c>
      <c r="B26" s="48" t="s">
        <v>104</v>
      </c>
      <c r="C26" s="91">
        <f>'Biểu 23'!C43</f>
        <v>35202</v>
      </c>
      <c r="D26" s="91">
        <f>'Biểu 06 DT '!G40</f>
        <v>35828</v>
      </c>
      <c r="E26" s="91">
        <f t="shared" si="2"/>
        <v>101.77830805067893</v>
      </c>
      <c r="F26" s="91">
        <v>40512</v>
      </c>
      <c r="G26" s="91">
        <v>48203</v>
      </c>
    </row>
    <row r="27" spans="1:16" x14ac:dyDescent="0.25">
      <c r="A27" s="459"/>
    </row>
    <row r="28" spans="1:16" x14ac:dyDescent="0.25">
      <c r="A28" s="1943"/>
      <c r="B28" s="1943"/>
      <c r="C28" s="1943"/>
      <c r="D28" s="1943"/>
      <c r="E28" s="1943"/>
      <c r="F28" s="1943"/>
      <c r="G28" s="1943"/>
    </row>
    <row r="29" spans="1:16" x14ac:dyDescent="0.25">
      <c r="A29" s="1943"/>
      <c r="B29" s="1943"/>
      <c r="C29" s="1943"/>
      <c r="D29" s="1943"/>
      <c r="E29" s="1943"/>
      <c r="F29" s="1943"/>
      <c r="G29" s="1943"/>
    </row>
  </sheetData>
  <mergeCells count="6">
    <mergeCell ref="A29:G29"/>
    <mergeCell ref="A1:G1"/>
    <mergeCell ref="A2:G2"/>
    <mergeCell ref="A3:G3"/>
    <mergeCell ref="F4:G4"/>
    <mergeCell ref="A28:G28"/>
  </mergeCells>
  <pageMargins left="0.7" right="0.2" top="0.64" bottom="0.94" header="0.3" footer="0.55000000000000004"/>
  <pageSetup paperSize="9" firstPageNumber="59" orientation="portrait" useFirstPageNumber="1" r:id="rId1"/>
  <headerFooter>
    <oddFooter>&amp;C&amp;P</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58"/>
  <sheetViews>
    <sheetView workbookViewId="0">
      <selection sqref="A1:XFD1048576"/>
    </sheetView>
  </sheetViews>
  <sheetFormatPr defaultRowHeight="15.75" x14ac:dyDescent="0.25"/>
  <cols>
    <col min="1" max="1" width="6" customWidth="1"/>
    <col min="2" max="2" width="62" customWidth="1"/>
    <col min="3" max="3" width="17.125" customWidth="1"/>
    <col min="4" max="4" width="12" hidden="1" customWidth="1"/>
  </cols>
  <sheetData>
    <row r="1" spans="1:6" ht="23.25" customHeight="1" x14ac:dyDescent="0.25">
      <c r="A1" s="2019" t="s">
        <v>1304</v>
      </c>
      <c r="B1" s="2019"/>
      <c r="C1" s="2019"/>
    </row>
    <row r="2" spans="1:6" ht="19.5" customHeight="1" x14ac:dyDescent="0.25">
      <c r="A2" s="2020" t="str">
        <f>'Biểu 07 DT'!A2:AN2</f>
        <v>(Kèm theo Nghị quyết số 14/NQ-HĐND ngày 09 tháng 12 năm 2018 của HĐND tỉnh Bắc Kạn)</v>
      </c>
      <c r="B2" s="2021"/>
      <c r="C2" s="2021"/>
    </row>
    <row r="3" spans="1:6" x14ac:dyDescent="0.25">
      <c r="A3" s="6"/>
      <c r="C3" s="12" t="s">
        <v>6</v>
      </c>
    </row>
    <row r="4" spans="1:6" ht="22.5" customHeight="1" x14ac:dyDescent="0.25">
      <c r="A4" s="2022" t="s">
        <v>0</v>
      </c>
      <c r="B4" s="2022" t="s">
        <v>1</v>
      </c>
      <c r="C4" s="2022" t="s">
        <v>1268</v>
      </c>
    </row>
    <row r="5" spans="1:6" x14ac:dyDescent="0.25">
      <c r="A5" s="2022"/>
      <c r="B5" s="2022"/>
      <c r="C5" s="2022"/>
    </row>
    <row r="6" spans="1:6" x14ac:dyDescent="0.25">
      <c r="A6" s="291" t="s">
        <v>2</v>
      </c>
      <c r="B6" s="291" t="s">
        <v>3</v>
      </c>
      <c r="C6" s="291">
        <v>1</v>
      </c>
    </row>
    <row r="7" spans="1:6" ht="19.5" customHeight="1" x14ac:dyDescent="0.25">
      <c r="A7" s="57"/>
      <c r="B7" s="28" t="s">
        <v>39</v>
      </c>
      <c r="C7" s="259">
        <f>C8+C9+C55</f>
        <v>4530680.79</v>
      </c>
      <c r="E7">
        <v>4527368</v>
      </c>
      <c r="F7" s="88">
        <f>C7-E7</f>
        <v>3312.7900000000373</v>
      </c>
    </row>
    <row r="8" spans="1:6" ht="21.75" customHeight="1" x14ac:dyDescent="0.25">
      <c r="A8" s="16" t="s">
        <v>2</v>
      </c>
      <c r="B8" s="7" t="s">
        <v>1223</v>
      </c>
      <c r="C8" s="74">
        <f>'Biểu 09DT'!C8</f>
        <v>1890375</v>
      </c>
    </row>
    <row r="9" spans="1:6" ht="20.25" customHeight="1" x14ac:dyDescent="0.25">
      <c r="A9" s="16" t="s">
        <v>3</v>
      </c>
      <c r="B9" s="7" t="s">
        <v>410</v>
      </c>
      <c r="C9" s="74">
        <f>C10+C27+C41+C51</f>
        <v>2640305.79</v>
      </c>
      <c r="D9">
        <v>3078563</v>
      </c>
      <c r="E9" s="88">
        <f>'Biểu 06 DT '!C7+'Biểu 06 DT '!G7</f>
        <v>2636992.79</v>
      </c>
      <c r="F9" s="88">
        <f>E9-C9</f>
        <v>-3313</v>
      </c>
    </row>
    <row r="10" spans="1:6" x14ac:dyDescent="0.25">
      <c r="A10" s="16" t="s">
        <v>9</v>
      </c>
      <c r="B10" s="7" t="s">
        <v>326</v>
      </c>
      <c r="C10" s="74">
        <f>C11+C25+C26</f>
        <v>305271</v>
      </c>
      <c r="D10" s="74">
        <f>C9-D9</f>
        <v>-438257.20999999996</v>
      </c>
      <c r="E10" s="88">
        <f>'Biểu 06 DT '!C43+'Biểu 06 DT '!E43</f>
        <v>205592</v>
      </c>
    </row>
    <row r="11" spans="1:6" x14ac:dyDescent="0.25">
      <c r="A11" s="14">
        <v>1</v>
      </c>
      <c r="B11" s="3" t="s">
        <v>74</v>
      </c>
      <c r="C11" s="73">
        <f>SUM(C12:C24)</f>
        <v>305271</v>
      </c>
      <c r="D11" s="88"/>
      <c r="E11" s="88">
        <f>C9+E10</f>
        <v>2845897.79</v>
      </c>
    </row>
    <row r="12" spans="1:6" x14ac:dyDescent="0.25">
      <c r="A12" s="14" t="s">
        <v>23</v>
      </c>
      <c r="B12" s="3" t="s">
        <v>28</v>
      </c>
      <c r="C12" s="73">
        <f>'Biểu 36'!D8</f>
        <v>74461</v>
      </c>
    </row>
    <row r="13" spans="1:6" x14ac:dyDescent="0.25">
      <c r="A13" s="14" t="s">
        <v>23</v>
      </c>
      <c r="B13" s="3" t="s">
        <v>29</v>
      </c>
      <c r="C13" s="73">
        <f>'Biểu 36'!E8</f>
        <v>7000</v>
      </c>
    </row>
    <row r="14" spans="1:6" x14ac:dyDescent="0.25">
      <c r="A14" s="14" t="s">
        <v>23</v>
      </c>
      <c r="B14" s="3" t="s">
        <v>75</v>
      </c>
      <c r="C14" s="73">
        <f>'Biểu 36'!F8</f>
        <v>165</v>
      </c>
    </row>
    <row r="15" spans="1:6" x14ac:dyDescent="0.25">
      <c r="A15" s="14" t="s">
        <v>23</v>
      </c>
      <c r="B15" s="3" t="s">
        <v>76</v>
      </c>
      <c r="C15" s="73"/>
    </row>
    <row r="16" spans="1:6" x14ac:dyDescent="0.25">
      <c r="A16" s="14" t="s">
        <v>23</v>
      </c>
      <c r="B16" s="3" t="s">
        <v>77</v>
      </c>
      <c r="C16" s="73">
        <f>'Biểu 36'!G8</f>
        <v>18383</v>
      </c>
    </row>
    <row r="17" spans="1:4" x14ac:dyDescent="0.25">
      <c r="A17" s="14" t="s">
        <v>23</v>
      </c>
      <c r="B17" s="3" t="s">
        <v>78</v>
      </c>
      <c r="C17" s="73">
        <f>'Biểu 36'!H8</f>
        <v>2106</v>
      </c>
    </row>
    <row r="18" spans="1:4" x14ac:dyDescent="0.25">
      <c r="A18" s="14" t="s">
        <v>23</v>
      </c>
      <c r="B18" s="3" t="s">
        <v>79</v>
      </c>
      <c r="C18" s="73">
        <f>'Biểu 36'!I8</f>
        <v>196</v>
      </c>
    </row>
    <row r="19" spans="1:4" x14ac:dyDescent="0.25">
      <c r="A19" s="14" t="s">
        <v>23</v>
      </c>
      <c r="B19" s="3" t="s">
        <v>80</v>
      </c>
      <c r="C19" s="73">
        <f>'Biểu 36'!J8</f>
        <v>4224</v>
      </c>
    </row>
    <row r="20" spans="1:4" x14ac:dyDescent="0.25">
      <c r="A20" s="14" t="s">
        <v>23</v>
      </c>
      <c r="B20" s="3" t="s">
        <v>81</v>
      </c>
      <c r="C20" s="73">
        <f>'Biểu 36'!L8</f>
        <v>2418</v>
      </c>
    </row>
    <row r="21" spans="1:4" x14ac:dyDescent="0.25">
      <c r="A21" s="14" t="s">
        <v>23</v>
      </c>
      <c r="B21" s="3" t="s">
        <v>82</v>
      </c>
      <c r="C21" s="73">
        <f>'Biểu 36'!M8-8000-12523-7019</f>
        <v>176669</v>
      </c>
    </row>
    <row r="22" spans="1:4" ht="24.75" customHeight="1" x14ac:dyDescent="0.25">
      <c r="A22" s="14" t="s">
        <v>23</v>
      </c>
      <c r="B22" s="3" t="s">
        <v>83</v>
      </c>
      <c r="C22" s="73">
        <f>'Biểu 36'!Q8</f>
        <v>16246</v>
      </c>
    </row>
    <row r="23" spans="1:4" x14ac:dyDescent="0.25">
      <c r="A23" s="14" t="s">
        <v>23</v>
      </c>
      <c r="B23" s="3" t="s">
        <v>84</v>
      </c>
      <c r="C23" s="73">
        <f>'Biểu 36'!K8</f>
        <v>3403</v>
      </c>
    </row>
    <row r="24" spans="1:4" x14ac:dyDescent="0.25">
      <c r="A24" s="14" t="s">
        <v>23</v>
      </c>
      <c r="B24" s="3" t="s">
        <v>85</v>
      </c>
      <c r="C24" s="73">
        <f>'Biểu 36'!R8-7800-15000-8000</f>
        <v>0</v>
      </c>
    </row>
    <row r="25" spans="1:4" ht="54.75" customHeight="1" x14ac:dyDescent="0.25">
      <c r="A25" s="14">
        <v>2</v>
      </c>
      <c r="B25" s="3" t="s">
        <v>25</v>
      </c>
      <c r="C25" s="73"/>
    </row>
    <row r="26" spans="1:4" x14ac:dyDescent="0.25">
      <c r="A26" s="14">
        <v>3</v>
      </c>
      <c r="B26" s="3" t="s">
        <v>47</v>
      </c>
      <c r="C26" s="73"/>
    </row>
    <row r="27" spans="1:4" x14ac:dyDescent="0.25">
      <c r="A27" s="16" t="s">
        <v>11</v>
      </c>
      <c r="B27" s="7" t="s">
        <v>19</v>
      </c>
      <c r="C27" s="74">
        <f>SUM(C28:C40)</f>
        <v>1161726.79</v>
      </c>
      <c r="D27" s="74">
        <v>1213716</v>
      </c>
    </row>
    <row r="28" spans="1:4" x14ac:dyDescent="0.25">
      <c r="A28" s="14" t="s">
        <v>23</v>
      </c>
      <c r="B28" s="3" t="s">
        <v>28</v>
      </c>
      <c r="C28" s="73">
        <f>'Biểu 37'!D7</f>
        <v>232312</v>
      </c>
      <c r="D28" s="88">
        <f>D27-C27</f>
        <v>51989.209999999963</v>
      </c>
    </row>
    <row r="29" spans="1:4" x14ac:dyDescent="0.25">
      <c r="A29" s="14" t="s">
        <v>23</v>
      </c>
      <c r="B29" s="3" t="s">
        <v>245</v>
      </c>
      <c r="C29" s="73">
        <f>'Biểu 37'!E7</f>
        <v>10543</v>
      </c>
    </row>
    <row r="30" spans="1:4" x14ac:dyDescent="0.25">
      <c r="A30" s="14" t="s">
        <v>23</v>
      </c>
      <c r="B30" s="3" t="s">
        <v>75</v>
      </c>
      <c r="C30" s="73">
        <f>'Biểu 37'!F7</f>
        <v>21935</v>
      </c>
    </row>
    <row r="31" spans="1:4" x14ac:dyDescent="0.25">
      <c r="A31" s="14" t="s">
        <v>23</v>
      </c>
      <c r="B31" s="3" t="s">
        <v>76</v>
      </c>
      <c r="C31" s="73">
        <f>'Biểu 37'!G7</f>
        <v>14950</v>
      </c>
    </row>
    <row r="32" spans="1:4" x14ac:dyDescent="0.25">
      <c r="A32" s="14" t="s">
        <v>23</v>
      </c>
      <c r="B32" s="3" t="s">
        <v>77</v>
      </c>
      <c r="C32" s="73">
        <f>'Biểu 37'!H7</f>
        <v>382066</v>
      </c>
    </row>
    <row r="33" spans="1:4" x14ac:dyDescent="0.25">
      <c r="A33" s="14" t="s">
        <v>23</v>
      </c>
      <c r="B33" s="3" t="s">
        <v>78</v>
      </c>
      <c r="C33" s="73">
        <f>'Biểu 37'!I7</f>
        <v>34154</v>
      </c>
    </row>
    <row r="34" spans="1:4" x14ac:dyDescent="0.25">
      <c r="A34" s="14" t="s">
        <v>23</v>
      </c>
      <c r="B34" s="3" t="s">
        <v>79</v>
      </c>
      <c r="C34" s="73">
        <f>'Biểu 37'!J7</f>
        <v>21664</v>
      </c>
    </row>
    <row r="35" spans="1:4" x14ac:dyDescent="0.25">
      <c r="A35" s="14" t="s">
        <v>23</v>
      </c>
      <c r="B35" s="3" t="s">
        <v>80</v>
      </c>
      <c r="C35" s="73">
        <f>'Biểu 37'!K7</f>
        <v>5783</v>
      </c>
    </row>
    <row r="36" spans="1:4" x14ac:dyDescent="0.25">
      <c r="A36" s="14" t="s">
        <v>23</v>
      </c>
      <c r="B36" s="3" t="s">
        <v>81</v>
      </c>
      <c r="C36" s="73">
        <f>'Biểu 37'!L7</f>
        <v>13466</v>
      </c>
    </row>
    <row r="37" spans="1:4" x14ac:dyDescent="0.25">
      <c r="A37" s="14" t="s">
        <v>23</v>
      </c>
      <c r="B37" s="3" t="s">
        <v>82</v>
      </c>
      <c r="C37" s="73">
        <f>'Biểu 37'!M7</f>
        <v>157469</v>
      </c>
    </row>
    <row r="38" spans="1:4" ht="19.5" customHeight="1" x14ac:dyDescent="0.25">
      <c r="A38" s="14" t="s">
        <v>23</v>
      </c>
      <c r="B38" s="3" t="s">
        <v>83</v>
      </c>
      <c r="C38" s="73">
        <f>'Biểu 37'!P7</f>
        <v>255417.79</v>
      </c>
    </row>
    <row r="39" spans="1:4" x14ac:dyDescent="0.25">
      <c r="A39" s="14" t="s">
        <v>23</v>
      </c>
      <c r="B39" s="3" t="s">
        <v>84</v>
      </c>
      <c r="C39" s="73">
        <f>'Biểu 37'!Q7</f>
        <v>11506</v>
      </c>
    </row>
    <row r="40" spans="1:4" x14ac:dyDescent="0.25">
      <c r="A40" s="14" t="s">
        <v>23</v>
      </c>
      <c r="B40" s="3" t="s">
        <v>86</v>
      </c>
      <c r="C40" s="73">
        <f>'Biểu 37'!R7</f>
        <v>461</v>
      </c>
    </row>
    <row r="41" spans="1:4" s="87" customFormat="1" x14ac:dyDescent="0.25">
      <c r="A41" s="33" t="s">
        <v>14</v>
      </c>
      <c r="B41" s="278" t="s">
        <v>933</v>
      </c>
      <c r="C41" s="74">
        <f>C42+C45+C49+C50</f>
        <v>1172148</v>
      </c>
      <c r="D41" s="99"/>
    </row>
    <row r="42" spans="1:4" x14ac:dyDescent="0.25">
      <c r="A42" s="277">
        <v>1</v>
      </c>
      <c r="B42" s="34" t="s">
        <v>24</v>
      </c>
      <c r="C42" s="73">
        <f>C43+C44</f>
        <v>851981</v>
      </c>
    </row>
    <row r="43" spans="1:4" x14ac:dyDescent="0.25">
      <c r="A43" s="277" t="s">
        <v>438</v>
      </c>
      <c r="B43" s="34" t="s">
        <v>1048</v>
      </c>
      <c r="C43" s="73">
        <f>'Biểu 06 DT '!G10</f>
        <v>61655</v>
      </c>
    </row>
    <row r="44" spans="1:4" x14ac:dyDescent="0.25">
      <c r="A44" s="277" t="s">
        <v>439</v>
      </c>
      <c r="B44" s="34" t="s">
        <v>1049</v>
      </c>
      <c r="C44" s="73">
        <f>'Biểu 06 DT '!G46+'Biểu 06 DT '!G49+'Biểu 06 DT '!G51</f>
        <v>790326</v>
      </c>
    </row>
    <row r="45" spans="1:4" x14ac:dyDescent="0.25">
      <c r="A45" s="277">
        <v>2</v>
      </c>
      <c r="B45" s="34" t="s">
        <v>19</v>
      </c>
      <c r="C45" s="73">
        <f>C46+C47</f>
        <v>283339</v>
      </c>
    </row>
    <row r="46" spans="1:4" x14ac:dyDescent="0.25">
      <c r="A46" s="277" t="s">
        <v>947</v>
      </c>
      <c r="B46" s="34" t="s">
        <v>1048</v>
      </c>
      <c r="C46" s="73">
        <f>'Biểu 06 DT '!G20</f>
        <v>101326</v>
      </c>
    </row>
    <row r="47" spans="1:4" x14ac:dyDescent="0.25">
      <c r="A47" s="277" t="s">
        <v>948</v>
      </c>
      <c r="B47" s="34" t="s">
        <v>1049</v>
      </c>
      <c r="C47" s="73">
        <f>'Biểu 06 DT '!G55+'Biểu 06 DT '!G47+'Biểu 06 DT '!G50</f>
        <v>182013</v>
      </c>
    </row>
    <row r="48" spans="1:4" hidden="1" x14ac:dyDescent="0.25">
      <c r="A48" s="277"/>
      <c r="B48" s="34"/>
      <c r="C48" s="73"/>
    </row>
    <row r="49" spans="1:3" x14ac:dyDescent="0.25">
      <c r="A49" s="277">
        <v>3</v>
      </c>
      <c r="B49" s="34" t="s">
        <v>1181</v>
      </c>
      <c r="C49" s="73">
        <v>1000</v>
      </c>
    </row>
    <row r="50" spans="1:3" x14ac:dyDescent="0.25">
      <c r="A50" s="277">
        <v>4</v>
      </c>
      <c r="B50" s="34" t="s">
        <v>21</v>
      </c>
      <c r="C50" s="73">
        <f>'Biểu 06 DT '!G40</f>
        <v>35828</v>
      </c>
    </row>
    <row r="51" spans="1:3" ht="21" customHeight="1" x14ac:dyDescent="0.25">
      <c r="A51" s="16" t="s">
        <v>15</v>
      </c>
      <c r="B51" s="7" t="s">
        <v>1230</v>
      </c>
      <c r="C51" s="74">
        <f>'Biểu 06 DT '!B38</f>
        <v>1160</v>
      </c>
    </row>
    <row r="52" spans="1:3" ht="18.75" hidden="1" customHeight="1" x14ac:dyDescent="0.25">
      <c r="A52" s="16" t="s">
        <v>17</v>
      </c>
      <c r="B52" s="7" t="s">
        <v>103</v>
      </c>
      <c r="C52" s="73"/>
    </row>
    <row r="53" spans="1:3" ht="23.25" hidden="1" customHeight="1" x14ac:dyDescent="0.25">
      <c r="A53" s="16" t="s">
        <v>48</v>
      </c>
      <c r="B53" s="7" t="s">
        <v>21</v>
      </c>
      <c r="C53" s="74"/>
    </row>
    <row r="54" spans="1:3" ht="26.25" hidden="1" customHeight="1" x14ac:dyDescent="0.25">
      <c r="A54" s="16" t="s">
        <v>108</v>
      </c>
      <c r="B54" s="31" t="s">
        <v>40</v>
      </c>
      <c r="C54" s="73"/>
    </row>
    <row r="55" spans="1:3" ht="24.75" hidden="1" customHeight="1" x14ac:dyDescent="0.25">
      <c r="A55" s="8" t="s">
        <v>4</v>
      </c>
      <c r="B55" s="9" t="s">
        <v>50</v>
      </c>
      <c r="C55" s="15"/>
    </row>
    <row r="56" spans="1:3" ht="35.25" customHeight="1" x14ac:dyDescent="0.25">
      <c r="A56" s="2016"/>
      <c r="B56" s="2016"/>
      <c r="C56" s="2016"/>
    </row>
    <row r="57" spans="1:3" s="11" customFormat="1" ht="75.75" customHeight="1" x14ac:dyDescent="0.25">
      <c r="A57" s="2018"/>
      <c r="B57" s="2018"/>
      <c r="C57" s="2018"/>
    </row>
    <row r="58" spans="1:3" s="11" customFormat="1" ht="46.5" customHeight="1" x14ac:dyDescent="0.25">
      <c r="A58" s="2018"/>
      <c r="B58" s="2018"/>
      <c r="C58" s="2018"/>
    </row>
  </sheetData>
  <mergeCells count="8">
    <mergeCell ref="A56:C56"/>
    <mergeCell ref="A57:C57"/>
    <mergeCell ref="A58:C58"/>
    <mergeCell ref="A1:C1"/>
    <mergeCell ref="A2:C2"/>
    <mergeCell ref="A4:A5"/>
    <mergeCell ref="B4:B5"/>
    <mergeCell ref="C4:C5"/>
  </mergeCells>
  <pageMargins left="0.72" right="0.35" top="0.83" bottom="0.75" header="0.47" footer="0.53"/>
  <pageSetup paperSize="9" firstPageNumber="50" orientation="portrait" useFirstPageNumber="1" r:id="rId1"/>
  <headerFooter>
    <oddHeader>&amp;RBiểu mẫu số 34</oddHeader>
    <oddFooter>&amp;C&amp;P</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O122"/>
  <sheetViews>
    <sheetView zoomScale="90" zoomScaleNormal="90" workbookViewId="0">
      <pane xSplit="2" ySplit="6" topLeftCell="C79" activePane="bottomRight" state="frozen"/>
      <selection pane="topRight" activeCell="C1" sqref="C1"/>
      <selection pane="bottomLeft" activeCell="A7" sqref="A7"/>
      <selection pane="bottomRight" activeCell="R92" sqref="R92"/>
    </sheetView>
  </sheetViews>
  <sheetFormatPr defaultRowHeight="15.75" x14ac:dyDescent="0.25"/>
  <cols>
    <col min="1" max="1" width="3.75" customWidth="1"/>
    <col min="2" max="2" width="31.375" customWidth="1"/>
    <col min="3" max="3" width="9.25" customWidth="1"/>
    <col min="4" max="4" width="9.375" style="289" customWidth="1"/>
    <col min="5" max="5" width="10.875" style="289" customWidth="1"/>
    <col min="6" max="6" width="8" customWidth="1"/>
    <col min="7" max="7" width="6.75" customWidth="1"/>
    <col min="8" max="8" width="8.75" customWidth="1"/>
    <col min="9" max="9" width="8.125" hidden="1" customWidth="1"/>
    <col min="10" max="13" width="8" hidden="1" customWidth="1"/>
    <col min="14" max="14" width="8.125" hidden="1" customWidth="1"/>
  </cols>
  <sheetData>
    <row r="1" spans="1:15" ht="42" customHeight="1" x14ac:dyDescent="0.25">
      <c r="A1" s="1950" t="s">
        <v>1305</v>
      </c>
      <c r="B1" s="1950"/>
      <c r="C1" s="1950"/>
      <c r="D1" s="1950"/>
      <c r="E1" s="1950"/>
      <c r="F1" s="1950"/>
      <c r="G1" s="1950"/>
      <c r="H1" s="1950"/>
      <c r="I1" s="1950"/>
      <c r="J1" s="1950"/>
      <c r="K1" s="1950"/>
      <c r="L1" s="1950"/>
      <c r="M1" s="1950"/>
      <c r="N1" s="1950"/>
      <c r="O1" s="1820"/>
    </row>
    <row r="2" spans="1:15" x14ac:dyDescent="0.25">
      <c r="A2" s="2125" t="e">
        <f>#REF!</f>
        <v>#REF!</v>
      </c>
      <c r="B2" s="1945"/>
      <c r="C2" s="1945"/>
      <c r="D2" s="1945"/>
      <c r="E2" s="1945"/>
      <c r="F2" s="1945"/>
      <c r="G2" s="1945"/>
      <c r="H2" s="1945"/>
      <c r="I2" s="1945"/>
      <c r="J2" s="1945"/>
      <c r="K2" s="1945"/>
      <c r="L2" s="1945"/>
      <c r="M2" s="1945"/>
      <c r="N2" s="1945"/>
      <c r="O2" s="1820"/>
    </row>
    <row r="3" spans="1:15" x14ac:dyDescent="0.25">
      <c r="A3" s="1821"/>
      <c r="B3" s="1820"/>
      <c r="C3" s="1820"/>
      <c r="D3" s="1822"/>
      <c r="E3" s="1822"/>
      <c r="F3" s="1823" t="s">
        <v>6</v>
      </c>
      <c r="G3" s="1823"/>
      <c r="H3" s="1823"/>
      <c r="I3" s="1820"/>
      <c r="J3" s="1820"/>
      <c r="K3" s="1820"/>
      <c r="L3" s="1820"/>
      <c r="M3" s="2126"/>
      <c r="N3" s="2126"/>
      <c r="O3" s="1820"/>
    </row>
    <row r="4" spans="1:15" s="29" customFormat="1" ht="53.25" customHeight="1" x14ac:dyDescent="0.2">
      <c r="A4" s="2128" t="s">
        <v>0</v>
      </c>
      <c r="B4" s="2128" t="s">
        <v>63</v>
      </c>
      <c r="C4" s="2128" t="s">
        <v>61</v>
      </c>
      <c r="D4" s="2003" t="s">
        <v>2412</v>
      </c>
      <c r="E4" s="2003" t="s">
        <v>2413</v>
      </c>
      <c r="F4" s="2128" t="s">
        <v>1180</v>
      </c>
      <c r="G4" s="2128" t="s">
        <v>1181</v>
      </c>
      <c r="H4" s="2128" t="s">
        <v>104</v>
      </c>
      <c r="I4" s="2129"/>
      <c r="J4" s="2128" t="s">
        <v>40</v>
      </c>
      <c r="K4" s="2128" t="s">
        <v>87</v>
      </c>
      <c r="L4" s="2128"/>
      <c r="M4" s="2128"/>
      <c r="N4" s="2128" t="s">
        <v>88</v>
      </c>
      <c r="O4" s="399"/>
    </row>
    <row r="5" spans="1:15" s="29" customFormat="1" ht="45" customHeight="1" x14ac:dyDescent="0.2">
      <c r="A5" s="2128"/>
      <c r="B5" s="2128"/>
      <c r="C5" s="2128"/>
      <c r="D5" s="2003"/>
      <c r="E5" s="2003"/>
      <c r="F5" s="2128"/>
      <c r="G5" s="2128"/>
      <c r="H5" s="2128"/>
      <c r="I5" s="2130"/>
      <c r="J5" s="2128"/>
      <c r="K5" s="1824" t="s">
        <v>61</v>
      </c>
      <c r="L5" s="1824" t="s">
        <v>24</v>
      </c>
      <c r="M5" s="1824" t="s">
        <v>19</v>
      </c>
      <c r="N5" s="2128"/>
      <c r="O5" s="399"/>
    </row>
    <row r="6" spans="1:15" s="29" customFormat="1" ht="15.75" customHeight="1" x14ac:dyDescent="0.2">
      <c r="A6" s="1824" t="s">
        <v>2</v>
      </c>
      <c r="B6" s="1824" t="s">
        <v>3</v>
      </c>
      <c r="C6" s="1824">
        <v>1</v>
      </c>
      <c r="D6" s="1754">
        <v>2</v>
      </c>
      <c r="E6" s="1754">
        <v>3</v>
      </c>
      <c r="F6" s="1824">
        <v>4</v>
      </c>
      <c r="G6" s="1824">
        <v>5</v>
      </c>
      <c r="H6" s="1824">
        <v>6</v>
      </c>
      <c r="I6" s="1824"/>
      <c r="J6" s="1824">
        <v>7</v>
      </c>
      <c r="K6" s="1824">
        <v>8</v>
      </c>
      <c r="L6" s="1824">
        <v>9</v>
      </c>
      <c r="M6" s="1824">
        <v>10</v>
      </c>
      <c r="N6" s="1824">
        <v>11</v>
      </c>
      <c r="O6" s="399"/>
    </row>
    <row r="7" spans="1:15" x14ac:dyDescent="0.25">
      <c r="A7" s="1825"/>
      <c r="B7" s="1826" t="s">
        <v>89</v>
      </c>
      <c r="C7" s="1827">
        <f>C8+C108+C117+C118</f>
        <v>1563117.79</v>
      </c>
      <c r="D7" s="1827">
        <f>D8</f>
        <v>363613</v>
      </c>
      <c r="E7" s="1827">
        <f>E8+E108+E117+E118+E119+E120+E121</f>
        <v>1161516.79</v>
      </c>
      <c r="F7" s="1828">
        <f>F8+F108+F117+F118+F119+F120+F121</f>
        <v>1160</v>
      </c>
      <c r="G7" s="1828">
        <f>G8+G108+G117+G118+G119+G120+G121</f>
        <v>1000</v>
      </c>
      <c r="H7" s="1828">
        <f>H8+H108+H117+H118+H119+H120+H121</f>
        <v>35828</v>
      </c>
      <c r="I7" s="1828"/>
      <c r="J7" s="1828">
        <f>J8+J108+J117+J118+J119+J120+J121</f>
        <v>0</v>
      </c>
      <c r="K7" s="1828">
        <f>K8+K108+K117+K118+K119+K120+K121</f>
        <v>0</v>
      </c>
      <c r="L7" s="1828">
        <f>L8+L108+L117+L118+L119+L120+L121</f>
        <v>0</v>
      </c>
      <c r="M7" s="1828">
        <f>M8+M108+M117+M118+M119+M120+M121</f>
        <v>0</v>
      </c>
      <c r="N7" s="1828">
        <f>N8+N108+N117+N118+N119+N120+N121</f>
        <v>0</v>
      </c>
      <c r="O7" s="1829">
        <f>'Biểu 36'!C8</f>
        <v>363613</v>
      </c>
    </row>
    <row r="8" spans="1:15" x14ac:dyDescent="0.25">
      <c r="A8" s="1830" t="s">
        <v>9</v>
      </c>
      <c r="B8" s="1831" t="s">
        <v>90</v>
      </c>
      <c r="C8" s="1832">
        <f>C9+C46+C49+C55+C68+C71+C87+C95+C105+C106+C107</f>
        <v>1525129.79</v>
      </c>
      <c r="D8" s="1832">
        <f>D9+D87+D95+D105+D106+D107+D46+D68</f>
        <v>363613</v>
      </c>
      <c r="E8" s="1832">
        <f>E9+E46+E49+E55+E68+E71</f>
        <v>1161516.79</v>
      </c>
      <c r="F8" s="1833">
        <f>F9+F46+F49+F55+F68+F71</f>
        <v>0</v>
      </c>
      <c r="G8" s="1833">
        <f>G9+G46+G49+G55+G68+G71</f>
        <v>0</v>
      </c>
      <c r="H8" s="1833">
        <f>H9+H46+H49+H55+H68+H71</f>
        <v>0</v>
      </c>
      <c r="I8" s="1833"/>
      <c r="J8" s="1833">
        <f>J9+J46+J49+J55+J68+J71</f>
        <v>0</v>
      </c>
      <c r="K8" s="1833">
        <f>K9+K46+K49+K55+K68+K71</f>
        <v>0</v>
      </c>
      <c r="L8" s="1833">
        <f>L9+L46+L49+L55+L68+L71</f>
        <v>0</v>
      </c>
      <c r="M8" s="1833">
        <f>M9+M46+M49+M55+M68+M71</f>
        <v>0</v>
      </c>
      <c r="N8" s="1833">
        <f>N9+N46+N49+N55+N68+N71</f>
        <v>0</v>
      </c>
      <c r="O8" s="1829">
        <f>D7-O7</f>
        <v>0</v>
      </c>
    </row>
    <row r="9" spans="1:15" x14ac:dyDescent="0.25">
      <c r="A9" s="27" t="s">
        <v>2</v>
      </c>
      <c r="B9" s="92" t="s">
        <v>1047</v>
      </c>
      <c r="C9" s="1832">
        <f>SUM(C10:C45)</f>
        <v>963556.79</v>
      </c>
      <c r="D9" s="1832">
        <f>SUM(D10:D45)</f>
        <v>158831</v>
      </c>
      <c r="E9" s="1832">
        <f>SUM(E10:E41)</f>
        <v>804725.79</v>
      </c>
      <c r="F9" s="1833">
        <f>SUM(F10:F34)</f>
        <v>0</v>
      </c>
      <c r="G9" s="1833">
        <f>SUM(G10:G34)</f>
        <v>0</v>
      </c>
      <c r="H9" s="1833">
        <f>SUM(H10:H34)</f>
        <v>0</v>
      </c>
      <c r="I9" s="1833"/>
      <c r="J9" s="1833">
        <f>SUM(J10:J34)</f>
        <v>0</v>
      </c>
      <c r="K9" s="1833">
        <f>SUM(K10:K34)</f>
        <v>0</v>
      </c>
      <c r="L9" s="1833">
        <f>SUM(L10:L34)</f>
        <v>0</v>
      </c>
      <c r="M9" s="1833">
        <f>SUM(M10:M34)</f>
        <v>0</v>
      </c>
      <c r="N9" s="1833">
        <f>SUM(N10:N34)</f>
        <v>0</v>
      </c>
      <c r="O9" s="1829"/>
    </row>
    <row r="10" spans="1:15" ht="29.25" customHeight="1" x14ac:dyDescent="0.25">
      <c r="A10" s="973">
        <v>1</v>
      </c>
      <c r="B10" s="974" t="str">
        <f>'Biểu 37'!B9</f>
        <v>Văn phòng  Đoàn đại biểu Quốc hội, HĐND và UBND tỉnh Bắc Kạn</v>
      </c>
      <c r="C10" s="1834">
        <f>SUM(D10:K10)+N10</f>
        <v>28356</v>
      </c>
      <c r="D10" s="1095">
        <f>'Biểu 36'!C36</f>
        <v>655</v>
      </c>
      <c r="E10" s="1095">
        <f>'Biểu 37'!C9</f>
        <v>27701</v>
      </c>
      <c r="F10" s="1834"/>
      <c r="G10" s="1834"/>
      <c r="H10" s="1834"/>
      <c r="I10" s="1834"/>
      <c r="J10" s="1834"/>
      <c r="K10" s="1835">
        <f>SUM(L10:M10)</f>
        <v>0</v>
      </c>
      <c r="L10" s="1834"/>
      <c r="M10" s="1834"/>
      <c r="N10" s="1834"/>
      <c r="O10" s="1820"/>
    </row>
    <row r="11" spans="1:15" x14ac:dyDescent="0.25">
      <c r="A11" s="973">
        <v>3</v>
      </c>
      <c r="B11" s="440" t="s">
        <v>160</v>
      </c>
      <c r="C11" s="1834">
        <f t="shared" ref="C11:C73" si="0">SUM(D11:K11)+N11</f>
        <v>14699</v>
      </c>
      <c r="D11" s="1095"/>
      <c r="E11" s="1095">
        <f>'Biểu 37'!C10</f>
        <v>14699</v>
      </c>
      <c r="F11" s="1834"/>
      <c r="G11" s="1834"/>
      <c r="H11" s="1834"/>
      <c r="I11" s="1834"/>
      <c r="J11" s="1834"/>
      <c r="K11" s="1835">
        <f t="shared" ref="K11:K34" si="1">SUM(L11:M11)</f>
        <v>0</v>
      </c>
      <c r="L11" s="1834"/>
      <c r="M11" s="1834"/>
      <c r="N11" s="1834"/>
      <c r="O11" s="1820"/>
    </row>
    <row r="12" spans="1:15" x14ac:dyDescent="0.25">
      <c r="A12" s="973">
        <v>4</v>
      </c>
      <c r="B12" s="440" t="s">
        <v>161</v>
      </c>
      <c r="C12" s="1834">
        <f t="shared" si="0"/>
        <v>9009</v>
      </c>
      <c r="D12" s="1095">
        <f>'Biểu 36'!C10</f>
        <v>3132</v>
      </c>
      <c r="E12" s="1095">
        <f>'Biểu 37'!C11</f>
        <v>5877</v>
      </c>
      <c r="F12" s="1834"/>
      <c r="G12" s="1834"/>
      <c r="H12" s="1834"/>
      <c r="I12" s="1834"/>
      <c r="J12" s="1834"/>
      <c r="K12" s="1835">
        <f t="shared" si="1"/>
        <v>0</v>
      </c>
      <c r="L12" s="1834"/>
      <c r="M12" s="1834"/>
      <c r="N12" s="1834"/>
      <c r="O12" s="1820"/>
    </row>
    <row r="13" spans="1:15" x14ac:dyDescent="0.25">
      <c r="A13" s="973">
        <v>5</v>
      </c>
      <c r="B13" s="440" t="s">
        <v>162</v>
      </c>
      <c r="C13" s="1834">
        <f t="shared" si="0"/>
        <v>16806</v>
      </c>
      <c r="D13" s="1095"/>
      <c r="E13" s="1095">
        <f>'Biểu 37'!C12</f>
        <v>16806</v>
      </c>
      <c r="F13" s="1834"/>
      <c r="G13" s="1834"/>
      <c r="H13" s="1834"/>
      <c r="I13" s="1834"/>
      <c r="J13" s="1834"/>
      <c r="K13" s="1835">
        <f t="shared" si="1"/>
        <v>0</v>
      </c>
      <c r="L13" s="1834"/>
      <c r="M13" s="1834"/>
      <c r="N13" s="1834"/>
      <c r="O13" s="1820"/>
    </row>
    <row r="14" spans="1:15" x14ac:dyDescent="0.25">
      <c r="A14" s="973">
        <v>6</v>
      </c>
      <c r="B14" s="440" t="s">
        <v>163</v>
      </c>
      <c r="C14" s="1834">
        <f t="shared" si="0"/>
        <v>10602</v>
      </c>
      <c r="D14" s="1095"/>
      <c r="E14" s="1095">
        <f>'Biểu 37'!C13</f>
        <v>10602</v>
      </c>
      <c r="F14" s="1834"/>
      <c r="G14" s="1834"/>
      <c r="H14" s="1834"/>
      <c r="I14" s="1834"/>
      <c r="J14" s="1834"/>
      <c r="K14" s="1835">
        <f t="shared" si="1"/>
        <v>0</v>
      </c>
      <c r="L14" s="1834"/>
      <c r="M14" s="1834"/>
      <c r="N14" s="1834"/>
      <c r="O14" s="1820"/>
    </row>
    <row r="15" spans="1:15" x14ac:dyDescent="0.25">
      <c r="A15" s="973">
        <v>7</v>
      </c>
      <c r="B15" s="440" t="s">
        <v>164</v>
      </c>
      <c r="C15" s="1834">
        <f t="shared" si="0"/>
        <v>43519</v>
      </c>
      <c r="D15" s="1095">
        <f>'Biểu 36'!C11</f>
        <v>11029</v>
      </c>
      <c r="E15" s="1095">
        <f>'Biểu 37'!C14</f>
        <v>32490</v>
      </c>
      <c r="F15" s="1834"/>
      <c r="G15" s="1834"/>
      <c r="H15" s="1834"/>
      <c r="I15" s="1834"/>
      <c r="J15" s="1834"/>
      <c r="K15" s="1835">
        <f t="shared" si="1"/>
        <v>0</v>
      </c>
      <c r="L15" s="1834"/>
      <c r="M15" s="1834"/>
      <c r="N15" s="1834"/>
      <c r="O15" s="1820"/>
    </row>
    <row r="16" spans="1:15" x14ac:dyDescent="0.25">
      <c r="A16" s="973">
        <v>8</v>
      </c>
      <c r="B16" s="440" t="s">
        <v>165</v>
      </c>
      <c r="C16" s="1834">
        <f t="shared" si="0"/>
        <v>17481</v>
      </c>
      <c r="D16" s="1095">
        <f>'Biểu 36'!C14</f>
        <v>11135</v>
      </c>
      <c r="E16" s="1095">
        <f>'Biểu 37'!C15</f>
        <v>6346</v>
      </c>
      <c r="F16" s="1834"/>
      <c r="G16" s="1834"/>
      <c r="H16" s="1834"/>
      <c r="I16" s="1834"/>
      <c r="J16" s="1834"/>
      <c r="K16" s="1835">
        <f t="shared" si="1"/>
        <v>0</v>
      </c>
      <c r="L16" s="1834"/>
      <c r="M16" s="1834"/>
      <c r="N16" s="1834"/>
      <c r="O16" s="1820"/>
    </row>
    <row r="17" spans="1:15" x14ac:dyDescent="0.25">
      <c r="A17" s="973">
        <v>9</v>
      </c>
      <c r="B17" s="440" t="s">
        <v>166</v>
      </c>
      <c r="C17" s="1834">
        <f t="shared" si="0"/>
        <v>8521</v>
      </c>
      <c r="D17" s="1095"/>
      <c r="E17" s="1095">
        <f>'Biểu 37'!C16</f>
        <v>8521</v>
      </c>
      <c r="F17" s="1834"/>
      <c r="G17" s="1834"/>
      <c r="H17" s="1834"/>
      <c r="I17" s="1834"/>
      <c r="J17" s="1834"/>
      <c r="K17" s="1835">
        <f t="shared" si="1"/>
        <v>0</v>
      </c>
      <c r="L17" s="1834"/>
      <c r="M17" s="1834"/>
      <c r="N17" s="1834"/>
      <c r="O17" s="1820"/>
    </row>
    <row r="18" spans="1:15" x14ac:dyDescent="0.25">
      <c r="A18" s="973">
        <v>10</v>
      </c>
      <c r="B18" s="440" t="s">
        <v>167</v>
      </c>
      <c r="C18" s="1834">
        <f t="shared" si="0"/>
        <v>31343</v>
      </c>
      <c r="D18" s="1095"/>
      <c r="E18" s="1095">
        <f>'Biểu 37'!C17</f>
        <v>31343</v>
      </c>
      <c r="F18" s="1834"/>
      <c r="G18" s="1834"/>
      <c r="H18" s="1834"/>
      <c r="I18" s="1834"/>
      <c r="J18" s="1834"/>
      <c r="K18" s="1835">
        <f t="shared" si="1"/>
        <v>0</v>
      </c>
      <c r="L18" s="1834"/>
      <c r="M18" s="1834"/>
      <c r="N18" s="1834"/>
      <c r="O18" s="1820"/>
    </row>
    <row r="19" spans="1:15" x14ac:dyDescent="0.25">
      <c r="A19" s="973">
        <v>11</v>
      </c>
      <c r="B19" s="440" t="s">
        <v>168</v>
      </c>
      <c r="C19" s="1834">
        <f t="shared" si="0"/>
        <v>20066</v>
      </c>
      <c r="D19" s="1095"/>
      <c r="E19" s="1095">
        <f>'Biểu 37'!C18</f>
        <v>20066</v>
      </c>
      <c r="F19" s="1834"/>
      <c r="G19" s="1834"/>
      <c r="H19" s="1834"/>
      <c r="I19" s="1834"/>
      <c r="J19" s="1834"/>
      <c r="K19" s="1835">
        <f t="shared" si="1"/>
        <v>0</v>
      </c>
      <c r="L19" s="1834"/>
      <c r="M19" s="1834"/>
      <c r="N19" s="1834"/>
      <c r="O19" s="1820"/>
    </row>
    <row r="20" spans="1:15" x14ac:dyDescent="0.25">
      <c r="A20" s="973">
        <v>12</v>
      </c>
      <c r="B20" s="440" t="s">
        <v>169</v>
      </c>
      <c r="C20" s="1834">
        <f t="shared" si="0"/>
        <v>19486</v>
      </c>
      <c r="D20" s="1095">
        <f>'Biểu 36'!C15</f>
        <v>4634</v>
      </c>
      <c r="E20" s="1095">
        <f>'Biểu 37'!C19</f>
        <v>14852</v>
      </c>
      <c r="F20" s="1834"/>
      <c r="G20" s="1834"/>
      <c r="H20" s="1834"/>
      <c r="I20" s="1834"/>
      <c r="J20" s="1834"/>
      <c r="K20" s="1835">
        <f t="shared" si="1"/>
        <v>0</v>
      </c>
      <c r="L20" s="1834"/>
      <c r="M20" s="1834"/>
      <c r="N20" s="1834"/>
      <c r="O20" s="1820"/>
    </row>
    <row r="21" spans="1:15" x14ac:dyDescent="0.25">
      <c r="A21" s="973">
        <v>13</v>
      </c>
      <c r="B21" s="440" t="s">
        <v>170</v>
      </c>
      <c r="C21" s="1834">
        <f t="shared" si="0"/>
        <v>81859</v>
      </c>
      <c r="D21" s="1095">
        <f>'Biểu 36'!C16</f>
        <v>4022</v>
      </c>
      <c r="E21" s="1095">
        <f>'Biểu 37'!C20</f>
        <v>77837</v>
      </c>
      <c r="F21" s="1834"/>
      <c r="G21" s="1834"/>
      <c r="H21" s="1834"/>
      <c r="I21" s="1834"/>
      <c r="J21" s="1834"/>
      <c r="K21" s="1835">
        <f t="shared" si="1"/>
        <v>0</v>
      </c>
      <c r="L21" s="1834"/>
      <c r="M21" s="1834"/>
      <c r="N21" s="1834"/>
      <c r="O21" s="1820"/>
    </row>
    <row r="22" spans="1:15" x14ac:dyDescent="0.25">
      <c r="A22" s="973">
        <v>14</v>
      </c>
      <c r="B22" s="440" t="s">
        <v>171</v>
      </c>
      <c r="C22" s="1834">
        <f t="shared" si="0"/>
        <v>35260</v>
      </c>
      <c r="D22" s="1095"/>
      <c r="E22" s="1095">
        <f>'Biểu 37'!C21</f>
        <v>35260</v>
      </c>
      <c r="F22" s="1834"/>
      <c r="G22" s="1834"/>
      <c r="H22" s="1834"/>
      <c r="I22" s="1834"/>
      <c r="J22" s="1834"/>
      <c r="K22" s="1835">
        <f t="shared" si="1"/>
        <v>0</v>
      </c>
      <c r="L22" s="1834"/>
      <c r="M22" s="1834"/>
      <c r="N22" s="1834"/>
      <c r="O22" s="1820"/>
    </row>
    <row r="23" spans="1:15" x14ac:dyDescent="0.25">
      <c r="A23" s="973">
        <v>15</v>
      </c>
      <c r="B23" s="440" t="s">
        <v>172</v>
      </c>
      <c r="C23" s="1834">
        <f t="shared" si="0"/>
        <v>212278</v>
      </c>
      <c r="D23" s="1095">
        <f>'Biểu 36'!C17</f>
        <v>1260</v>
      </c>
      <c r="E23" s="1095">
        <f>'Biểu 37'!C22</f>
        <v>211018</v>
      </c>
      <c r="F23" s="1834"/>
      <c r="G23" s="1834"/>
      <c r="H23" s="1834"/>
      <c r="I23" s="1834"/>
      <c r="J23" s="1834"/>
      <c r="K23" s="1835">
        <f t="shared" si="1"/>
        <v>0</v>
      </c>
      <c r="L23" s="1834"/>
      <c r="M23" s="1834"/>
      <c r="N23" s="1834"/>
      <c r="O23" s="1820"/>
    </row>
    <row r="24" spans="1:15" x14ac:dyDescent="0.25">
      <c r="A24" s="973">
        <v>16</v>
      </c>
      <c r="B24" s="440" t="s">
        <v>173</v>
      </c>
      <c r="C24" s="1834">
        <f t="shared" si="0"/>
        <v>201559</v>
      </c>
      <c r="D24" s="1095">
        <f>'Biểu 36'!C18</f>
        <v>2783</v>
      </c>
      <c r="E24" s="1095">
        <f>'Biểu 37'!C23</f>
        <v>198776</v>
      </c>
      <c r="F24" s="1834"/>
      <c r="G24" s="1834"/>
      <c r="H24" s="1834"/>
      <c r="I24" s="1834"/>
      <c r="J24" s="1834"/>
      <c r="K24" s="1835">
        <f t="shared" si="1"/>
        <v>0</v>
      </c>
      <c r="L24" s="1834"/>
      <c r="M24" s="1834"/>
      <c r="N24" s="1834"/>
      <c r="O24" s="1820"/>
    </row>
    <row r="25" spans="1:15" x14ac:dyDescent="0.25">
      <c r="A25" s="973">
        <v>17</v>
      </c>
      <c r="B25" s="440" t="s">
        <v>174</v>
      </c>
      <c r="C25" s="1834">
        <f t="shared" si="0"/>
        <v>12140</v>
      </c>
      <c r="D25" s="1095">
        <f>'Biểu 36'!C13</f>
        <v>500</v>
      </c>
      <c r="E25" s="1095">
        <f>'Biểu 37'!C24</f>
        <v>11640</v>
      </c>
      <c r="F25" s="1834"/>
      <c r="G25" s="1834"/>
      <c r="H25" s="1834"/>
      <c r="I25" s="1834"/>
      <c r="J25" s="1834"/>
      <c r="K25" s="1835">
        <f t="shared" si="1"/>
        <v>0</v>
      </c>
      <c r="L25" s="1834"/>
      <c r="M25" s="1834"/>
      <c r="N25" s="1834"/>
      <c r="O25" s="1820"/>
    </row>
    <row r="26" spans="1:15" x14ac:dyDescent="0.25">
      <c r="A26" s="973">
        <v>18</v>
      </c>
      <c r="B26" s="440" t="s">
        <v>175</v>
      </c>
      <c r="C26" s="1834">
        <f t="shared" si="0"/>
        <v>5043.79</v>
      </c>
      <c r="D26" s="1095"/>
      <c r="E26" s="1095">
        <f>'Biểu 37'!C25</f>
        <v>5043.79</v>
      </c>
      <c r="F26" s="1834"/>
      <c r="G26" s="1834"/>
      <c r="H26" s="1834"/>
      <c r="I26" s="1834"/>
      <c r="J26" s="1834"/>
      <c r="K26" s="1835">
        <f t="shared" si="1"/>
        <v>0</v>
      </c>
      <c r="L26" s="1834"/>
      <c r="M26" s="1834"/>
      <c r="N26" s="1834"/>
      <c r="O26" s="1820"/>
    </row>
    <row r="27" spans="1:15" x14ac:dyDescent="0.25">
      <c r="A27" s="973">
        <v>19</v>
      </c>
      <c r="B27" s="440" t="s">
        <v>177</v>
      </c>
      <c r="C27" s="1834">
        <f t="shared" si="0"/>
        <v>21860</v>
      </c>
      <c r="D27" s="1095">
        <f>'Biểu 36'!C21</f>
        <v>196</v>
      </c>
      <c r="E27" s="1095">
        <f>'Biểu 37'!C26</f>
        <v>21664</v>
      </c>
      <c r="F27" s="1834"/>
      <c r="G27" s="1834"/>
      <c r="H27" s="1834"/>
      <c r="I27" s="1834"/>
      <c r="J27" s="1834"/>
      <c r="K27" s="1835">
        <f t="shared" si="1"/>
        <v>0</v>
      </c>
      <c r="L27" s="1834"/>
      <c r="M27" s="1834"/>
      <c r="N27" s="1834"/>
      <c r="O27" s="1820"/>
    </row>
    <row r="28" spans="1:15" x14ac:dyDescent="0.25">
      <c r="A28" s="973">
        <v>20</v>
      </c>
      <c r="B28" s="440" t="s">
        <v>178</v>
      </c>
      <c r="C28" s="1834">
        <f t="shared" si="0"/>
        <v>13889</v>
      </c>
      <c r="D28" s="1095">
        <f>'Biểu 36'!C19</f>
        <v>12</v>
      </c>
      <c r="E28" s="1095">
        <f>'Biểu 37'!C27</f>
        <v>13877</v>
      </c>
      <c r="F28" s="1834"/>
      <c r="G28" s="1834"/>
      <c r="H28" s="1834"/>
      <c r="I28" s="1834"/>
      <c r="J28" s="1834"/>
      <c r="K28" s="1835">
        <f t="shared" si="1"/>
        <v>0</v>
      </c>
      <c r="L28" s="1834"/>
      <c r="M28" s="1834"/>
      <c r="N28" s="1834"/>
      <c r="O28" s="1820"/>
    </row>
    <row r="29" spans="1:15" x14ac:dyDescent="0.25">
      <c r="A29" s="973">
        <v>21</v>
      </c>
      <c r="B29" s="440" t="s">
        <v>179</v>
      </c>
      <c r="C29" s="1834">
        <f t="shared" si="0"/>
        <v>10690</v>
      </c>
      <c r="D29" s="1095"/>
      <c r="E29" s="1095">
        <f>'Biểu 37'!C28</f>
        <v>10690</v>
      </c>
      <c r="F29" s="1834"/>
      <c r="G29" s="1834"/>
      <c r="H29" s="1834"/>
      <c r="I29" s="1834"/>
      <c r="J29" s="1834"/>
      <c r="K29" s="1835">
        <f t="shared" si="1"/>
        <v>0</v>
      </c>
      <c r="L29" s="1834"/>
      <c r="M29" s="1834"/>
      <c r="N29" s="1834"/>
      <c r="O29" s="1820"/>
    </row>
    <row r="30" spans="1:15" x14ac:dyDescent="0.25">
      <c r="A30" s="973">
        <v>22</v>
      </c>
      <c r="B30" s="440" t="s">
        <v>180</v>
      </c>
      <c r="C30" s="1834">
        <f t="shared" si="0"/>
        <v>5011</v>
      </c>
      <c r="D30" s="1095"/>
      <c r="E30" s="1095">
        <f>'Biểu 37'!C29</f>
        <v>5011</v>
      </c>
      <c r="F30" s="1834"/>
      <c r="G30" s="1834"/>
      <c r="H30" s="1834"/>
      <c r="I30" s="1834"/>
      <c r="J30" s="1834"/>
      <c r="K30" s="1835">
        <f t="shared" si="1"/>
        <v>0</v>
      </c>
      <c r="L30" s="1834"/>
      <c r="M30" s="1834"/>
      <c r="N30" s="1834"/>
      <c r="O30" s="1820"/>
    </row>
    <row r="31" spans="1:15" x14ac:dyDescent="0.25">
      <c r="A31" s="973">
        <v>23</v>
      </c>
      <c r="B31" s="974" t="s">
        <v>181</v>
      </c>
      <c r="C31" s="1834">
        <f t="shared" si="0"/>
        <v>2933</v>
      </c>
      <c r="D31" s="1095"/>
      <c r="E31" s="1095">
        <f>'Biểu 37'!C30</f>
        <v>2933</v>
      </c>
      <c r="F31" s="1834"/>
      <c r="G31" s="1834"/>
      <c r="H31" s="1834"/>
      <c r="I31" s="1834"/>
      <c r="J31" s="1834"/>
      <c r="K31" s="1835">
        <f t="shared" si="1"/>
        <v>0</v>
      </c>
      <c r="L31" s="1834"/>
      <c r="M31" s="1834"/>
      <c r="N31" s="1834"/>
      <c r="O31" s="1820"/>
    </row>
    <row r="32" spans="1:15" x14ac:dyDescent="0.25">
      <c r="A32" s="973">
        <v>24</v>
      </c>
      <c r="B32" s="974" t="s">
        <v>182</v>
      </c>
      <c r="C32" s="1834">
        <f t="shared" si="0"/>
        <v>1411</v>
      </c>
      <c r="D32" s="1095"/>
      <c r="E32" s="1095">
        <f>'Biểu 37'!C31</f>
        <v>1411</v>
      </c>
      <c r="F32" s="1834"/>
      <c r="G32" s="1834"/>
      <c r="H32" s="1834"/>
      <c r="I32" s="1834"/>
      <c r="J32" s="1834"/>
      <c r="K32" s="1835">
        <f t="shared" si="1"/>
        <v>0</v>
      </c>
      <c r="L32" s="1834"/>
      <c r="M32" s="1834"/>
      <c r="N32" s="1834"/>
      <c r="O32" s="1820"/>
    </row>
    <row r="33" spans="1:15" x14ac:dyDescent="0.25">
      <c r="A33" s="973">
        <v>25</v>
      </c>
      <c r="B33" s="974" t="s">
        <v>1042</v>
      </c>
      <c r="C33" s="1834">
        <f t="shared" si="0"/>
        <v>20183</v>
      </c>
      <c r="D33" s="1095">
        <f>'Biểu 36'!D20</f>
        <v>2950</v>
      </c>
      <c r="E33" s="1095">
        <f>'Biểu 37'!C32</f>
        <v>17233</v>
      </c>
      <c r="F33" s="1834"/>
      <c r="G33" s="1834"/>
      <c r="H33" s="1834"/>
      <c r="I33" s="1834"/>
      <c r="J33" s="1834"/>
      <c r="K33" s="1835">
        <f t="shared" si="1"/>
        <v>0</v>
      </c>
      <c r="L33" s="1834"/>
      <c r="M33" s="1834"/>
      <c r="N33" s="1834"/>
      <c r="O33" s="1820"/>
    </row>
    <row r="34" spans="1:15" ht="26.25" x14ac:dyDescent="0.25">
      <c r="A34" s="973">
        <v>26</v>
      </c>
      <c r="B34" s="974" t="s">
        <v>926</v>
      </c>
      <c r="C34" s="1834">
        <f t="shared" si="0"/>
        <v>3029</v>
      </c>
      <c r="D34" s="1095"/>
      <c r="E34" s="1095">
        <f>'Biểu 37'!C33</f>
        <v>3029</v>
      </c>
      <c r="F34" s="1834"/>
      <c r="G34" s="1834"/>
      <c r="H34" s="1834"/>
      <c r="I34" s="1834"/>
      <c r="J34" s="1834"/>
      <c r="K34" s="1835">
        <f t="shared" si="1"/>
        <v>0</v>
      </c>
      <c r="L34" s="1834"/>
      <c r="M34" s="1834"/>
      <c r="N34" s="1834"/>
      <c r="O34" s="1820"/>
    </row>
    <row r="35" spans="1:15" s="221" customFormat="1" x14ac:dyDescent="0.25">
      <c r="A35" s="973">
        <v>27</v>
      </c>
      <c r="B35" s="25" t="s">
        <v>1041</v>
      </c>
      <c r="C35" s="1773">
        <f t="shared" si="0"/>
        <v>1040</v>
      </c>
      <c r="D35" s="1773">
        <f>'Biểu 36'!C23</f>
        <v>1040</v>
      </c>
      <c r="E35" s="1773"/>
      <c r="F35" s="1773"/>
      <c r="G35" s="1773"/>
      <c r="H35" s="1773"/>
      <c r="I35" s="1773"/>
      <c r="J35" s="1773"/>
      <c r="K35" s="1836"/>
      <c r="L35" s="1773"/>
      <c r="M35" s="1773"/>
      <c r="N35" s="1773"/>
      <c r="O35" s="243"/>
    </row>
    <row r="36" spans="1:15" s="221" customFormat="1" x14ac:dyDescent="0.25">
      <c r="A36" s="973">
        <v>28</v>
      </c>
      <c r="B36" s="25" t="s">
        <v>1043</v>
      </c>
      <c r="C36" s="1773">
        <f t="shared" si="0"/>
        <v>45072</v>
      </c>
      <c r="D36" s="1773">
        <f>'Biểu 36'!C22</f>
        <v>45072</v>
      </c>
      <c r="E36" s="1773"/>
      <c r="F36" s="1773"/>
      <c r="G36" s="1773"/>
      <c r="H36" s="1773"/>
      <c r="I36" s="1773"/>
      <c r="J36" s="1773"/>
      <c r="K36" s="1836"/>
      <c r="L36" s="1773"/>
      <c r="M36" s="1773"/>
      <c r="N36" s="1773"/>
      <c r="O36" s="243"/>
    </row>
    <row r="37" spans="1:15" s="221" customFormat="1" ht="18" customHeight="1" x14ac:dyDescent="0.25">
      <c r="A37" s="973">
        <v>29</v>
      </c>
      <c r="B37" s="25" t="s">
        <v>1050</v>
      </c>
      <c r="C37" s="1773">
        <f t="shared" si="0"/>
        <v>3656</v>
      </c>
      <c r="D37" s="1773">
        <f>'Biểu 36'!C35</f>
        <v>3656</v>
      </c>
      <c r="E37" s="1773"/>
      <c r="F37" s="1773"/>
      <c r="G37" s="1773"/>
      <c r="H37" s="1773"/>
      <c r="I37" s="1773"/>
      <c r="J37" s="1773"/>
      <c r="K37" s="1836"/>
      <c r="L37" s="1773"/>
      <c r="M37" s="1773"/>
      <c r="N37" s="1773"/>
      <c r="O37" s="243"/>
    </row>
    <row r="38" spans="1:15" s="221" customFormat="1" ht="30.75" customHeight="1" x14ac:dyDescent="0.25">
      <c r="A38" s="973">
        <v>30</v>
      </c>
      <c r="B38" s="109" t="s">
        <v>989</v>
      </c>
      <c r="C38" s="1773">
        <f t="shared" si="0"/>
        <v>7968</v>
      </c>
      <c r="D38" s="1773">
        <f>'Biểu 36'!C34</f>
        <v>7968</v>
      </c>
      <c r="E38" s="1773"/>
      <c r="F38" s="1773"/>
      <c r="G38" s="1773"/>
      <c r="H38" s="1773"/>
      <c r="I38" s="1773"/>
      <c r="J38" s="1773"/>
      <c r="K38" s="1836"/>
      <c r="L38" s="1773"/>
      <c r="M38" s="1773"/>
      <c r="N38" s="1773"/>
      <c r="O38" s="243"/>
    </row>
    <row r="39" spans="1:15" s="221" customFormat="1" ht="18" customHeight="1" x14ac:dyDescent="0.25">
      <c r="A39" s="973">
        <v>31</v>
      </c>
      <c r="B39" s="1837" t="s">
        <v>1398</v>
      </c>
      <c r="C39" s="1773">
        <f t="shared" si="0"/>
        <v>36475</v>
      </c>
      <c r="D39" s="1773">
        <f>'Biểu 36'!C12</f>
        <v>36475</v>
      </c>
      <c r="E39" s="1773"/>
      <c r="F39" s="1773"/>
      <c r="G39" s="1773"/>
      <c r="H39" s="1773"/>
      <c r="I39" s="1773"/>
      <c r="J39" s="1773"/>
      <c r="K39" s="1836"/>
      <c r="L39" s="1773"/>
      <c r="M39" s="1773"/>
      <c r="N39" s="1773"/>
      <c r="O39" s="243"/>
    </row>
    <row r="40" spans="1:15" s="221" customFormat="1" ht="29.25" customHeight="1" x14ac:dyDescent="0.25">
      <c r="A40" s="973">
        <v>32</v>
      </c>
      <c r="B40" s="25" t="s">
        <v>1044</v>
      </c>
      <c r="C40" s="1773">
        <f t="shared" si="0"/>
        <v>469</v>
      </c>
      <c r="D40" s="1773">
        <f>'Biểu 36'!C33</f>
        <v>469</v>
      </c>
      <c r="E40" s="1773"/>
      <c r="F40" s="1773"/>
      <c r="G40" s="1773"/>
      <c r="H40" s="1773"/>
      <c r="I40" s="1773"/>
      <c r="J40" s="1773"/>
      <c r="K40" s="1836"/>
      <c r="L40" s="1773"/>
      <c r="M40" s="1773"/>
      <c r="N40" s="1773"/>
      <c r="O40" s="243"/>
    </row>
    <row r="41" spans="1:15" s="221" customFormat="1" x14ac:dyDescent="0.25">
      <c r="A41" s="973">
        <v>33</v>
      </c>
      <c r="B41" s="25" t="s">
        <v>434</v>
      </c>
      <c r="C41" s="1773">
        <f t="shared" si="0"/>
        <v>6745</v>
      </c>
      <c r="D41" s="1773">
        <f>'Biểu 36'!C38</f>
        <v>6745</v>
      </c>
      <c r="E41" s="1773"/>
      <c r="F41" s="1773"/>
      <c r="G41" s="1773"/>
      <c r="H41" s="1773"/>
      <c r="I41" s="1773"/>
      <c r="J41" s="1773"/>
      <c r="K41" s="1836"/>
      <c r="L41" s="1773"/>
      <c r="M41" s="1773"/>
      <c r="N41" s="1773"/>
      <c r="O41" s="243"/>
    </row>
    <row r="42" spans="1:15" s="221" customFormat="1" x14ac:dyDescent="0.25">
      <c r="A42" s="973">
        <v>35</v>
      </c>
      <c r="B42" s="109" t="s">
        <v>1603</v>
      </c>
      <c r="C42" s="1773">
        <f t="shared" si="0"/>
        <v>53</v>
      </c>
      <c r="D42" s="1773">
        <f>'Biểu 36'!C39</f>
        <v>53</v>
      </c>
      <c r="E42" s="1773"/>
      <c r="F42" s="1773"/>
      <c r="G42" s="1773"/>
      <c r="H42" s="1773"/>
      <c r="I42" s="1773"/>
      <c r="J42" s="1773"/>
      <c r="K42" s="1836"/>
      <c r="L42" s="1773"/>
      <c r="M42" s="1773"/>
      <c r="N42" s="1773"/>
      <c r="O42" s="243"/>
    </row>
    <row r="43" spans="1:15" s="221" customFormat="1" x14ac:dyDescent="0.25">
      <c r="A43" s="973">
        <v>36</v>
      </c>
      <c r="B43" s="1837" t="s">
        <v>1598</v>
      </c>
      <c r="C43" s="1773">
        <f t="shared" si="0"/>
        <v>26</v>
      </c>
      <c r="D43" s="1773">
        <f>'Biểu 36'!C40</f>
        <v>26</v>
      </c>
      <c r="E43" s="1773"/>
      <c r="F43" s="1773"/>
      <c r="G43" s="1773"/>
      <c r="H43" s="1773"/>
      <c r="I43" s="1773"/>
      <c r="J43" s="1773"/>
      <c r="K43" s="1836"/>
      <c r="L43" s="1773"/>
      <c r="M43" s="1773"/>
      <c r="N43" s="1773"/>
      <c r="O43" s="243"/>
    </row>
    <row r="44" spans="1:15" s="221" customFormat="1" ht="43.5" customHeight="1" x14ac:dyDescent="0.25">
      <c r="A44" s="973">
        <v>37</v>
      </c>
      <c r="B44" s="109" t="str">
        <f>'Biểu 36'!B41</f>
        <v>Dự phòng cho các dự án khởi công mới chưa đủ thủ tục đầu tư thuộc nguồn NSĐP đối ứng ODA</v>
      </c>
      <c r="C44" s="1773">
        <f>D44</f>
        <v>7019</v>
      </c>
      <c r="D44" s="1773">
        <f>'Biểu 36'!C41</f>
        <v>7019</v>
      </c>
      <c r="E44" s="1773"/>
      <c r="F44" s="1773"/>
      <c r="G44" s="1773"/>
      <c r="H44" s="1773"/>
      <c r="I44" s="1773"/>
      <c r="J44" s="1773"/>
      <c r="K44" s="1836"/>
      <c r="L44" s="1773"/>
      <c r="M44" s="1773"/>
      <c r="N44" s="1773"/>
      <c r="O44" s="243"/>
    </row>
    <row r="45" spans="1:15" s="221" customFormat="1" ht="35.25" customHeight="1" x14ac:dyDescent="0.25">
      <c r="A45" s="973">
        <v>38</v>
      </c>
      <c r="B45" s="109" t="s">
        <v>1599</v>
      </c>
      <c r="C45" s="1773">
        <f t="shared" si="0"/>
        <v>8000</v>
      </c>
      <c r="D45" s="1773">
        <f>'Biểu 36'!C42</f>
        <v>8000</v>
      </c>
      <c r="E45" s="1773"/>
      <c r="F45" s="1773"/>
      <c r="G45" s="1773"/>
      <c r="H45" s="1773"/>
      <c r="I45" s="1773"/>
      <c r="J45" s="1773"/>
      <c r="K45" s="1836"/>
      <c r="L45" s="1773"/>
      <c r="M45" s="1773"/>
      <c r="N45" s="1773"/>
      <c r="O45" s="243"/>
    </row>
    <row r="46" spans="1:15" x14ac:dyDescent="0.25">
      <c r="A46" s="19" t="s">
        <v>3</v>
      </c>
      <c r="B46" s="20" t="s">
        <v>184</v>
      </c>
      <c r="C46" s="1833">
        <f>SUM(C47:C48)</f>
        <v>64140</v>
      </c>
      <c r="D46" s="1832">
        <f t="shared" ref="D46:N46" si="2">SUM(D47:D48)</f>
        <v>1246</v>
      </c>
      <c r="E46" s="1832">
        <f t="shared" si="2"/>
        <v>62894</v>
      </c>
      <c r="F46" s="1833">
        <f t="shared" si="2"/>
        <v>0</v>
      </c>
      <c r="G46" s="1833">
        <f t="shared" si="2"/>
        <v>0</v>
      </c>
      <c r="H46" s="1833">
        <f t="shared" si="2"/>
        <v>0</v>
      </c>
      <c r="I46" s="1833"/>
      <c r="J46" s="1833">
        <f t="shared" si="2"/>
        <v>0</v>
      </c>
      <c r="K46" s="1833">
        <f t="shared" si="2"/>
        <v>0</v>
      </c>
      <c r="L46" s="1833">
        <f t="shared" si="2"/>
        <v>0</v>
      </c>
      <c r="M46" s="1833">
        <f t="shared" si="2"/>
        <v>0</v>
      </c>
      <c r="N46" s="1833">
        <f t="shared" si="2"/>
        <v>0</v>
      </c>
      <c r="O46" s="1820"/>
    </row>
    <row r="47" spans="1:15" x14ac:dyDescent="0.25">
      <c r="A47" s="17">
        <v>1</v>
      </c>
      <c r="B47" s="18" t="s">
        <v>185</v>
      </c>
      <c r="C47" s="1834">
        <f t="shared" si="0"/>
        <v>58843</v>
      </c>
      <c r="D47" s="1095">
        <f>'Biểu 36'!C46</f>
        <v>1246</v>
      </c>
      <c r="E47" s="1095">
        <f>'Biểu 37'!C35</f>
        <v>57597</v>
      </c>
      <c r="F47" s="1834"/>
      <c r="G47" s="1834"/>
      <c r="H47" s="1834"/>
      <c r="I47" s="1834"/>
      <c r="J47" s="1834"/>
      <c r="K47" s="1834"/>
      <c r="L47" s="1834"/>
      <c r="M47" s="1834"/>
      <c r="N47" s="1834"/>
      <c r="O47" s="1820"/>
    </row>
    <row r="48" spans="1:15" x14ac:dyDescent="0.25">
      <c r="A48" s="17">
        <v>2</v>
      </c>
      <c r="B48" s="18" t="s">
        <v>186</v>
      </c>
      <c r="C48" s="1834">
        <f t="shared" si="0"/>
        <v>5297</v>
      </c>
      <c r="D48" s="1095"/>
      <c r="E48" s="1095">
        <f>'Biểu 37'!C36</f>
        <v>5297</v>
      </c>
      <c r="F48" s="1834"/>
      <c r="G48" s="1834"/>
      <c r="H48" s="1834"/>
      <c r="I48" s="1834"/>
      <c r="J48" s="1834"/>
      <c r="K48" s="1834"/>
      <c r="L48" s="1834"/>
      <c r="M48" s="1834"/>
      <c r="N48" s="1834"/>
      <c r="O48" s="1820"/>
    </row>
    <row r="49" spans="1:15" x14ac:dyDescent="0.25">
      <c r="A49" s="19" t="s">
        <v>4</v>
      </c>
      <c r="B49" s="21" t="s">
        <v>187</v>
      </c>
      <c r="C49" s="1832">
        <f t="shared" ref="C49:D49" si="3">SUM(C50:C54)</f>
        <v>20103</v>
      </c>
      <c r="D49" s="1832">
        <f t="shared" si="3"/>
        <v>0</v>
      </c>
      <c r="E49" s="1832">
        <f>SUM(E50:E54)</f>
        <v>20103</v>
      </c>
      <c r="F49" s="1833">
        <f t="shared" ref="F49:N49" si="4">SUM(F50:F54)</f>
        <v>0</v>
      </c>
      <c r="G49" s="1833">
        <f t="shared" si="4"/>
        <v>0</v>
      </c>
      <c r="H49" s="1833">
        <f t="shared" si="4"/>
        <v>0</v>
      </c>
      <c r="I49" s="1833"/>
      <c r="J49" s="1833">
        <f t="shared" si="4"/>
        <v>0</v>
      </c>
      <c r="K49" s="1833">
        <f t="shared" si="4"/>
        <v>0</v>
      </c>
      <c r="L49" s="1833">
        <f t="shared" si="4"/>
        <v>0</v>
      </c>
      <c r="M49" s="1833">
        <f t="shared" si="4"/>
        <v>0</v>
      </c>
      <c r="N49" s="1833">
        <f t="shared" si="4"/>
        <v>0</v>
      </c>
      <c r="O49" s="1820"/>
    </row>
    <row r="50" spans="1:15" x14ac:dyDescent="0.25">
      <c r="A50" s="17">
        <v>1</v>
      </c>
      <c r="B50" s="440" t="s">
        <v>188</v>
      </c>
      <c r="C50" s="1834">
        <f t="shared" si="0"/>
        <v>4028</v>
      </c>
      <c r="D50" s="1095"/>
      <c r="E50" s="1095">
        <f>'Biểu 37'!C38</f>
        <v>4028</v>
      </c>
      <c r="F50" s="1834"/>
      <c r="G50" s="1834"/>
      <c r="H50" s="1834"/>
      <c r="I50" s="1834"/>
      <c r="J50" s="1834"/>
      <c r="K50" s="1834"/>
      <c r="L50" s="1834"/>
      <c r="M50" s="1834"/>
      <c r="N50" s="1834"/>
      <c r="O50" s="1820"/>
    </row>
    <row r="51" spans="1:15" x14ac:dyDescent="0.25">
      <c r="A51" s="17">
        <v>2</v>
      </c>
      <c r="B51" s="440" t="s">
        <v>189</v>
      </c>
      <c r="C51" s="1834">
        <f t="shared" si="0"/>
        <v>4217</v>
      </c>
      <c r="D51" s="1095"/>
      <c r="E51" s="1095">
        <f>'Biểu 37'!C39</f>
        <v>4217</v>
      </c>
      <c r="F51" s="1834"/>
      <c r="G51" s="1834"/>
      <c r="H51" s="1834"/>
      <c r="I51" s="1834"/>
      <c r="J51" s="1834"/>
      <c r="K51" s="1834"/>
      <c r="L51" s="1834"/>
      <c r="M51" s="1834"/>
      <c r="N51" s="1834"/>
      <c r="O51" s="1820"/>
    </row>
    <row r="52" spans="1:15" x14ac:dyDescent="0.25">
      <c r="A52" s="17">
        <v>3</v>
      </c>
      <c r="B52" s="440" t="s">
        <v>190</v>
      </c>
      <c r="C52" s="1834">
        <f t="shared" si="0"/>
        <v>5312</v>
      </c>
      <c r="D52" s="1095"/>
      <c r="E52" s="1095">
        <f>'Biểu 37'!C40</f>
        <v>5312</v>
      </c>
      <c r="F52" s="1834"/>
      <c r="G52" s="1834"/>
      <c r="H52" s="1834"/>
      <c r="I52" s="1834"/>
      <c r="J52" s="1834"/>
      <c r="K52" s="1834"/>
      <c r="L52" s="1834"/>
      <c r="M52" s="1834"/>
      <c r="N52" s="1834"/>
      <c r="O52" s="1820"/>
    </row>
    <row r="53" spans="1:15" x14ac:dyDescent="0.25">
      <c r="A53" s="17">
        <v>4</v>
      </c>
      <c r="B53" s="440" t="s">
        <v>191</v>
      </c>
      <c r="C53" s="1834">
        <f t="shared" si="0"/>
        <v>4591</v>
      </c>
      <c r="D53" s="1095"/>
      <c r="E53" s="1095">
        <f>'Biểu 37'!C41</f>
        <v>4591</v>
      </c>
      <c r="F53" s="1834"/>
      <c r="G53" s="1834"/>
      <c r="H53" s="1834"/>
      <c r="I53" s="1834"/>
      <c r="J53" s="1834"/>
      <c r="K53" s="1834"/>
      <c r="L53" s="1834"/>
      <c r="M53" s="1834"/>
      <c r="N53" s="1834"/>
      <c r="O53" s="1820"/>
    </row>
    <row r="54" spans="1:15" x14ac:dyDescent="0.25">
      <c r="A54" s="17">
        <v>5</v>
      </c>
      <c r="B54" s="440" t="s">
        <v>192</v>
      </c>
      <c r="C54" s="1834">
        <f t="shared" si="0"/>
        <v>1955</v>
      </c>
      <c r="D54" s="1095"/>
      <c r="E54" s="1095">
        <f>'Biểu 37'!C42</f>
        <v>1955</v>
      </c>
      <c r="F54" s="1834"/>
      <c r="G54" s="1834"/>
      <c r="H54" s="1834"/>
      <c r="I54" s="1834"/>
      <c r="J54" s="1834"/>
      <c r="K54" s="1834"/>
      <c r="L54" s="1834"/>
      <c r="M54" s="1834"/>
      <c r="N54" s="1834"/>
      <c r="O54" s="1820"/>
    </row>
    <row r="55" spans="1:15" ht="27" customHeight="1" x14ac:dyDescent="0.25">
      <c r="A55" s="19" t="s">
        <v>193</v>
      </c>
      <c r="B55" s="22" t="s">
        <v>194</v>
      </c>
      <c r="C55" s="1832">
        <f>SUM(C56:C67)</f>
        <v>11388</v>
      </c>
      <c r="D55" s="1832">
        <f>SUM(D56:D67)</f>
        <v>0</v>
      </c>
      <c r="E55" s="1832">
        <f>SUM(E56:E67)</f>
        <v>11388</v>
      </c>
      <c r="F55" s="1833">
        <f t="shared" ref="F55:N55" si="5">SUM(F57:F67)</f>
        <v>0</v>
      </c>
      <c r="G55" s="1833">
        <f t="shared" si="5"/>
        <v>0</v>
      </c>
      <c r="H55" s="1833">
        <f t="shared" si="5"/>
        <v>0</v>
      </c>
      <c r="I55" s="1833"/>
      <c r="J55" s="1833">
        <f t="shared" si="5"/>
        <v>0</v>
      </c>
      <c r="K55" s="1833">
        <f t="shared" si="5"/>
        <v>0</v>
      </c>
      <c r="L55" s="1833">
        <f t="shared" si="5"/>
        <v>0</v>
      </c>
      <c r="M55" s="1833">
        <f t="shared" si="5"/>
        <v>0</v>
      </c>
      <c r="N55" s="1833">
        <f t="shared" si="5"/>
        <v>0</v>
      </c>
      <c r="O55" s="1820"/>
    </row>
    <row r="56" spans="1:15" x14ac:dyDescent="0.25">
      <c r="A56" s="23">
        <v>1</v>
      </c>
      <c r="B56" s="964" t="s">
        <v>195</v>
      </c>
      <c r="C56" s="1834">
        <f t="shared" si="0"/>
        <v>1022</v>
      </c>
      <c r="D56" s="1095"/>
      <c r="E56" s="1095">
        <f>'Biểu 37'!C44</f>
        <v>1022</v>
      </c>
      <c r="F56" s="1834"/>
      <c r="G56" s="1834"/>
      <c r="H56" s="1834"/>
      <c r="I56" s="1834"/>
      <c r="J56" s="1834"/>
      <c r="K56" s="1834"/>
      <c r="L56" s="1834"/>
      <c r="M56" s="1834"/>
      <c r="N56" s="1834"/>
      <c r="O56" s="1820"/>
    </row>
    <row r="57" spans="1:15" x14ac:dyDescent="0.25">
      <c r="A57" s="17">
        <v>2</v>
      </c>
      <c r="B57" s="440" t="s">
        <v>196</v>
      </c>
      <c r="C57" s="1834">
        <f t="shared" si="0"/>
        <v>1501</v>
      </c>
      <c r="D57" s="1095"/>
      <c r="E57" s="1095">
        <f>'Biểu 37'!C45</f>
        <v>1501</v>
      </c>
      <c r="F57" s="1834"/>
      <c r="G57" s="1834"/>
      <c r="H57" s="1834"/>
      <c r="I57" s="1834"/>
      <c r="J57" s="1834"/>
      <c r="K57" s="1834"/>
      <c r="L57" s="1834"/>
      <c r="M57" s="1834"/>
      <c r="N57" s="1834"/>
      <c r="O57" s="1820"/>
    </row>
    <row r="58" spans="1:15" x14ac:dyDescent="0.25">
      <c r="A58" s="17">
        <v>3</v>
      </c>
      <c r="B58" s="440" t="s">
        <v>197</v>
      </c>
      <c r="C58" s="1834">
        <f t="shared" si="0"/>
        <v>2731</v>
      </c>
      <c r="D58" s="1095"/>
      <c r="E58" s="1095">
        <f>'Biểu 37'!C46</f>
        <v>2731</v>
      </c>
      <c r="F58" s="1834"/>
      <c r="G58" s="1834"/>
      <c r="H58" s="1834"/>
      <c r="I58" s="1834"/>
      <c r="J58" s="1834"/>
      <c r="K58" s="1834"/>
      <c r="L58" s="1834"/>
      <c r="M58" s="1834"/>
      <c r="N58" s="1834"/>
      <c r="O58" s="1820"/>
    </row>
    <row r="59" spans="1:15" x14ac:dyDescent="0.25">
      <c r="A59" s="17">
        <v>4</v>
      </c>
      <c r="B59" s="440" t="s">
        <v>198</v>
      </c>
      <c r="C59" s="1834">
        <f t="shared" si="0"/>
        <v>1935</v>
      </c>
      <c r="D59" s="1095"/>
      <c r="E59" s="1095">
        <f>'Biểu 37'!C47</f>
        <v>1935</v>
      </c>
      <c r="F59" s="1834"/>
      <c r="G59" s="1834"/>
      <c r="H59" s="1834"/>
      <c r="I59" s="1834"/>
      <c r="J59" s="1834"/>
      <c r="K59" s="1834"/>
      <c r="L59" s="1834"/>
      <c r="M59" s="1834"/>
      <c r="N59" s="1834"/>
      <c r="O59" s="1820"/>
    </row>
    <row r="60" spans="1:15" x14ac:dyDescent="0.25">
      <c r="A60" s="17">
        <v>5</v>
      </c>
      <c r="B60" s="440" t="s">
        <v>199</v>
      </c>
      <c r="C60" s="1834">
        <f t="shared" si="0"/>
        <v>860</v>
      </c>
      <c r="D60" s="1095"/>
      <c r="E60" s="1095">
        <f>'Biểu 37'!C48</f>
        <v>860</v>
      </c>
      <c r="F60" s="1834"/>
      <c r="G60" s="1834"/>
      <c r="H60" s="1834"/>
      <c r="I60" s="1834"/>
      <c r="J60" s="1834"/>
      <c r="K60" s="1834"/>
      <c r="L60" s="1834"/>
      <c r="M60" s="1834"/>
      <c r="N60" s="1834"/>
      <c r="O60" s="1820"/>
    </row>
    <row r="61" spans="1:15" x14ac:dyDescent="0.25">
      <c r="A61" s="17">
        <v>6</v>
      </c>
      <c r="B61" s="440" t="s">
        <v>200</v>
      </c>
      <c r="C61" s="1834">
        <f t="shared" si="0"/>
        <v>315</v>
      </c>
      <c r="D61" s="1095"/>
      <c r="E61" s="1095">
        <f>'Biểu 37'!C49</f>
        <v>315</v>
      </c>
      <c r="F61" s="1834"/>
      <c r="G61" s="1834"/>
      <c r="H61" s="1834"/>
      <c r="I61" s="1834"/>
      <c r="J61" s="1834"/>
      <c r="K61" s="1834"/>
      <c r="L61" s="1834"/>
      <c r="M61" s="1834"/>
      <c r="N61" s="1834"/>
      <c r="O61" s="1820"/>
    </row>
    <row r="62" spans="1:15" x14ac:dyDescent="0.25">
      <c r="A62" s="17">
        <v>7</v>
      </c>
      <c r="B62" s="440" t="s">
        <v>201</v>
      </c>
      <c r="C62" s="1834">
        <f t="shared" si="0"/>
        <v>460</v>
      </c>
      <c r="D62" s="1095"/>
      <c r="E62" s="1095">
        <f>'Biểu 37'!C50</f>
        <v>460</v>
      </c>
      <c r="F62" s="1834"/>
      <c r="G62" s="1834"/>
      <c r="H62" s="1834"/>
      <c r="I62" s="1834"/>
      <c r="J62" s="1834"/>
      <c r="K62" s="1834"/>
      <c r="L62" s="1834"/>
      <c r="M62" s="1834"/>
      <c r="N62" s="1834"/>
      <c r="O62" s="1820"/>
    </row>
    <row r="63" spans="1:15" x14ac:dyDescent="0.25">
      <c r="A63" s="17">
        <v>8</v>
      </c>
      <c r="B63" s="440" t="s">
        <v>202</v>
      </c>
      <c r="C63" s="1834">
        <f t="shared" si="0"/>
        <v>432</v>
      </c>
      <c r="D63" s="1095"/>
      <c r="E63" s="1095">
        <f>'Biểu 37'!C51</f>
        <v>432</v>
      </c>
      <c r="F63" s="1834"/>
      <c r="G63" s="1834"/>
      <c r="H63" s="1834"/>
      <c r="I63" s="1834"/>
      <c r="J63" s="1834"/>
      <c r="K63" s="1834"/>
      <c r="L63" s="1834"/>
      <c r="M63" s="1834"/>
      <c r="N63" s="1834"/>
      <c r="O63" s="1820"/>
    </row>
    <row r="64" spans="1:15" x14ac:dyDescent="0.25">
      <c r="A64" s="17">
        <v>9</v>
      </c>
      <c r="B64" s="440" t="s">
        <v>203</v>
      </c>
      <c r="C64" s="1834">
        <f t="shared" si="0"/>
        <v>392</v>
      </c>
      <c r="D64" s="1095"/>
      <c r="E64" s="1095">
        <f>'Biểu 37'!C52</f>
        <v>392</v>
      </c>
      <c r="F64" s="1834"/>
      <c r="G64" s="1834"/>
      <c r="H64" s="1834"/>
      <c r="I64" s="1834"/>
      <c r="J64" s="1834"/>
      <c r="K64" s="1834"/>
      <c r="L64" s="1834"/>
      <c r="M64" s="1834"/>
      <c r="N64" s="1834"/>
      <c r="O64" s="1820"/>
    </row>
    <row r="65" spans="1:15" x14ac:dyDescent="0.25">
      <c r="A65" s="17">
        <v>10</v>
      </c>
      <c r="B65" s="440" t="s">
        <v>204</v>
      </c>
      <c r="C65" s="1834">
        <f t="shared" si="0"/>
        <v>823</v>
      </c>
      <c r="D65" s="1095"/>
      <c r="E65" s="1095">
        <f>'Biểu 37'!C53</f>
        <v>823</v>
      </c>
      <c r="F65" s="1834"/>
      <c r="G65" s="1834"/>
      <c r="H65" s="1834"/>
      <c r="I65" s="1834"/>
      <c r="J65" s="1834"/>
      <c r="K65" s="1834"/>
      <c r="L65" s="1834"/>
      <c r="M65" s="1834"/>
      <c r="N65" s="1834"/>
      <c r="O65" s="1820"/>
    </row>
    <row r="66" spans="1:15" x14ac:dyDescent="0.25">
      <c r="A66" s="17">
        <v>11</v>
      </c>
      <c r="B66" s="974" t="s">
        <v>205</v>
      </c>
      <c r="C66" s="1834">
        <f t="shared" si="0"/>
        <v>278</v>
      </c>
      <c r="D66" s="1095"/>
      <c r="E66" s="1095">
        <f>'Biểu 37'!C54</f>
        <v>278</v>
      </c>
      <c r="F66" s="1834"/>
      <c r="G66" s="1834"/>
      <c r="H66" s="1834"/>
      <c r="I66" s="1834"/>
      <c r="J66" s="1834"/>
      <c r="K66" s="1834"/>
      <c r="L66" s="1834"/>
      <c r="M66" s="1834"/>
      <c r="N66" s="1834"/>
      <c r="O66" s="1820"/>
    </row>
    <row r="67" spans="1:15" x14ac:dyDescent="0.25">
      <c r="A67" s="17">
        <v>12</v>
      </c>
      <c r="B67" s="964" t="s">
        <v>206</v>
      </c>
      <c r="C67" s="1834">
        <f t="shared" si="0"/>
        <v>639</v>
      </c>
      <c r="D67" s="1095"/>
      <c r="E67" s="1095">
        <f>'Biểu 37'!C55</f>
        <v>639</v>
      </c>
      <c r="F67" s="1834"/>
      <c r="G67" s="1834"/>
      <c r="H67" s="1834"/>
      <c r="I67" s="1834"/>
      <c r="J67" s="1834"/>
      <c r="K67" s="1834"/>
      <c r="L67" s="1834"/>
      <c r="M67" s="1834"/>
      <c r="N67" s="1834"/>
      <c r="O67" s="1820"/>
    </row>
    <row r="68" spans="1:15" x14ac:dyDescent="0.25">
      <c r="A68" s="19" t="s">
        <v>207</v>
      </c>
      <c r="B68" s="26" t="s">
        <v>208</v>
      </c>
      <c r="C68" s="1833">
        <f>SUM(C69:C70)</f>
        <v>37774</v>
      </c>
      <c r="D68" s="1832">
        <f t="shared" ref="D68:N68" si="6">SUM(D69:D70)</f>
        <v>165</v>
      </c>
      <c r="E68" s="1832">
        <f t="shared" si="6"/>
        <v>37609</v>
      </c>
      <c r="F68" s="1833">
        <f t="shared" si="6"/>
        <v>0</v>
      </c>
      <c r="G68" s="1833">
        <f t="shared" si="6"/>
        <v>0</v>
      </c>
      <c r="H68" s="1833">
        <f t="shared" si="6"/>
        <v>0</v>
      </c>
      <c r="I68" s="1833"/>
      <c r="J68" s="1833">
        <f t="shared" si="6"/>
        <v>0</v>
      </c>
      <c r="K68" s="1833">
        <f t="shared" si="6"/>
        <v>0</v>
      </c>
      <c r="L68" s="1833">
        <f t="shared" si="6"/>
        <v>0</v>
      </c>
      <c r="M68" s="1833">
        <f t="shared" si="6"/>
        <v>0</v>
      </c>
      <c r="N68" s="1833">
        <f t="shared" si="6"/>
        <v>0</v>
      </c>
      <c r="O68" s="1820"/>
    </row>
    <row r="69" spans="1:15" x14ac:dyDescent="0.25">
      <c r="A69" s="17">
        <v>1</v>
      </c>
      <c r="B69" s="18" t="s">
        <v>209</v>
      </c>
      <c r="C69" s="1834">
        <f t="shared" si="0"/>
        <v>24676</v>
      </c>
      <c r="D69" s="1095">
        <f>'Biểu 36'!C37</f>
        <v>165</v>
      </c>
      <c r="E69" s="1095">
        <f>'Biểu 37'!C58</f>
        <v>24511</v>
      </c>
      <c r="F69" s="1834"/>
      <c r="G69" s="1834"/>
      <c r="H69" s="1834"/>
      <c r="I69" s="1834"/>
      <c r="J69" s="1834"/>
      <c r="K69" s="1834"/>
      <c r="L69" s="1834"/>
      <c r="M69" s="1834"/>
      <c r="N69" s="1834"/>
      <c r="O69" s="1820"/>
    </row>
    <row r="70" spans="1:15" x14ac:dyDescent="0.25">
      <c r="A70" s="17">
        <v>2</v>
      </c>
      <c r="B70" s="18" t="s">
        <v>210</v>
      </c>
      <c r="C70" s="1834">
        <f t="shared" si="0"/>
        <v>13098</v>
      </c>
      <c r="D70" s="1095"/>
      <c r="E70" s="1095">
        <f>'Biểu 37'!C59</f>
        <v>13098</v>
      </c>
      <c r="F70" s="1834"/>
      <c r="G70" s="1834"/>
      <c r="H70" s="1834"/>
      <c r="I70" s="1834"/>
      <c r="J70" s="1834"/>
      <c r="K70" s="1834"/>
      <c r="L70" s="1834"/>
      <c r="M70" s="1834"/>
      <c r="N70" s="1834"/>
      <c r="O70" s="1820"/>
    </row>
    <row r="71" spans="1:15" x14ac:dyDescent="0.25">
      <c r="A71" s="19" t="s">
        <v>211</v>
      </c>
      <c r="B71" s="21" t="s">
        <v>212</v>
      </c>
      <c r="C71" s="1832">
        <f t="shared" ref="C71:D71" si="7">SUM(C72:C86)</f>
        <v>224797</v>
      </c>
      <c r="D71" s="1832">
        <f t="shared" si="7"/>
        <v>0</v>
      </c>
      <c r="E71" s="1832">
        <f>SUM(E72:E86)</f>
        <v>224797</v>
      </c>
      <c r="F71" s="1833">
        <f t="shared" ref="F71:N71" si="8">SUM(F72:F86)</f>
        <v>0</v>
      </c>
      <c r="G71" s="1833">
        <f t="shared" si="8"/>
        <v>0</v>
      </c>
      <c r="H71" s="1833">
        <f t="shared" si="8"/>
        <v>0</v>
      </c>
      <c r="I71" s="1833"/>
      <c r="J71" s="1833">
        <f t="shared" si="8"/>
        <v>0</v>
      </c>
      <c r="K71" s="1833">
        <f t="shared" si="8"/>
        <v>0</v>
      </c>
      <c r="L71" s="1833">
        <f t="shared" si="8"/>
        <v>0</v>
      </c>
      <c r="M71" s="1833">
        <f t="shared" si="8"/>
        <v>0</v>
      </c>
      <c r="N71" s="1833">
        <f t="shared" si="8"/>
        <v>0</v>
      </c>
      <c r="O71" s="1820"/>
    </row>
    <row r="72" spans="1:15" ht="25.5" x14ac:dyDescent="0.25">
      <c r="A72" s="973">
        <v>1</v>
      </c>
      <c r="B72" s="964" t="s">
        <v>213</v>
      </c>
      <c r="C72" s="1834">
        <f t="shared" si="0"/>
        <v>3000</v>
      </c>
      <c r="D72" s="1095"/>
      <c r="E72" s="1095">
        <f>'Biểu 37'!C61</f>
        <v>3000</v>
      </c>
      <c r="F72" s="1834"/>
      <c r="G72" s="1834"/>
      <c r="H72" s="1834"/>
      <c r="I72" s="1834"/>
      <c r="J72" s="1834"/>
      <c r="K72" s="1834"/>
      <c r="L72" s="1834"/>
      <c r="M72" s="1834"/>
      <c r="N72" s="1834"/>
      <c r="O72" s="1820"/>
    </row>
    <row r="73" spans="1:15" x14ac:dyDescent="0.25">
      <c r="A73" s="973">
        <v>2</v>
      </c>
      <c r="B73" s="964" t="s">
        <v>214</v>
      </c>
      <c r="C73" s="1834">
        <f t="shared" si="0"/>
        <v>182848</v>
      </c>
      <c r="D73" s="1095"/>
      <c r="E73" s="1095">
        <f>'Biểu 37'!C62</f>
        <v>182848</v>
      </c>
      <c r="F73" s="1834"/>
      <c r="G73" s="1834"/>
      <c r="H73" s="1834"/>
      <c r="I73" s="1834"/>
      <c r="J73" s="1834"/>
      <c r="K73" s="1834"/>
      <c r="L73" s="1834"/>
      <c r="M73" s="1834"/>
      <c r="N73" s="1834"/>
      <c r="O73" s="1820"/>
    </row>
    <row r="74" spans="1:15" x14ac:dyDescent="0.25">
      <c r="A74" s="973">
        <v>3</v>
      </c>
      <c r="B74" s="964" t="s">
        <v>1507</v>
      </c>
      <c r="C74" s="1834">
        <f t="shared" ref="C74:C107" si="9">SUM(D74:K74)+N74</f>
        <v>26088</v>
      </c>
      <c r="D74" s="1095"/>
      <c r="E74" s="1095">
        <f>'Biểu 37'!C63</f>
        <v>26088</v>
      </c>
      <c r="F74" s="1834"/>
      <c r="G74" s="1834"/>
      <c r="H74" s="1834"/>
      <c r="I74" s="1834"/>
      <c r="J74" s="1834"/>
      <c r="K74" s="1834"/>
      <c r="L74" s="1834"/>
      <c r="M74" s="1834"/>
      <c r="N74" s="1834"/>
      <c r="O74" s="1820"/>
    </row>
    <row r="75" spans="1:15" x14ac:dyDescent="0.25">
      <c r="A75" s="973">
        <v>4</v>
      </c>
      <c r="B75" s="964" t="s">
        <v>1522</v>
      </c>
      <c r="C75" s="1834">
        <f t="shared" si="9"/>
        <v>90</v>
      </c>
      <c r="D75" s="1095"/>
      <c r="E75" s="1095">
        <f>'Biểu 37'!C64</f>
        <v>90</v>
      </c>
      <c r="F75" s="1834"/>
      <c r="G75" s="1834"/>
      <c r="H75" s="1834"/>
      <c r="I75" s="1834"/>
      <c r="J75" s="1834"/>
      <c r="K75" s="1834"/>
      <c r="L75" s="1834"/>
      <c r="M75" s="1834"/>
      <c r="N75" s="1834"/>
      <c r="O75" s="1820"/>
    </row>
    <row r="76" spans="1:15" ht="38.25" x14ac:dyDescent="0.25">
      <c r="A76" s="973">
        <v>5</v>
      </c>
      <c r="B76" s="964" t="s">
        <v>215</v>
      </c>
      <c r="C76" s="1834">
        <f t="shared" si="9"/>
        <v>10570</v>
      </c>
      <c r="D76" s="1095"/>
      <c r="E76" s="1095">
        <f>'Biểu 37'!C65</f>
        <v>10570</v>
      </c>
      <c r="F76" s="1834"/>
      <c r="G76" s="1834"/>
      <c r="H76" s="1834"/>
      <c r="I76" s="1834"/>
      <c r="J76" s="1834"/>
      <c r="K76" s="1834"/>
      <c r="L76" s="1834"/>
      <c r="M76" s="1834"/>
      <c r="N76" s="1834"/>
      <c r="O76" s="1820"/>
    </row>
    <row r="77" spans="1:15" x14ac:dyDescent="0.25">
      <c r="A77" s="973">
        <v>6</v>
      </c>
      <c r="B77" s="964" t="s">
        <v>605</v>
      </c>
      <c r="C77" s="1834">
        <f t="shared" si="9"/>
        <v>1526</v>
      </c>
      <c r="D77" s="1095"/>
      <c r="E77" s="1095">
        <f>'Biểu 37'!C66</f>
        <v>1526</v>
      </c>
      <c r="F77" s="1834"/>
      <c r="G77" s="1834"/>
      <c r="H77" s="1834"/>
      <c r="I77" s="1834"/>
      <c r="J77" s="1834"/>
      <c r="K77" s="1834"/>
      <c r="L77" s="1834"/>
      <c r="M77" s="1834"/>
      <c r="N77" s="1834"/>
      <c r="O77" s="1820"/>
    </row>
    <row r="78" spans="1:15" x14ac:dyDescent="0.25">
      <c r="A78" s="973">
        <v>7</v>
      </c>
      <c r="B78" s="964" t="s">
        <v>938</v>
      </c>
      <c r="C78" s="1834">
        <f t="shared" si="9"/>
        <v>33</v>
      </c>
      <c r="D78" s="1095"/>
      <c r="E78" s="1095">
        <f>'Biểu 37'!C67</f>
        <v>33</v>
      </c>
      <c r="F78" s="1834"/>
      <c r="G78" s="1834"/>
      <c r="H78" s="1834"/>
      <c r="I78" s="1834"/>
      <c r="J78" s="1834"/>
      <c r="K78" s="1834"/>
      <c r="L78" s="1834"/>
      <c r="M78" s="1834"/>
      <c r="N78" s="1834"/>
      <c r="O78" s="1820"/>
    </row>
    <row r="79" spans="1:15" ht="25.5" x14ac:dyDescent="0.25">
      <c r="A79" s="973">
        <v>8</v>
      </c>
      <c r="B79" s="964" t="s">
        <v>1499</v>
      </c>
      <c r="C79" s="1834">
        <f t="shared" si="9"/>
        <v>28</v>
      </c>
      <c r="D79" s="1095"/>
      <c r="E79" s="1095">
        <f>'Biểu 37'!C68</f>
        <v>28</v>
      </c>
      <c r="F79" s="1834"/>
      <c r="G79" s="1834"/>
      <c r="H79" s="1834"/>
      <c r="I79" s="1834"/>
      <c r="J79" s="1834"/>
      <c r="K79" s="1834"/>
      <c r="L79" s="1834"/>
      <c r="M79" s="1834"/>
      <c r="N79" s="1834"/>
      <c r="O79" s="1820"/>
    </row>
    <row r="80" spans="1:15" x14ac:dyDescent="0.25">
      <c r="A80" s="973">
        <v>9</v>
      </c>
      <c r="B80" s="964" t="s">
        <v>1498</v>
      </c>
      <c r="C80" s="1834">
        <f t="shared" si="9"/>
        <v>52</v>
      </c>
      <c r="D80" s="1095"/>
      <c r="E80" s="1095">
        <f>'Biểu 37'!C69</f>
        <v>52</v>
      </c>
      <c r="F80" s="1834"/>
      <c r="G80" s="1834"/>
      <c r="H80" s="1834"/>
      <c r="I80" s="1834"/>
      <c r="J80" s="1834"/>
      <c r="K80" s="1834"/>
      <c r="L80" s="1834"/>
      <c r="M80" s="1834"/>
      <c r="N80" s="1834"/>
      <c r="O80" s="1820"/>
    </row>
    <row r="81" spans="1:15" x14ac:dyDescent="0.25">
      <c r="A81" s="973">
        <v>10</v>
      </c>
      <c r="B81" s="964" t="s">
        <v>527</v>
      </c>
      <c r="C81" s="1834">
        <f t="shared" si="9"/>
        <v>111</v>
      </c>
      <c r="D81" s="1095"/>
      <c r="E81" s="1095">
        <f>'Biểu 37'!C70</f>
        <v>111</v>
      </c>
      <c r="F81" s="1834"/>
      <c r="G81" s="1834"/>
      <c r="H81" s="1834"/>
      <c r="I81" s="1834"/>
      <c r="J81" s="1834"/>
      <c r="K81" s="1834"/>
      <c r="L81" s="1834"/>
      <c r="M81" s="1834"/>
      <c r="N81" s="1834"/>
      <c r="O81" s="1820"/>
    </row>
    <row r="82" spans="1:15" x14ac:dyDescent="0.25">
      <c r="A82" s="973">
        <v>11</v>
      </c>
      <c r="B82" s="964" t="s">
        <v>216</v>
      </c>
      <c r="C82" s="1834">
        <f t="shared" si="9"/>
        <v>21</v>
      </c>
      <c r="D82" s="1095"/>
      <c r="E82" s="1095">
        <f>'Biểu 37'!C71</f>
        <v>21</v>
      </c>
      <c r="F82" s="1834"/>
      <c r="G82" s="1834"/>
      <c r="H82" s="1834"/>
      <c r="I82" s="1834"/>
      <c r="J82" s="1834"/>
      <c r="K82" s="1834"/>
      <c r="L82" s="1834"/>
      <c r="M82" s="1834"/>
      <c r="N82" s="1834"/>
      <c r="O82" s="1820"/>
    </row>
    <row r="83" spans="1:15" x14ac:dyDescent="0.25">
      <c r="A83" s="973">
        <v>12</v>
      </c>
      <c r="B83" s="964" t="s">
        <v>936</v>
      </c>
      <c r="C83" s="1834">
        <f t="shared" si="9"/>
        <v>27</v>
      </c>
      <c r="D83" s="1095"/>
      <c r="E83" s="1095">
        <f>'Biểu 37'!C72</f>
        <v>27</v>
      </c>
      <c r="F83" s="1834"/>
      <c r="G83" s="1834"/>
      <c r="H83" s="1834"/>
      <c r="I83" s="1834"/>
      <c r="J83" s="1834"/>
      <c r="K83" s="1834"/>
      <c r="L83" s="1834"/>
      <c r="M83" s="1834"/>
      <c r="N83" s="1834"/>
      <c r="O83" s="1820"/>
    </row>
    <row r="84" spans="1:15" x14ac:dyDescent="0.25">
      <c r="A84" s="973">
        <v>13</v>
      </c>
      <c r="B84" s="964" t="s">
        <v>937</v>
      </c>
      <c r="C84" s="1834">
        <f t="shared" si="9"/>
        <v>21</v>
      </c>
      <c r="D84" s="1095"/>
      <c r="E84" s="1095">
        <f>'Biểu 37'!C74</f>
        <v>21</v>
      </c>
      <c r="F84" s="1834"/>
      <c r="G84" s="1834"/>
      <c r="H84" s="1834"/>
      <c r="I84" s="1834"/>
      <c r="J84" s="1834"/>
      <c r="K84" s="1834"/>
      <c r="L84" s="1834"/>
      <c r="M84" s="1834"/>
      <c r="N84" s="1834"/>
      <c r="O84" s="1820"/>
    </row>
    <row r="85" spans="1:15" x14ac:dyDescent="0.25">
      <c r="A85" s="973">
        <v>14</v>
      </c>
      <c r="B85" s="964" t="s">
        <v>217</v>
      </c>
      <c r="C85" s="1834">
        <f t="shared" si="9"/>
        <v>370</v>
      </c>
      <c r="D85" s="1095"/>
      <c r="E85" s="1095">
        <f>'Biểu 37'!C75</f>
        <v>370</v>
      </c>
      <c r="F85" s="1834"/>
      <c r="G85" s="1834"/>
      <c r="H85" s="1834"/>
      <c r="I85" s="1834"/>
      <c r="J85" s="1834"/>
      <c r="K85" s="1834"/>
      <c r="L85" s="1834"/>
      <c r="M85" s="1834"/>
      <c r="N85" s="1834"/>
      <c r="O85" s="1820"/>
    </row>
    <row r="86" spans="1:15" x14ac:dyDescent="0.25">
      <c r="A86" s="1924">
        <v>15</v>
      </c>
      <c r="B86" s="1925" t="s">
        <v>218</v>
      </c>
      <c r="C86" s="1834">
        <f t="shared" si="9"/>
        <v>12</v>
      </c>
      <c r="D86" s="1095"/>
      <c r="E86" s="1095">
        <f>'Biểu 37'!C76</f>
        <v>12</v>
      </c>
      <c r="F86" s="1834"/>
      <c r="G86" s="1834"/>
      <c r="H86" s="1834"/>
      <c r="I86" s="1834"/>
      <c r="J86" s="1834"/>
      <c r="K86" s="1834"/>
      <c r="L86" s="1834"/>
      <c r="M86" s="1834"/>
      <c r="N86" s="1834"/>
      <c r="O86" s="1820"/>
    </row>
    <row r="87" spans="1:15" s="963" customFormat="1" x14ac:dyDescent="0.25">
      <c r="A87" s="1838" t="s">
        <v>273</v>
      </c>
      <c r="B87" s="1839" t="s">
        <v>1601</v>
      </c>
      <c r="C87" s="1100">
        <f>SUM(C88:C94)</f>
        <v>50000</v>
      </c>
      <c r="D87" s="1100">
        <f>SUM(D88:D94)</f>
        <v>50000</v>
      </c>
      <c r="E87" s="1095"/>
      <c r="F87" s="1834"/>
      <c r="G87" s="1834"/>
      <c r="H87" s="1834"/>
      <c r="I87" s="1834"/>
      <c r="J87" s="1834"/>
      <c r="K87" s="1834"/>
      <c r="L87" s="1834"/>
      <c r="M87" s="1834"/>
      <c r="N87" s="1834"/>
      <c r="O87" s="1820"/>
    </row>
    <row r="88" spans="1:15" s="963" customFormat="1" x14ac:dyDescent="0.25">
      <c r="A88" s="1840">
        <v>1</v>
      </c>
      <c r="B88" s="109" t="s">
        <v>427</v>
      </c>
      <c r="C88" s="1834">
        <f>D88</f>
        <v>3500</v>
      </c>
      <c r="D88" s="1095">
        <f>'Biểu 36'!C48</f>
        <v>3500</v>
      </c>
      <c r="E88" s="1095"/>
      <c r="F88" s="1834"/>
      <c r="G88" s="1834"/>
      <c r="H88" s="1834"/>
      <c r="I88" s="1834"/>
      <c r="J88" s="1834"/>
      <c r="K88" s="1834"/>
      <c r="L88" s="1834"/>
      <c r="M88" s="1834"/>
      <c r="N88" s="1834"/>
      <c r="O88" s="1820"/>
    </row>
    <row r="89" spans="1:15" s="963" customFormat="1" x14ac:dyDescent="0.25">
      <c r="A89" s="1840">
        <v>2</v>
      </c>
      <c r="B89" s="109" t="s">
        <v>432</v>
      </c>
      <c r="C89" s="1834">
        <f t="shared" ref="C89:C94" si="10">D89</f>
        <v>3500</v>
      </c>
      <c r="D89" s="1095">
        <f>'Biểu 36'!C49</f>
        <v>3500</v>
      </c>
      <c r="E89" s="1095"/>
      <c r="F89" s="1834"/>
      <c r="G89" s="1834"/>
      <c r="H89" s="1834"/>
      <c r="I89" s="1834"/>
      <c r="J89" s="1834"/>
      <c r="K89" s="1834"/>
      <c r="L89" s="1834"/>
      <c r="M89" s="1834"/>
      <c r="N89" s="1834"/>
      <c r="O89" s="1820"/>
    </row>
    <row r="90" spans="1:15" s="963" customFormat="1" x14ac:dyDescent="0.25">
      <c r="A90" s="1840">
        <v>3</v>
      </c>
      <c r="B90" s="109" t="s">
        <v>164</v>
      </c>
      <c r="C90" s="1834">
        <f t="shared" si="10"/>
        <v>8101</v>
      </c>
      <c r="D90" s="1095">
        <f>'Biểu 36'!C50</f>
        <v>8101</v>
      </c>
      <c r="E90" s="1095"/>
      <c r="F90" s="1834"/>
      <c r="G90" s="1834"/>
      <c r="H90" s="1834"/>
      <c r="I90" s="1834"/>
      <c r="J90" s="1834"/>
      <c r="K90" s="1834"/>
      <c r="L90" s="1834"/>
      <c r="M90" s="1834"/>
      <c r="N90" s="1834"/>
      <c r="O90" s="1820"/>
    </row>
    <row r="91" spans="1:15" s="963" customFormat="1" ht="25.5" x14ac:dyDescent="0.25">
      <c r="A91" s="1840">
        <v>4</v>
      </c>
      <c r="B91" s="109" t="s">
        <v>989</v>
      </c>
      <c r="C91" s="1834">
        <f t="shared" si="10"/>
        <v>13400</v>
      </c>
      <c r="D91" s="1095">
        <f>'Biểu 36'!C51</f>
        <v>13400</v>
      </c>
      <c r="E91" s="1095"/>
      <c r="F91" s="1834"/>
      <c r="G91" s="1834"/>
      <c r="H91" s="1834"/>
      <c r="I91" s="1834"/>
      <c r="J91" s="1834"/>
      <c r="K91" s="1834"/>
      <c r="L91" s="1834"/>
      <c r="M91" s="1834"/>
      <c r="N91" s="1834"/>
      <c r="O91" s="1820"/>
    </row>
    <row r="92" spans="1:15" s="963" customFormat="1" x14ac:dyDescent="0.25">
      <c r="A92" s="1840">
        <v>5</v>
      </c>
      <c r="B92" s="109" t="s">
        <v>419</v>
      </c>
      <c r="C92" s="1834">
        <f t="shared" si="10"/>
        <v>5976</v>
      </c>
      <c r="D92" s="1095">
        <f>'Biểu 36'!C52</f>
        <v>5976</v>
      </c>
      <c r="E92" s="1095"/>
      <c r="F92" s="1834"/>
      <c r="G92" s="1834"/>
      <c r="H92" s="1834"/>
      <c r="I92" s="1834"/>
      <c r="J92" s="1834"/>
      <c r="K92" s="1834"/>
      <c r="L92" s="1834"/>
      <c r="M92" s="1834"/>
      <c r="N92" s="1834"/>
      <c r="O92" s="1820"/>
    </row>
    <row r="93" spans="1:15" s="963" customFormat="1" x14ac:dyDescent="0.25">
      <c r="A93" s="1840">
        <v>6</v>
      </c>
      <c r="B93" s="109" t="s">
        <v>161</v>
      </c>
      <c r="C93" s="1834">
        <f t="shared" si="10"/>
        <v>3000</v>
      </c>
      <c r="D93" s="1095">
        <f>'Biểu 36'!C53</f>
        <v>3000</v>
      </c>
      <c r="E93" s="1095"/>
      <c r="F93" s="1834"/>
      <c r="G93" s="1834"/>
      <c r="H93" s="1834"/>
      <c r="I93" s="1834"/>
      <c r="J93" s="1834"/>
      <c r="K93" s="1834"/>
      <c r="L93" s="1834"/>
      <c r="M93" s="1834"/>
      <c r="N93" s="1834"/>
      <c r="O93" s="1820"/>
    </row>
    <row r="94" spans="1:15" s="963" customFormat="1" x14ac:dyDescent="0.25">
      <c r="A94" s="1841">
        <v>7</v>
      </c>
      <c r="B94" s="1842" t="s">
        <v>1602</v>
      </c>
      <c r="C94" s="1834">
        <f t="shared" si="10"/>
        <v>12523</v>
      </c>
      <c r="D94" s="1095">
        <f>'Biểu 36'!C54</f>
        <v>12523</v>
      </c>
      <c r="E94" s="1095"/>
      <c r="F94" s="1834"/>
      <c r="G94" s="1834"/>
      <c r="H94" s="1834"/>
      <c r="I94" s="1834"/>
      <c r="J94" s="1834"/>
      <c r="K94" s="1834"/>
      <c r="L94" s="1834"/>
      <c r="M94" s="1834"/>
      <c r="N94" s="1834"/>
      <c r="O94" s="1820"/>
    </row>
    <row r="95" spans="1:15" ht="21.75" customHeight="1" x14ac:dyDescent="0.25">
      <c r="A95" s="19" t="s">
        <v>1051</v>
      </c>
      <c r="B95" s="20" t="s">
        <v>1178</v>
      </c>
      <c r="C95" s="1832">
        <f>SUM(C96:C104)</f>
        <v>122571</v>
      </c>
      <c r="D95" s="1832">
        <f>SUM(D96:D104)</f>
        <v>122571</v>
      </c>
      <c r="E95" s="1832"/>
      <c r="F95" s="1833"/>
      <c r="G95" s="1833"/>
      <c r="H95" s="1833"/>
      <c r="I95" s="1833"/>
      <c r="J95" s="1833"/>
      <c r="K95" s="1833"/>
      <c r="L95" s="1833"/>
      <c r="M95" s="1833"/>
      <c r="N95" s="1833"/>
      <c r="O95" s="1820"/>
    </row>
    <row r="96" spans="1:15" ht="21.75" customHeight="1" x14ac:dyDescent="0.25">
      <c r="A96" s="17">
        <v>1</v>
      </c>
      <c r="B96" s="288" t="s">
        <v>420</v>
      </c>
      <c r="C96" s="1834">
        <f>D96</f>
        <v>16347</v>
      </c>
      <c r="D96" s="1843">
        <f>'Biểu 36'!C24</f>
        <v>16347</v>
      </c>
      <c r="E96" s="1832"/>
      <c r="F96" s="1833"/>
      <c r="G96" s="1833"/>
      <c r="H96" s="1833"/>
      <c r="I96" s="1833"/>
      <c r="J96" s="1833"/>
      <c r="K96" s="1833"/>
      <c r="L96" s="1833"/>
      <c r="M96" s="1833"/>
      <c r="N96" s="1833"/>
      <c r="O96" s="1820"/>
    </row>
    <row r="97" spans="1:15" ht="21.75" customHeight="1" x14ac:dyDescent="0.25">
      <c r="A97" s="17">
        <v>2</v>
      </c>
      <c r="B97" s="288" t="s">
        <v>421</v>
      </c>
      <c r="C97" s="1834">
        <f t="shared" ref="C97:C103" si="11">D97</f>
        <v>9135</v>
      </c>
      <c r="D97" s="1843">
        <f>'Biểu 36'!C25</f>
        <v>9135</v>
      </c>
      <c r="E97" s="1832"/>
      <c r="F97" s="1833"/>
      <c r="G97" s="1833"/>
      <c r="H97" s="1833"/>
      <c r="I97" s="1833"/>
      <c r="J97" s="1833"/>
      <c r="K97" s="1833"/>
      <c r="L97" s="1833"/>
      <c r="M97" s="1833"/>
      <c r="N97" s="1833"/>
      <c r="O97" s="1820"/>
    </row>
    <row r="98" spans="1:15" ht="21.75" customHeight="1" x14ac:dyDescent="0.25">
      <c r="A98" s="17">
        <v>3</v>
      </c>
      <c r="B98" s="288" t="s">
        <v>422</v>
      </c>
      <c r="C98" s="1834">
        <f t="shared" si="11"/>
        <v>5921</v>
      </c>
      <c r="D98" s="1843">
        <f>'Biểu 36'!C26</f>
        <v>5921</v>
      </c>
      <c r="E98" s="1832"/>
      <c r="F98" s="1833"/>
      <c r="G98" s="1833"/>
      <c r="H98" s="1833"/>
      <c r="I98" s="1833"/>
      <c r="J98" s="1833"/>
      <c r="K98" s="1833"/>
      <c r="L98" s="1833"/>
      <c r="M98" s="1833"/>
      <c r="N98" s="1833"/>
      <c r="O98" s="1820"/>
    </row>
    <row r="99" spans="1:15" ht="21.75" customHeight="1" x14ac:dyDescent="0.25">
      <c r="A99" s="17">
        <v>4</v>
      </c>
      <c r="B99" s="288" t="s">
        <v>423</v>
      </c>
      <c r="C99" s="1834">
        <f t="shared" si="11"/>
        <v>8254</v>
      </c>
      <c r="D99" s="1843">
        <f>'Biểu 36'!C28</f>
        <v>8254</v>
      </c>
      <c r="E99" s="1832"/>
      <c r="F99" s="1833"/>
      <c r="G99" s="1833"/>
      <c r="H99" s="1833"/>
      <c r="I99" s="1833"/>
      <c r="J99" s="1833"/>
      <c r="K99" s="1833"/>
      <c r="L99" s="1833"/>
      <c r="M99" s="1833"/>
      <c r="N99" s="1833"/>
      <c r="O99" s="1820"/>
    </row>
    <row r="100" spans="1:15" ht="21.75" customHeight="1" x14ac:dyDescent="0.25">
      <c r="A100" s="17">
        <v>5</v>
      </c>
      <c r="B100" s="288" t="s">
        <v>424</v>
      </c>
      <c r="C100" s="1834">
        <f t="shared" si="11"/>
        <v>5648</v>
      </c>
      <c r="D100" s="1843">
        <f>'Biểu 36'!C27</f>
        <v>5648</v>
      </c>
      <c r="E100" s="1832"/>
      <c r="F100" s="1833"/>
      <c r="G100" s="1833"/>
      <c r="H100" s="1833"/>
      <c r="I100" s="1833"/>
      <c r="J100" s="1833"/>
      <c r="K100" s="1833"/>
      <c r="L100" s="1833"/>
      <c r="M100" s="1833"/>
      <c r="N100" s="1833"/>
      <c r="O100" s="1820"/>
    </row>
    <row r="101" spans="1:15" ht="21.75" customHeight="1" x14ac:dyDescent="0.25">
      <c r="A101" s="17">
        <v>6</v>
      </c>
      <c r="B101" s="288" t="s">
        <v>425</v>
      </c>
      <c r="C101" s="1834">
        <f t="shared" si="11"/>
        <v>14672</v>
      </c>
      <c r="D101" s="1843">
        <f>'Biểu 36'!C29</f>
        <v>14672</v>
      </c>
      <c r="E101" s="1832"/>
      <c r="F101" s="1833"/>
      <c r="G101" s="1833"/>
      <c r="H101" s="1833"/>
      <c r="I101" s="1833"/>
      <c r="J101" s="1833"/>
      <c r="K101" s="1833"/>
      <c r="L101" s="1833"/>
      <c r="M101" s="1833"/>
      <c r="N101" s="1833"/>
      <c r="O101" s="1820"/>
    </row>
    <row r="102" spans="1:15" ht="21.75" customHeight="1" x14ac:dyDescent="0.25">
      <c r="A102" s="17">
        <v>7</v>
      </c>
      <c r="B102" s="288" t="s">
        <v>426</v>
      </c>
      <c r="C102" s="1834">
        <f t="shared" si="11"/>
        <v>21516</v>
      </c>
      <c r="D102" s="1843">
        <f>'Biểu 36'!C30</f>
        <v>21516</v>
      </c>
      <c r="E102" s="1832"/>
      <c r="F102" s="1833"/>
      <c r="G102" s="1833"/>
      <c r="H102" s="1833"/>
      <c r="I102" s="1833"/>
      <c r="J102" s="1833"/>
      <c r="K102" s="1833"/>
      <c r="L102" s="1833"/>
      <c r="M102" s="1833"/>
      <c r="N102" s="1833"/>
      <c r="O102" s="1820"/>
    </row>
    <row r="103" spans="1:15" ht="21.75" customHeight="1" x14ac:dyDescent="0.25">
      <c r="A103" s="17">
        <v>8</v>
      </c>
      <c r="B103" s="288" t="s">
        <v>427</v>
      </c>
      <c r="C103" s="1834">
        <f t="shared" si="11"/>
        <v>40858</v>
      </c>
      <c r="D103" s="1843">
        <f>'Biểu 36'!C31</f>
        <v>40858</v>
      </c>
      <c r="E103" s="1832"/>
      <c r="F103" s="1833"/>
      <c r="G103" s="1833"/>
      <c r="H103" s="1833"/>
      <c r="I103" s="1833"/>
      <c r="J103" s="1833"/>
      <c r="K103" s="1833"/>
      <c r="L103" s="1833"/>
      <c r="M103" s="1833"/>
      <c r="N103" s="1833"/>
      <c r="O103" s="1820"/>
    </row>
    <row r="104" spans="1:15" s="963" customFormat="1" ht="21.75" customHeight="1" x14ac:dyDescent="0.25">
      <c r="A104" s="17">
        <v>9</v>
      </c>
      <c r="B104" s="288" t="str">
        <f>'Biểu 36'!B32</f>
        <v>Ủy ban nhân dân thị trấn Chợ Rã</v>
      </c>
      <c r="C104" s="1834">
        <f>D104</f>
        <v>220</v>
      </c>
      <c r="D104" s="1843">
        <f>'Biểu 36'!C32</f>
        <v>220</v>
      </c>
      <c r="E104" s="1832"/>
      <c r="F104" s="1833"/>
      <c r="G104" s="1833"/>
      <c r="H104" s="1833"/>
      <c r="I104" s="1833"/>
      <c r="J104" s="1833"/>
      <c r="K104" s="1833"/>
      <c r="L104" s="1833"/>
      <c r="M104" s="1833"/>
      <c r="N104" s="1833"/>
      <c r="O104" s="1820"/>
    </row>
    <row r="105" spans="1:15" s="963" customFormat="1" ht="31.5" customHeight="1" x14ac:dyDescent="0.25">
      <c r="A105" s="1844" t="s">
        <v>9</v>
      </c>
      <c r="B105" s="991" t="s">
        <v>953</v>
      </c>
      <c r="C105" s="1845">
        <f>D105</f>
        <v>8000</v>
      </c>
      <c r="D105" s="1832">
        <f>'Biểu 36'!C55</f>
        <v>8000</v>
      </c>
      <c r="E105" s="1832"/>
      <c r="F105" s="1833"/>
      <c r="G105" s="1833"/>
      <c r="H105" s="1833"/>
      <c r="I105" s="1833"/>
      <c r="J105" s="1833"/>
      <c r="K105" s="1833"/>
      <c r="L105" s="1833"/>
      <c r="M105" s="1833"/>
      <c r="N105" s="1833"/>
      <c r="O105" s="1820"/>
    </row>
    <row r="106" spans="1:15" s="963" customFormat="1" ht="30.75" customHeight="1" x14ac:dyDescent="0.25">
      <c r="A106" s="19" t="s">
        <v>1179</v>
      </c>
      <c r="B106" s="20" t="s">
        <v>1045</v>
      </c>
      <c r="C106" s="1845">
        <f t="shared" ref="C106" si="12">SUM(D106:K106)+N106</f>
        <v>7800</v>
      </c>
      <c r="D106" s="1832">
        <f>'Biểu 36'!C43</f>
        <v>7800</v>
      </c>
      <c r="E106" s="1832"/>
      <c r="F106" s="1833"/>
      <c r="G106" s="1833"/>
      <c r="H106" s="1833"/>
      <c r="I106" s="1833"/>
      <c r="J106" s="1833"/>
      <c r="K106" s="1833"/>
      <c r="L106" s="1833"/>
      <c r="M106" s="1833"/>
      <c r="N106" s="1833"/>
      <c r="O106" s="1820"/>
    </row>
    <row r="107" spans="1:15" x14ac:dyDescent="0.25">
      <c r="A107" s="19" t="s">
        <v>1604</v>
      </c>
      <c r="B107" s="20" t="s">
        <v>1038</v>
      </c>
      <c r="C107" s="1845">
        <f t="shared" si="9"/>
        <v>15000</v>
      </c>
      <c r="D107" s="1832">
        <f>'Biểu 36'!C44</f>
        <v>15000</v>
      </c>
      <c r="E107" s="1832"/>
      <c r="F107" s="1833"/>
      <c r="G107" s="1833"/>
      <c r="H107" s="1833"/>
      <c r="I107" s="1833"/>
      <c r="J107" s="1833"/>
      <c r="K107" s="1833"/>
      <c r="L107" s="1833"/>
      <c r="M107" s="1833"/>
      <c r="N107" s="1833"/>
      <c r="O107" s="1820"/>
    </row>
    <row r="108" spans="1:15" s="321" customFormat="1" ht="33" customHeight="1" x14ac:dyDescent="0.2">
      <c r="A108" s="1846" t="s">
        <v>11</v>
      </c>
      <c r="B108" s="1847" t="s">
        <v>1240</v>
      </c>
      <c r="C108" s="1848">
        <f>F108</f>
        <v>1160</v>
      </c>
      <c r="D108" s="1849"/>
      <c r="E108" s="1849"/>
      <c r="F108" s="1848">
        <f>SUM(F109:F116)</f>
        <v>1160</v>
      </c>
      <c r="G108" s="1848"/>
      <c r="H108" s="1848"/>
      <c r="I108" s="1848"/>
      <c r="J108" s="1848"/>
      <c r="K108" s="1848"/>
      <c r="L108" s="1848"/>
      <c r="M108" s="1848"/>
      <c r="N108" s="1848"/>
      <c r="O108" s="1850"/>
    </row>
    <row r="109" spans="1:15" s="321" customFormat="1" ht="33" customHeight="1" x14ac:dyDescent="0.2">
      <c r="A109" s="1851">
        <v>1</v>
      </c>
      <c r="B109" s="1852" t="s">
        <v>1580</v>
      </c>
      <c r="C109" s="1848"/>
      <c r="D109" s="1849"/>
      <c r="E109" s="1849"/>
      <c r="F109" s="1853">
        <v>370</v>
      </c>
      <c r="G109" s="1848"/>
      <c r="H109" s="1848"/>
      <c r="I109" s="1848"/>
      <c r="J109" s="1848"/>
      <c r="K109" s="1848"/>
      <c r="L109" s="1848"/>
      <c r="M109" s="1848"/>
      <c r="N109" s="1848"/>
      <c r="O109" s="1850"/>
    </row>
    <row r="110" spans="1:15" s="321" customFormat="1" ht="33" customHeight="1" x14ac:dyDescent="0.2">
      <c r="A110" s="1851">
        <v>2</v>
      </c>
      <c r="B110" s="1852" t="s">
        <v>1581</v>
      </c>
      <c r="C110" s="1848"/>
      <c r="D110" s="1849"/>
      <c r="E110" s="1849"/>
      <c r="F110" s="1853">
        <v>170</v>
      </c>
      <c r="G110" s="1848"/>
      <c r="H110" s="1848"/>
      <c r="I110" s="1848"/>
      <c r="J110" s="1848"/>
      <c r="K110" s="1848"/>
      <c r="L110" s="1848"/>
      <c r="M110" s="1848"/>
      <c r="N110" s="1848"/>
      <c r="O110" s="1850"/>
    </row>
    <row r="111" spans="1:15" s="321" customFormat="1" ht="33" customHeight="1" x14ac:dyDescent="0.2">
      <c r="A111" s="1851">
        <v>3</v>
      </c>
      <c r="B111" s="1852" t="s">
        <v>1582</v>
      </c>
      <c r="C111" s="1848"/>
      <c r="D111" s="1849"/>
      <c r="E111" s="1849"/>
      <c r="F111" s="1853">
        <v>150</v>
      </c>
      <c r="G111" s="1848"/>
      <c r="H111" s="1848"/>
      <c r="I111" s="1848"/>
      <c r="J111" s="1848"/>
      <c r="K111" s="1848"/>
      <c r="L111" s="1848"/>
      <c r="M111" s="1848"/>
      <c r="N111" s="1848"/>
      <c r="O111" s="1850"/>
    </row>
    <row r="112" spans="1:15" s="321" customFormat="1" ht="33" customHeight="1" x14ac:dyDescent="0.2">
      <c r="A112" s="1851">
        <v>4</v>
      </c>
      <c r="B112" s="1852" t="s">
        <v>1583</v>
      </c>
      <c r="C112" s="1848"/>
      <c r="D112" s="1849"/>
      <c r="E112" s="1849"/>
      <c r="F112" s="1853">
        <v>120</v>
      </c>
      <c r="G112" s="1848"/>
      <c r="H112" s="1848"/>
      <c r="I112" s="1848"/>
      <c r="J112" s="1848"/>
      <c r="K112" s="1848"/>
      <c r="L112" s="1848"/>
      <c r="M112" s="1848"/>
      <c r="N112" s="1848"/>
      <c r="O112" s="1850"/>
    </row>
    <row r="113" spans="1:15" s="321" customFormat="1" ht="33" customHeight="1" x14ac:dyDescent="0.2">
      <c r="A113" s="1851">
        <v>5</v>
      </c>
      <c r="B113" s="1852" t="s">
        <v>1584</v>
      </c>
      <c r="C113" s="1848"/>
      <c r="D113" s="1849"/>
      <c r="E113" s="1849"/>
      <c r="F113" s="1853"/>
      <c r="G113" s="1848"/>
      <c r="H113" s="1848"/>
      <c r="I113" s="1848"/>
      <c r="J113" s="1848"/>
      <c r="K113" s="1848"/>
      <c r="L113" s="1848"/>
      <c r="M113" s="1848"/>
      <c r="N113" s="1848"/>
      <c r="O113" s="1850"/>
    </row>
    <row r="114" spans="1:15" s="321" customFormat="1" ht="33" customHeight="1" x14ac:dyDescent="0.2">
      <c r="A114" s="1851"/>
      <c r="B114" s="1852" t="s">
        <v>1585</v>
      </c>
      <c r="C114" s="1848"/>
      <c r="D114" s="1849"/>
      <c r="E114" s="1849"/>
      <c r="F114" s="1853">
        <v>130</v>
      </c>
      <c r="G114" s="1848"/>
      <c r="H114" s="1848"/>
      <c r="I114" s="1848"/>
      <c r="J114" s="1848"/>
      <c r="K114" s="1848"/>
      <c r="L114" s="1848"/>
      <c r="M114" s="1848"/>
      <c r="N114" s="1848"/>
      <c r="O114" s="1850"/>
    </row>
    <row r="115" spans="1:15" s="321" customFormat="1" ht="33" customHeight="1" x14ac:dyDescent="0.2">
      <c r="A115" s="1851"/>
      <c r="B115" s="1852" t="s">
        <v>1586</v>
      </c>
      <c r="C115" s="1848"/>
      <c r="D115" s="1849"/>
      <c r="E115" s="1849"/>
      <c r="F115" s="1853">
        <v>170</v>
      </c>
      <c r="G115" s="1848"/>
      <c r="H115" s="1848"/>
      <c r="I115" s="1848"/>
      <c r="J115" s="1848"/>
      <c r="K115" s="1848"/>
      <c r="L115" s="1848"/>
      <c r="M115" s="1848"/>
      <c r="N115" s="1848"/>
      <c r="O115" s="1850"/>
    </row>
    <row r="116" spans="1:15" s="321" customFormat="1" ht="33" customHeight="1" x14ac:dyDescent="0.2">
      <c r="A116" s="1854">
        <v>6</v>
      </c>
      <c r="B116" s="1855" t="s">
        <v>1587</v>
      </c>
      <c r="C116" s="1848"/>
      <c r="D116" s="1849"/>
      <c r="E116" s="1849"/>
      <c r="F116" s="1853">
        <v>50</v>
      </c>
      <c r="G116" s="1848"/>
      <c r="H116" s="1848"/>
      <c r="I116" s="1848"/>
      <c r="J116" s="1848"/>
      <c r="K116" s="1848"/>
      <c r="L116" s="1848"/>
      <c r="M116" s="1848"/>
      <c r="N116" s="1848"/>
      <c r="O116" s="1850"/>
    </row>
    <row r="117" spans="1:15" s="322" customFormat="1" ht="31.5" customHeight="1" x14ac:dyDescent="0.2">
      <c r="A117" s="1846" t="s">
        <v>14</v>
      </c>
      <c r="B117" s="1847" t="s">
        <v>1239</v>
      </c>
      <c r="C117" s="1848">
        <f>G117</f>
        <v>1000</v>
      </c>
      <c r="D117" s="1856"/>
      <c r="E117" s="1856"/>
      <c r="F117" s="1853"/>
      <c r="G117" s="1848">
        <v>1000</v>
      </c>
      <c r="H117" s="1853"/>
      <c r="I117" s="1853"/>
      <c r="J117" s="1853"/>
      <c r="K117" s="1853"/>
      <c r="L117" s="1853"/>
      <c r="M117" s="1853"/>
      <c r="N117" s="1853"/>
      <c r="O117" s="1857"/>
    </row>
    <row r="118" spans="1:15" s="321" customFormat="1" ht="24" customHeight="1" x14ac:dyDescent="0.2">
      <c r="A118" s="1858" t="s">
        <v>15</v>
      </c>
      <c r="B118" s="1859" t="s">
        <v>105</v>
      </c>
      <c r="C118" s="1860">
        <f t="shared" ref="C118" si="13">SUM(D118:K118)+N118</f>
        <v>35828</v>
      </c>
      <c r="D118" s="1861"/>
      <c r="E118" s="1861"/>
      <c r="F118" s="1860"/>
      <c r="G118" s="1860"/>
      <c r="H118" s="1860">
        <f>'Biểu 06 DT '!G40</f>
        <v>35828</v>
      </c>
      <c r="I118" s="1848"/>
      <c r="J118" s="1848"/>
      <c r="K118" s="1848"/>
      <c r="L118" s="1848"/>
      <c r="M118" s="1848"/>
      <c r="N118" s="1848"/>
      <c r="O118" s="1850"/>
    </row>
    <row r="119" spans="1:15" s="322" customFormat="1" ht="31.5" hidden="1" customHeight="1" x14ac:dyDescent="0.2">
      <c r="A119" s="1862" t="s">
        <v>17</v>
      </c>
      <c r="B119" s="1863" t="s">
        <v>106</v>
      </c>
      <c r="C119" s="1864"/>
      <c r="D119" s="1865"/>
      <c r="E119" s="1865"/>
      <c r="F119" s="1864"/>
      <c r="G119" s="1864"/>
      <c r="H119" s="1864"/>
      <c r="I119" s="1853"/>
      <c r="J119" s="1853"/>
      <c r="K119" s="1853"/>
      <c r="L119" s="1853"/>
      <c r="M119" s="1853"/>
      <c r="N119" s="1853"/>
      <c r="O119" s="1857"/>
    </row>
    <row r="120" spans="1:15" s="322" customFormat="1" ht="35.25" hidden="1" customHeight="1" x14ac:dyDescent="0.2">
      <c r="A120" s="1846" t="s">
        <v>48</v>
      </c>
      <c r="B120" s="1847" t="s">
        <v>107</v>
      </c>
      <c r="C120" s="1853"/>
      <c r="D120" s="1856"/>
      <c r="E120" s="1856"/>
      <c r="F120" s="1853"/>
      <c r="G120" s="1853"/>
      <c r="H120" s="1853"/>
      <c r="I120" s="1853"/>
      <c r="J120" s="1853"/>
      <c r="K120" s="1853"/>
      <c r="L120" s="1853"/>
      <c r="M120" s="1853"/>
      <c r="N120" s="1853"/>
      <c r="O120" s="1857"/>
    </row>
    <row r="121" spans="1:15" s="322" customFormat="1" ht="30" hidden="1" customHeight="1" x14ac:dyDescent="0.2">
      <c r="A121" s="1846" t="s">
        <v>108</v>
      </c>
      <c r="B121" s="1847" t="s">
        <v>95</v>
      </c>
      <c r="C121" s="1853"/>
      <c r="D121" s="1856"/>
      <c r="E121" s="1856"/>
      <c r="F121" s="1853"/>
      <c r="G121" s="1853"/>
      <c r="H121" s="1853"/>
      <c r="I121" s="1853"/>
      <c r="J121" s="1853"/>
      <c r="K121" s="1853"/>
      <c r="L121" s="1853"/>
      <c r="M121" s="1853"/>
      <c r="N121" s="1853"/>
      <c r="O121" s="1857"/>
    </row>
    <row r="122" spans="1:15" x14ac:dyDescent="0.25">
      <c r="A122" s="2127"/>
      <c r="B122" s="2127"/>
      <c r="C122" s="2127"/>
      <c r="D122" s="2127"/>
      <c r="E122" s="2127"/>
      <c r="F122" s="2127"/>
      <c r="G122" s="2127"/>
      <c r="H122" s="2127"/>
      <c r="I122" s="2127"/>
      <c r="J122" s="2127"/>
      <c r="K122" s="2127"/>
      <c r="L122" s="2127"/>
      <c r="M122" s="2127"/>
      <c r="N122" s="2127"/>
    </row>
  </sheetData>
  <mergeCells count="16">
    <mergeCell ref="A1:N1"/>
    <mergeCell ref="A2:N2"/>
    <mergeCell ref="M3:N3"/>
    <mergeCell ref="A122:N122"/>
    <mergeCell ref="G4:G5"/>
    <mergeCell ref="H4:H5"/>
    <mergeCell ref="J4:J5"/>
    <mergeCell ref="K4:M4"/>
    <mergeCell ref="N4:N5"/>
    <mergeCell ref="F4:F5"/>
    <mergeCell ref="A4:A5"/>
    <mergeCell ref="B4:B5"/>
    <mergeCell ref="C4:C5"/>
    <mergeCell ref="D4:D5"/>
    <mergeCell ref="E4:E5"/>
    <mergeCell ref="I4:I5"/>
  </mergeCells>
  <pageMargins left="0.62" right="0.24" top="0.75" bottom="0.57999999999999996" header="0.3" footer="0.3"/>
  <pageSetup paperSize="9" firstPageNumber="52" orientation="portrait" useFirstPageNumber="1" r:id="rId1"/>
  <headerFooter>
    <oddHeader>&amp;RBiểu mẫu số 35</oddHeader>
    <oddFooter>&amp;C&amp;P</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U57"/>
  <sheetViews>
    <sheetView workbookViewId="0">
      <pane xSplit="2" ySplit="7" topLeftCell="C8" activePane="bottomRight" state="frozen"/>
      <selection activeCell="B45" sqref="B45"/>
      <selection pane="topRight" activeCell="B45" sqref="B45"/>
      <selection pane="bottomLeft" activeCell="B45" sqref="B45"/>
      <selection pane="bottomRight" activeCell="H53" sqref="H53"/>
    </sheetView>
  </sheetViews>
  <sheetFormatPr defaultColWidth="9" defaultRowHeight="12.75" x14ac:dyDescent="0.2"/>
  <cols>
    <col min="1" max="1" width="4.25" style="461" customWidth="1"/>
    <col min="2" max="2" width="28.25" style="460" customWidth="1"/>
    <col min="3" max="3" width="7.375" style="460" customWidth="1"/>
    <col min="4" max="4" width="7" style="460" customWidth="1"/>
    <col min="5" max="5" width="5.875" style="460" customWidth="1"/>
    <col min="6" max="6" width="5.125" style="460" customWidth="1"/>
    <col min="7" max="7" width="6.875" style="460" customWidth="1"/>
    <col min="8" max="8" width="5.875" style="460" customWidth="1"/>
    <col min="9" max="9" width="5.125" style="460" customWidth="1"/>
    <col min="10" max="10" width="5.875" style="460" customWidth="1"/>
    <col min="11" max="12" width="5.625" style="460" customWidth="1"/>
    <col min="13" max="13" width="7.375" style="460" customWidth="1"/>
    <col min="14" max="14" width="6.5" style="460" customWidth="1"/>
    <col min="15" max="15" width="6.875" style="460" customWidth="1"/>
    <col min="16" max="16" width="6.5" style="460" customWidth="1"/>
    <col min="17" max="17" width="6.75" style="460" customWidth="1"/>
    <col min="18" max="18" width="6.5" style="460" customWidth="1"/>
    <col min="19" max="19" width="9.25" style="460" customWidth="1"/>
    <col min="20" max="20" width="9" style="460" customWidth="1"/>
    <col min="21" max="16384" width="9" style="460"/>
  </cols>
  <sheetData>
    <row r="1" spans="1:19" ht="30.75" customHeight="1" x14ac:dyDescent="0.2">
      <c r="A1" s="2061" t="s">
        <v>1593</v>
      </c>
      <c r="B1" s="2061"/>
      <c r="C1" s="2061"/>
      <c r="D1" s="2061"/>
      <c r="E1" s="2061"/>
      <c r="F1" s="2061"/>
      <c r="G1" s="2061"/>
      <c r="H1" s="2061"/>
      <c r="I1" s="2061"/>
      <c r="J1" s="2061"/>
      <c r="K1" s="2061"/>
      <c r="L1" s="2061"/>
      <c r="M1" s="2061"/>
      <c r="N1" s="2061"/>
      <c r="O1" s="2061"/>
      <c r="P1" s="2061"/>
      <c r="Q1" s="2061"/>
      <c r="R1" s="2061"/>
    </row>
    <row r="2" spans="1:19" ht="20.25" customHeight="1" x14ac:dyDescent="0.2">
      <c r="A2" s="2131" t="s">
        <v>1594</v>
      </c>
      <c r="B2" s="2132"/>
      <c r="C2" s="2132"/>
      <c r="D2" s="2132"/>
      <c r="E2" s="2132"/>
      <c r="F2" s="2132"/>
      <c r="G2" s="2132"/>
      <c r="H2" s="2132"/>
      <c r="I2" s="2132"/>
      <c r="J2" s="2132"/>
      <c r="K2" s="2132"/>
      <c r="L2" s="2132"/>
      <c r="M2" s="2132"/>
      <c r="N2" s="2132"/>
      <c r="O2" s="2132"/>
      <c r="P2" s="2132"/>
      <c r="Q2" s="2132"/>
      <c r="R2" s="2132"/>
    </row>
    <row r="3" spans="1:19" ht="20.25" customHeight="1" x14ac:dyDescent="0.2">
      <c r="A3" s="2134" t="e">
        <f>'Biểu 35'!A2:N2</f>
        <v>#REF!</v>
      </c>
      <c r="B3" s="2134"/>
      <c r="C3" s="2134"/>
      <c r="D3" s="2134"/>
      <c r="E3" s="2134"/>
      <c r="F3" s="2134"/>
      <c r="G3" s="2134"/>
      <c r="H3" s="2134"/>
      <c r="I3" s="2134"/>
      <c r="J3" s="2134"/>
      <c r="K3" s="2134"/>
      <c r="L3" s="2134"/>
      <c r="M3" s="2134"/>
      <c r="N3" s="2134"/>
      <c r="O3" s="2134"/>
      <c r="P3" s="2134"/>
      <c r="Q3" s="2134"/>
      <c r="R3" s="2134"/>
    </row>
    <row r="4" spans="1:19" ht="15.75" x14ac:dyDescent="0.2">
      <c r="R4" s="462" t="s">
        <v>6</v>
      </c>
    </row>
    <row r="5" spans="1:19" ht="22.5" customHeight="1" x14ac:dyDescent="0.2">
      <c r="A5" s="2051" t="s">
        <v>0</v>
      </c>
      <c r="B5" s="2051" t="s">
        <v>63</v>
      </c>
      <c r="C5" s="2051" t="s">
        <v>61</v>
      </c>
      <c r="D5" s="2051" t="s">
        <v>28</v>
      </c>
      <c r="E5" s="2051" t="s">
        <v>29</v>
      </c>
      <c r="F5" s="2051" t="s">
        <v>75</v>
      </c>
      <c r="G5" s="2051" t="s">
        <v>77</v>
      </c>
      <c r="H5" s="2051" t="s">
        <v>78</v>
      </c>
      <c r="I5" s="2051" t="s">
        <v>79</v>
      </c>
      <c r="J5" s="1756"/>
      <c r="K5" s="2058" t="s">
        <v>1396</v>
      </c>
      <c r="L5" s="2051" t="s">
        <v>81</v>
      </c>
      <c r="M5" s="2051" t="s">
        <v>82</v>
      </c>
      <c r="N5" s="2054" t="s">
        <v>96</v>
      </c>
      <c r="O5" s="2055"/>
      <c r="P5" s="2056"/>
      <c r="Q5" s="2133" t="s">
        <v>83</v>
      </c>
      <c r="R5" s="2051" t="s">
        <v>85</v>
      </c>
    </row>
    <row r="6" spans="1:19" ht="98.25" customHeight="1" x14ac:dyDescent="0.2">
      <c r="A6" s="2051"/>
      <c r="B6" s="2051"/>
      <c r="C6" s="2051"/>
      <c r="D6" s="2051"/>
      <c r="E6" s="2051"/>
      <c r="F6" s="2051"/>
      <c r="G6" s="2051"/>
      <c r="H6" s="2051"/>
      <c r="I6" s="2051"/>
      <c r="J6" s="1757" t="s">
        <v>80</v>
      </c>
      <c r="K6" s="2059"/>
      <c r="L6" s="2051"/>
      <c r="M6" s="2051"/>
      <c r="N6" s="1755" t="s">
        <v>97</v>
      </c>
      <c r="O6" s="1869" t="s">
        <v>98</v>
      </c>
      <c r="P6" s="1755" t="s">
        <v>1595</v>
      </c>
      <c r="Q6" s="2133"/>
      <c r="R6" s="2051"/>
    </row>
    <row r="7" spans="1:19" x14ac:dyDescent="0.2">
      <c r="A7" s="1168" t="s">
        <v>2</v>
      </c>
      <c r="B7" s="1168" t="s">
        <v>3</v>
      </c>
      <c r="C7" s="1168">
        <v>1</v>
      </c>
      <c r="D7" s="1168">
        <v>2</v>
      </c>
      <c r="E7" s="1168">
        <v>3</v>
      </c>
      <c r="F7" s="1168">
        <v>4</v>
      </c>
      <c r="G7" s="1168">
        <v>4</v>
      </c>
      <c r="H7" s="1168">
        <v>5</v>
      </c>
      <c r="I7" s="1168">
        <v>7</v>
      </c>
      <c r="J7" s="1168">
        <v>6</v>
      </c>
      <c r="K7" s="1168">
        <v>7</v>
      </c>
      <c r="L7" s="1168">
        <v>8</v>
      </c>
      <c r="M7" s="1168">
        <v>9</v>
      </c>
      <c r="N7" s="1168">
        <v>10</v>
      </c>
      <c r="O7" s="1168">
        <v>11</v>
      </c>
      <c r="P7" s="1168">
        <v>12</v>
      </c>
      <c r="Q7" s="1168">
        <v>13</v>
      </c>
      <c r="R7" s="1168">
        <v>14</v>
      </c>
    </row>
    <row r="8" spans="1:19" s="467" customFormat="1" ht="18.75" customHeight="1" x14ac:dyDescent="0.2">
      <c r="A8" s="463"/>
      <c r="B8" s="464" t="s">
        <v>89</v>
      </c>
      <c r="C8" s="465">
        <f>C9+C45+C47+C55</f>
        <v>363613</v>
      </c>
      <c r="D8" s="465">
        <f t="shared" ref="D8:Q8" si="0">D9+D45+D47</f>
        <v>74461</v>
      </c>
      <c r="E8" s="465">
        <f t="shared" si="0"/>
        <v>7000</v>
      </c>
      <c r="F8" s="465">
        <f t="shared" si="0"/>
        <v>165</v>
      </c>
      <c r="G8" s="465">
        <f t="shared" si="0"/>
        <v>18383</v>
      </c>
      <c r="H8" s="465">
        <f t="shared" si="0"/>
        <v>2106</v>
      </c>
      <c r="I8" s="465">
        <f t="shared" si="0"/>
        <v>196</v>
      </c>
      <c r="J8" s="465">
        <f t="shared" si="0"/>
        <v>4224</v>
      </c>
      <c r="K8" s="465">
        <f t="shared" si="0"/>
        <v>3403</v>
      </c>
      <c r="L8" s="465">
        <f t="shared" si="0"/>
        <v>2418</v>
      </c>
      <c r="M8" s="465">
        <f t="shared" si="0"/>
        <v>204211</v>
      </c>
      <c r="N8" s="465">
        <f t="shared" si="0"/>
        <v>89384</v>
      </c>
      <c r="O8" s="465">
        <f t="shared" si="0"/>
        <v>55310</v>
      </c>
      <c r="P8" s="465">
        <f t="shared" si="0"/>
        <v>59517</v>
      </c>
      <c r="Q8" s="465">
        <f t="shared" si="0"/>
        <v>16246</v>
      </c>
      <c r="R8" s="465">
        <f>R9+R45+R47+R55</f>
        <v>30800</v>
      </c>
      <c r="S8" s="466"/>
    </row>
    <row r="9" spans="1:19" s="467" customFormat="1" ht="15.75" customHeight="1" x14ac:dyDescent="0.2">
      <c r="A9" s="468" t="s">
        <v>2</v>
      </c>
      <c r="B9" s="469" t="s">
        <v>1047</v>
      </c>
      <c r="C9" s="470">
        <f t="shared" ref="C9:R9" si="1">SUM(C10:C44)</f>
        <v>304367</v>
      </c>
      <c r="D9" s="470">
        <f t="shared" si="1"/>
        <v>74461</v>
      </c>
      <c r="E9" s="470">
        <f t="shared" si="1"/>
        <v>5774</v>
      </c>
      <c r="F9" s="470">
        <f t="shared" si="1"/>
        <v>165</v>
      </c>
      <c r="G9" s="470">
        <f t="shared" si="1"/>
        <v>18383</v>
      </c>
      <c r="H9" s="470">
        <f t="shared" si="1"/>
        <v>2106</v>
      </c>
      <c r="I9" s="470">
        <f t="shared" si="1"/>
        <v>196</v>
      </c>
      <c r="J9" s="470">
        <f t="shared" si="1"/>
        <v>4224</v>
      </c>
      <c r="K9" s="470">
        <f t="shared" si="1"/>
        <v>3403</v>
      </c>
      <c r="L9" s="470">
        <f t="shared" si="1"/>
        <v>2418</v>
      </c>
      <c r="M9" s="470">
        <f t="shared" si="1"/>
        <v>154211</v>
      </c>
      <c r="N9" s="470">
        <f t="shared" si="1"/>
        <v>74783</v>
      </c>
      <c r="O9" s="470">
        <f t="shared" si="1"/>
        <v>45834</v>
      </c>
      <c r="P9" s="470">
        <f t="shared" si="1"/>
        <v>33594</v>
      </c>
      <c r="Q9" s="470">
        <f t="shared" si="1"/>
        <v>16226</v>
      </c>
      <c r="R9" s="470">
        <f t="shared" si="1"/>
        <v>22800</v>
      </c>
    </row>
    <row r="10" spans="1:19" x14ac:dyDescent="0.2">
      <c r="A10" s="471">
        <v>1</v>
      </c>
      <c r="B10" s="472" t="s">
        <v>161</v>
      </c>
      <c r="C10" s="473">
        <f>SUM(D10:M10,Q10:R10)</f>
        <v>3132</v>
      </c>
      <c r="D10" s="473"/>
      <c r="E10" s="473"/>
      <c r="F10" s="473"/>
      <c r="G10" s="473"/>
      <c r="H10" s="473"/>
      <c r="I10" s="473"/>
      <c r="J10" s="473"/>
      <c r="K10" s="473"/>
      <c r="L10" s="473"/>
      <c r="M10" s="473">
        <f>SUM(N10:P10)</f>
        <v>3132</v>
      </c>
      <c r="N10" s="473"/>
      <c r="O10" s="473"/>
      <c r="P10" s="473">
        <v>3132</v>
      </c>
      <c r="Q10" s="473"/>
      <c r="R10" s="473"/>
    </row>
    <row r="11" spans="1:19" x14ac:dyDescent="0.2">
      <c r="A11" s="471">
        <v>2</v>
      </c>
      <c r="B11" s="472" t="s">
        <v>164</v>
      </c>
      <c r="C11" s="473">
        <f t="shared" ref="C11:C54" si="2">SUM(D11:M11,Q11:R11)</f>
        <v>11029</v>
      </c>
      <c r="D11" s="473"/>
      <c r="E11" s="473"/>
      <c r="F11" s="473"/>
      <c r="G11" s="473"/>
      <c r="H11" s="473"/>
      <c r="I11" s="473"/>
      <c r="J11" s="473"/>
      <c r="K11" s="473"/>
      <c r="L11" s="473"/>
      <c r="M11" s="473">
        <f t="shared" ref="M11:M54" si="3">SUM(N11:P11)</f>
        <v>11029</v>
      </c>
      <c r="N11" s="473">
        <v>11029</v>
      </c>
      <c r="O11" s="473"/>
      <c r="P11" s="473"/>
      <c r="Q11" s="473"/>
      <c r="R11" s="473"/>
    </row>
    <row r="12" spans="1:19" x14ac:dyDescent="0.2">
      <c r="A12" s="471">
        <v>3</v>
      </c>
      <c r="B12" s="472" t="s">
        <v>1398</v>
      </c>
      <c r="C12" s="473">
        <f t="shared" si="2"/>
        <v>36475</v>
      </c>
      <c r="D12" s="473"/>
      <c r="E12" s="473"/>
      <c r="F12" s="473"/>
      <c r="G12" s="473"/>
      <c r="H12" s="473"/>
      <c r="I12" s="473"/>
      <c r="J12" s="473"/>
      <c r="K12" s="473"/>
      <c r="L12" s="473"/>
      <c r="M12" s="473">
        <f t="shared" si="3"/>
        <v>36475</v>
      </c>
      <c r="N12" s="473">
        <v>36475</v>
      </c>
      <c r="O12" s="473"/>
      <c r="P12" s="473"/>
      <c r="Q12" s="473"/>
      <c r="R12" s="473"/>
    </row>
    <row r="13" spans="1:19" x14ac:dyDescent="0.2">
      <c r="A13" s="471">
        <v>4</v>
      </c>
      <c r="B13" s="472" t="s">
        <v>2411</v>
      </c>
      <c r="C13" s="473">
        <f t="shared" si="2"/>
        <v>500</v>
      </c>
      <c r="D13" s="473"/>
      <c r="E13" s="473">
        <v>500</v>
      </c>
      <c r="F13" s="473"/>
      <c r="G13" s="473"/>
      <c r="H13" s="473"/>
      <c r="I13" s="473"/>
      <c r="J13" s="473"/>
      <c r="K13" s="473"/>
      <c r="L13" s="473"/>
      <c r="M13" s="473">
        <f t="shared" si="3"/>
        <v>0</v>
      </c>
      <c r="N13" s="473"/>
      <c r="O13" s="473"/>
      <c r="P13" s="473"/>
      <c r="Q13" s="473"/>
      <c r="R13" s="473"/>
    </row>
    <row r="14" spans="1:19" x14ac:dyDescent="0.2">
      <c r="A14" s="471">
        <v>5</v>
      </c>
      <c r="B14" s="472" t="s">
        <v>165</v>
      </c>
      <c r="C14" s="473">
        <f t="shared" si="2"/>
        <v>11135</v>
      </c>
      <c r="D14" s="473"/>
      <c r="E14" s="473"/>
      <c r="F14" s="473"/>
      <c r="G14" s="473"/>
      <c r="H14" s="473"/>
      <c r="I14" s="473"/>
      <c r="J14" s="473"/>
      <c r="K14" s="473"/>
      <c r="L14" s="473"/>
      <c r="M14" s="473">
        <f t="shared" si="3"/>
        <v>11135</v>
      </c>
      <c r="N14" s="473"/>
      <c r="O14" s="473">
        <v>11135</v>
      </c>
      <c r="P14" s="473"/>
      <c r="Q14" s="473"/>
      <c r="R14" s="473"/>
    </row>
    <row r="15" spans="1:19" x14ac:dyDescent="0.2">
      <c r="A15" s="471">
        <v>6</v>
      </c>
      <c r="B15" s="472" t="s">
        <v>169</v>
      </c>
      <c r="C15" s="473">
        <f t="shared" si="2"/>
        <v>4634</v>
      </c>
      <c r="D15" s="473"/>
      <c r="E15" s="473">
        <v>4634</v>
      </c>
      <c r="F15" s="473"/>
      <c r="G15" s="473"/>
      <c r="H15" s="473"/>
      <c r="I15" s="473"/>
      <c r="J15" s="473"/>
      <c r="K15" s="473"/>
      <c r="L15" s="473"/>
      <c r="M15" s="473">
        <f t="shared" si="3"/>
        <v>0</v>
      </c>
      <c r="N15" s="473"/>
      <c r="O15" s="473"/>
      <c r="P15" s="473"/>
      <c r="Q15" s="473"/>
      <c r="R15" s="473"/>
    </row>
    <row r="16" spans="1:19" x14ac:dyDescent="0.2">
      <c r="A16" s="471">
        <v>7</v>
      </c>
      <c r="B16" s="472" t="s">
        <v>170</v>
      </c>
      <c r="C16" s="473">
        <f t="shared" si="2"/>
        <v>4022</v>
      </c>
      <c r="D16" s="473"/>
      <c r="E16" s="473"/>
      <c r="F16" s="473"/>
      <c r="G16" s="473"/>
      <c r="H16" s="473"/>
      <c r="I16" s="473"/>
      <c r="J16" s="473"/>
      <c r="K16" s="473"/>
      <c r="L16" s="473"/>
      <c r="M16" s="473">
        <f t="shared" si="3"/>
        <v>4022</v>
      </c>
      <c r="N16" s="473"/>
      <c r="O16" s="473">
        <v>4022</v>
      </c>
      <c r="P16" s="473"/>
      <c r="Q16" s="473"/>
      <c r="R16" s="473"/>
    </row>
    <row r="17" spans="1:18" x14ac:dyDescent="0.2">
      <c r="A17" s="471">
        <v>8</v>
      </c>
      <c r="B17" s="472" t="s">
        <v>172</v>
      </c>
      <c r="C17" s="473">
        <f t="shared" si="2"/>
        <v>1260</v>
      </c>
      <c r="D17" s="473"/>
      <c r="E17" s="473"/>
      <c r="F17" s="473"/>
      <c r="G17" s="473"/>
      <c r="H17" s="473"/>
      <c r="I17" s="473"/>
      <c r="J17" s="473"/>
      <c r="K17" s="473"/>
      <c r="L17" s="473">
        <v>1260</v>
      </c>
      <c r="M17" s="473">
        <f t="shared" si="3"/>
        <v>0</v>
      </c>
      <c r="N17" s="473"/>
      <c r="O17" s="473"/>
      <c r="P17" s="473"/>
      <c r="Q17" s="473"/>
      <c r="R17" s="473"/>
    </row>
    <row r="18" spans="1:18" x14ac:dyDescent="0.2">
      <c r="A18" s="471">
        <v>9</v>
      </c>
      <c r="B18" s="472" t="s">
        <v>173</v>
      </c>
      <c r="C18" s="473">
        <f t="shared" si="2"/>
        <v>2783</v>
      </c>
      <c r="D18" s="473">
        <v>2783</v>
      </c>
      <c r="E18" s="473"/>
      <c r="F18" s="473"/>
      <c r="G18" s="473"/>
      <c r="H18" s="473"/>
      <c r="I18" s="473"/>
      <c r="J18" s="473"/>
      <c r="K18" s="473"/>
      <c r="L18" s="473"/>
      <c r="M18" s="473">
        <f t="shared" si="3"/>
        <v>0</v>
      </c>
      <c r="N18" s="473"/>
      <c r="O18" s="473"/>
      <c r="P18" s="473"/>
      <c r="Q18" s="473"/>
      <c r="R18" s="473"/>
    </row>
    <row r="19" spans="1:18" x14ac:dyDescent="0.2">
      <c r="A19" s="471">
        <v>10</v>
      </c>
      <c r="B19" s="472" t="s">
        <v>178</v>
      </c>
      <c r="C19" s="473">
        <f t="shared" si="2"/>
        <v>12</v>
      </c>
      <c r="D19" s="473"/>
      <c r="E19" s="473"/>
      <c r="F19" s="473"/>
      <c r="G19" s="473"/>
      <c r="H19" s="473"/>
      <c r="I19" s="473"/>
      <c r="J19" s="473"/>
      <c r="K19" s="473"/>
      <c r="L19" s="473"/>
      <c r="M19" s="473">
        <f t="shared" si="3"/>
        <v>12</v>
      </c>
      <c r="N19" s="473">
        <v>12</v>
      </c>
      <c r="O19" s="473"/>
      <c r="P19" s="473"/>
      <c r="Q19" s="473"/>
      <c r="R19" s="473"/>
    </row>
    <row r="20" spans="1:18" x14ac:dyDescent="0.2">
      <c r="A20" s="471">
        <v>11</v>
      </c>
      <c r="B20" s="512" t="s">
        <v>1042</v>
      </c>
      <c r="C20" s="473">
        <f t="shared" si="2"/>
        <v>2950</v>
      </c>
      <c r="D20" s="473">
        <v>2950</v>
      </c>
      <c r="E20" s="473"/>
      <c r="F20" s="473"/>
      <c r="G20" s="473"/>
      <c r="H20" s="473"/>
      <c r="I20" s="473"/>
      <c r="J20" s="473"/>
      <c r="K20" s="473"/>
      <c r="L20" s="473"/>
      <c r="M20" s="473">
        <f t="shared" si="3"/>
        <v>0</v>
      </c>
      <c r="N20" s="473"/>
      <c r="O20" s="473"/>
      <c r="P20" s="473"/>
      <c r="Q20" s="473"/>
      <c r="R20" s="473"/>
    </row>
    <row r="21" spans="1:18" ht="15" customHeight="1" x14ac:dyDescent="0.2">
      <c r="A21" s="471">
        <v>12</v>
      </c>
      <c r="B21" s="338" t="s">
        <v>177</v>
      </c>
      <c r="C21" s="473">
        <f t="shared" si="2"/>
        <v>196</v>
      </c>
      <c r="D21" s="473"/>
      <c r="E21" s="473"/>
      <c r="F21" s="473"/>
      <c r="G21" s="473"/>
      <c r="H21" s="473"/>
      <c r="I21" s="473">
        <v>196</v>
      </c>
      <c r="J21" s="473"/>
      <c r="K21" s="473"/>
      <c r="L21" s="473"/>
      <c r="M21" s="473"/>
      <c r="N21" s="473"/>
      <c r="O21" s="473"/>
      <c r="P21" s="473"/>
      <c r="Q21" s="473"/>
      <c r="R21" s="473"/>
    </row>
    <row r="22" spans="1:18" x14ac:dyDescent="0.2">
      <c r="A22" s="471">
        <v>13</v>
      </c>
      <c r="B22" s="337" t="s">
        <v>419</v>
      </c>
      <c r="C22" s="473">
        <f t="shared" si="2"/>
        <v>45072</v>
      </c>
      <c r="D22" s="473">
        <v>14547</v>
      </c>
      <c r="E22" s="473"/>
      <c r="F22" s="473"/>
      <c r="G22" s="473">
        <v>8280</v>
      </c>
      <c r="H22" s="473"/>
      <c r="I22" s="473"/>
      <c r="J22" s="473">
        <v>4224</v>
      </c>
      <c r="K22" s="473">
        <v>3403</v>
      </c>
      <c r="L22" s="473"/>
      <c r="M22" s="473">
        <f t="shared" si="3"/>
        <v>9384</v>
      </c>
      <c r="N22" s="473">
        <v>3901</v>
      </c>
      <c r="O22" s="473">
        <v>2138</v>
      </c>
      <c r="P22" s="473">
        <v>3345</v>
      </c>
      <c r="Q22" s="473">
        <v>5234</v>
      </c>
      <c r="R22" s="473"/>
    </row>
    <row r="23" spans="1:18" ht="16.5" customHeight="1" x14ac:dyDescent="0.2">
      <c r="A23" s="471">
        <v>14</v>
      </c>
      <c r="B23" s="337" t="s">
        <v>1041</v>
      </c>
      <c r="C23" s="473">
        <f t="shared" si="2"/>
        <v>1040</v>
      </c>
      <c r="D23" s="473"/>
      <c r="E23" s="473"/>
      <c r="F23" s="473"/>
      <c r="G23" s="473">
        <v>1040</v>
      </c>
      <c r="H23" s="473"/>
      <c r="I23" s="473"/>
      <c r="J23" s="473"/>
      <c r="K23" s="473"/>
      <c r="L23" s="473"/>
      <c r="M23" s="473">
        <f t="shared" si="3"/>
        <v>0</v>
      </c>
      <c r="N23" s="473"/>
      <c r="O23" s="473"/>
      <c r="P23" s="473"/>
      <c r="Q23" s="473"/>
      <c r="R23" s="473"/>
    </row>
    <row r="24" spans="1:18" x14ac:dyDescent="0.2">
      <c r="A24" s="471">
        <v>15</v>
      </c>
      <c r="B24" s="337" t="s">
        <v>420</v>
      </c>
      <c r="C24" s="473">
        <f t="shared" si="2"/>
        <v>16347</v>
      </c>
      <c r="D24" s="473">
        <v>8084</v>
      </c>
      <c r="E24" s="473"/>
      <c r="F24" s="473"/>
      <c r="G24" s="473"/>
      <c r="H24" s="473">
        <v>100</v>
      </c>
      <c r="I24" s="473"/>
      <c r="J24" s="473"/>
      <c r="K24" s="473"/>
      <c r="L24" s="473"/>
      <c r="M24" s="473">
        <f t="shared" si="3"/>
        <v>4548</v>
      </c>
      <c r="N24" s="473">
        <v>1099</v>
      </c>
      <c r="O24" s="473"/>
      <c r="P24" s="473">
        <v>3449</v>
      </c>
      <c r="Q24" s="473">
        <v>3615</v>
      </c>
      <c r="R24" s="473"/>
    </row>
    <row r="25" spans="1:18" x14ac:dyDescent="0.2">
      <c r="A25" s="471">
        <v>16</v>
      </c>
      <c r="B25" s="337" t="s">
        <v>421</v>
      </c>
      <c r="C25" s="473">
        <f t="shared" si="2"/>
        <v>9135</v>
      </c>
      <c r="D25" s="473">
        <v>3298</v>
      </c>
      <c r="E25" s="473"/>
      <c r="F25" s="473"/>
      <c r="G25" s="473">
        <v>539</v>
      </c>
      <c r="H25" s="473">
        <v>100</v>
      </c>
      <c r="I25" s="473"/>
      <c r="J25" s="473"/>
      <c r="K25" s="473"/>
      <c r="L25" s="473"/>
      <c r="M25" s="473">
        <f t="shared" si="3"/>
        <v>5042</v>
      </c>
      <c r="N25" s="473"/>
      <c r="O25" s="473">
        <v>5042</v>
      </c>
      <c r="P25" s="473"/>
      <c r="Q25" s="473">
        <v>156</v>
      </c>
      <c r="R25" s="473"/>
    </row>
    <row r="26" spans="1:18" x14ac:dyDescent="0.2">
      <c r="A26" s="471">
        <v>17</v>
      </c>
      <c r="B26" s="337" t="s">
        <v>422</v>
      </c>
      <c r="C26" s="473">
        <f t="shared" si="2"/>
        <v>5921</v>
      </c>
      <c r="D26" s="473">
        <v>5798</v>
      </c>
      <c r="E26" s="473"/>
      <c r="F26" s="473"/>
      <c r="G26" s="473"/>
      <c r="H26" s="473"/>
      <c r="I26" s="473"/>
      <c r="J26" s="473"/>
      <c r="K26" s="473"/>
      <c r="L26" s="473"/>
      <c r="M26" s="473">
        <f t="shared" si="3"/>
        <v>123</v>
      </c>
      <c r="N26" s="473"/>
      <c r="O26" s="473"/>
      <c r="P26" s="473">
        <v>123</v>
      </c>
      <c r="Q26" s="473"/>
      <c r="R26" s="473"/>
    </row>
    <row r="27" spans="1:18" x14ac:dyDescent="0.2">
      <c r="A27" s="471">
        <v>18</v>
      </c>
      <c r="B27" s="337" t="s">
        <v>424</v>
      </c>
      <c r="C27" s="473">
        <f t="shared" si="2"/>
        <v>5648</v>
      </c>
      <c r="D27" s="473">
        <v>4958</v>
      </c>
      <c r="E27" s="473"/>
      <c r="F27" s="473"/>
      <c r="G27" s="473"/>
      <c r="H27" s="473">
        <v>356</v>
      </c>
      <c r="I27" s="473"/>
      <c r="J27" s="473"/>
      <c r="K27" s="473"/>
      <c r="L27" s="473"/>
      <c r="M27" s="473">
        <f t="shared" si="3"/>
        <v>334</v>
      </c>
      <c r="N27" s="473"/>
      <c r="O27" s="473">
        <v>105</v>
      </c>
      <c r="P27" s="473">
        <v>229</v>
      </c>
      <c r="Q27" s="473"/>
      <c r="R27" s="473"/>
    </row>
    <row r="28" spans="1:18" x14ac:dyDescent="0.2">
      <c r="A28" s="471">
        <v>19</v>
      </c>
      <c r="B28" s="337" t="s">
        <v>423</v>
      </c>
      <c r="C28" s="473">
        <f t="shared" si="2"/>
        <v>8254</v>
      </c>
      <c r="D28" s="473">
        <v>7114</v>
      </c>
      <c r="E28" s="473"/>
      <c r="F28" s="473"/>
      <c r="G28" s="473"/>
      <c r="H28" s="473"/>
      <c r="I28" s="473"/>
      <c r="J28" s="473"/>
      <c r="K28" s="473"/>
      <c r="L28" s="473"/>
      <c r="M28" s="473">
        <f t="shared" si="3"/>
        <v>1140</v>
      </c>
      <c r="N28" s="473">
        <v>1140</v>
      </c>
      <c r="O28" s="473"/>
      <c r="P28" s="473"/>
      <c r="Q28" s="473"/>
      <c r="R28" s="473"/>
    </row>
    <row r="29" spans="1:18" x14ac:dyDescent="0.2">
      <c r="A29" s="471">
        <v>20</v>
      </c>
      <c r="B29" s="337" t="s">
        <v>425</v>
      </c>
      <c r="C29" s="473">
        <f t="shared" si="2"/>
        <v>14672</v>
      </c>
      <c r="D29" s="473">
        <v>3521</v>
      </c>
      <c r="E29" s="473"/>
      <c r="F29" s="473"/>
      <c r="G29" s="473"/>
      <c r="H29" s="473">
        <v>1550</v>
      </c>
      <c r="I29" s="473"/>
      <c r="J29" s="473"/>
      <c r="K29" s="473"/>
      <c r="L29" s="473"/>
      <c r="M29" s="473">
        <f t="shared" si="3"/>
        <v>9601</v>
      </c>
      <c r="N29" s="473">
        <v>1325</v>
      </c>
      <c r="O29" s="473"/>
      <c r="P29" s="473">
        <v>8276</v>
      </c>
      <c r="Q29" s="473"/>
      <c r="R29" s="473"/>
    </row>
    <row r="30" spans="1:18" x14ac:dyDescent="0.2">
      <c r="A30" s="471">
        <v>21</v>
      </c>
      <c r="B30" s="337" t="s">
        <v>426</v>
      </c>
      <c r="C30" s="473">
        <f t="shared" si="2"/>
        <v>21516</v>
      </c>
      <c r="D30" s="473">
        <v>7502</v>
      </c>
      <c r="E30" s="473"/>
      <c r="F30" s="473"/>
      <c r="G30" s="473">
        <v>8524</v>
      </c>
      <c r="H30" s="473"/>
      <c r="I30" s="473"/>
      <c r="J30" s="473"/>
      <c r="K30" s="473"/>
      <c r="L30" s="473"/>
      <c r="M30" s="473">
        <f t="shared" si="3"/>
        <v>5321</v>
      </c>
      <c r="N30" s="473"/>
      <c r="O30" s="473">
        <v>5321</v>
      </c>
      <c r="P30" s="473"/>
      <c r="Q30" s="473">
        <v>169</v>
      </c>
      <c r="R30" s="473"/>
    </row>
    <row r="31" spans="1:18" x14ac:dyDescent="0.2">
      <c r="A31" s="471">
        <v>22</v>
      </c>
      <c r="B31" s="337" t="s">
        <v>427</v>
      </c>
      <c r="C31" s="473">
        <f t="shared" si="2"/>
        <v>40858</v>
      </c>
      <c r="D31" s="473">
        <v>13906</v>
      </c>
      <c r="E31" s="473">
        <v>640</v>
      </c>
      <c r="F31" s="473"/>
      <c r="G31" s="473"/>
      <c r="H31" s="473"/>
      <c r="I31" s="473"/>
      <c r="J31" s="473"/>
      <c r="K31" s="473"/>
      <c r="L31" s="473">
        <v>1158</v>
      </c>
      <c r="M31" s="473">
        <f t="shared" si="3"/>
        <v>19802</v>
      </c>
      <c r="N31" s="473">
        <v>19802</v>
      </c>
      <c r="O31" s="473"/>
      <c r="P31" s="473"/>
      <c r="Q31" s="473">
        <v>5352</v>
      </c>
      <c r="R31" s="473"/>
    </row>
    <row r="32" spans="1:18" x14ac:dyDescent="0.2">
      <c r="A32" s="471">
        <v>23</v>
      </c>
      <c r="B32" s="337" t="s">
        <v>1596</v>
      </c>
      <c r="C32" s="473">
        <f t="shared" si="2"/>
        <v>220</v>
      </c>
      <c r="D32" s="473"/>
      <c r="E32" s="473"/>
      <c r="F32" s="473"/>
      <c r="G32" s="473"/>
      <c r="H32" s="473"/>
      <c r="I32" s="473"/>
      <c r="J32" s="473"/>
      <c r="K32" s="473"/>
      <c r="L32" s="473"/>
      <c r="M32" s="473">
        <f t="shared" si="3"/>
        <v>220</v>
      </c>
      <c r="N32" s="473"/>
      <c r="O32" s="473">
        <v>220</v>
      </c>
      <c r="P32" s="473"/>
      <c r="Q32" s="473"/>
      <c r="R32" s="473"/>
    </row>
    <row r="33" spans="1:18" ht="25.5" x14ac:dyDescent="0.2">
      <c r="A33" s="471">
        <v>24</v>
      </c>
      <c r="B33" s="337" t="s">
        <v>431</v>
      </c>
      <c r="C33" s="473">
        <f t="shared" si="2"/>
        <v>469</v>
      </c>
      <c r="D33" s="473"/>
      <c r="E33" s="473"/>
      <c r="F33" s="473"/>
      <c r="G33" s="473"/>
      <c r="H33" s="473"/>
      <c r="I33" s="473"/>
      <c r="J33" s="473"/>
      <c r="K33" s="473"/>
      <c r="L33" s="473"/>
      <c r="M33" s="473">
        <f t="shared" si="3"/>
        <v>469</v>
      </c>
      <c r="N33" s="473"/>
      <c r="O33" s="473">
        <v>469</v>
      </c>
      <c r="P33" s="473"/>
      <c r="Q33" s="473"/>
      <c r="R33" s="473"/>
    </row>
    <row r="34" spans="1:18" ht="25.5" x14ac:dyDescent="0.2">
      <c r="A34" s="471">
        <v>25</v>
      </c>
      <c r="B34" s="337" t="s">
        <v>989</v>
      </c>
      <c r="C34" s="473">
        <f t="shared" si="2"/>
        <v>7968</v>
      </c>
      <c r="D34" s="473"/>
      <c r="E34" s="473"/>
      <c r="F34" s="473"/>
      <c r="G34" s="473"/>
      <c r="H34" s="473"/>
      <c r="I34" s="473"/>
      <c r="J34" s="473"/>
      <c r="K34" s="473"/>
      <c r="L34" s="473"/>
      <c r="M34" s="473">
        <f t="shared" si="3"/>
        <v>7968</v>
      </c>
      <c r="N34" s="473"/>
      <c r="O34" s="473"/>
      <c r="P34" s="473">
        <v>7968</v>
      </c>
      <c r="Q34" s="473"/>
      <c r="R34" s="473"/>
    </row>
    <row r="35" spans="1:18" ht="25.5" customHeight="1" x14ac:dyDescent="0.2">
      <c r="A35" s="471">
        <v>26</v>
      </c>
      <c r="B35" s="337" t="s">
        <v>432</v>
      </c>
      <c r="C35" s="473">
        <f t="shared" si="2"/>
        <v>3656</v>
      </c>
      <c r="D35" s="473"/>
      <c r="E35" s="473"/>
      <c r="F35" s="473"/>
      <c r="G35" s="473"/>
      <c r="H35" s="473"/>
      <c r="I35" s="473"/>
      <c r="J35" s="473"/>
      <c r="K35" s="473"/>
      <c r="L35" s="473"/>
      <c r="M35" s="473">
        <f t="shared" si="3"/>
        <v>3656</v>
      </c>
      <c r="N35" s="473"/>
      <c r="O35" s="473">
        <v>3656</v>
      </c>
      <c r="P35" s="473"/>
      <c r="Q35" s="473"/>
      <c r="R35" s="473"/>
    </row>
    <row r="36" spans="1:18" ht="26.25" customHeight="1" x14ac:dyDescent="0.2">
      <c r="A36" s="471">
        <v>27</v>
      </c>
      <c r="B36" s="334" t="str">
        <f>'Biểu 35'!B10</f>
        <v>Văn phòng  Đoàn đại biểu Quốc hội, HĐND và UBND tỉnh Bắc Kạn</v>
      </c>
      <c r="C36" s="473">
        <f t="shared" si="2"/>
        <v>655</v>
      </c>
      <c r="D36" s="473"/>
      <c r="E36" s="473"/>
      <c r="F36" s="473"/>
      <c r="G36" s="473"/>
      <c r="H36" s="473"/>
      <c r="I36" s="473"/>
      <c r="J36" s="473"/>
      <c r="K36" s="473"/>
      <c r="L36" s="473"/>
      <c r="M36" s="473">
        <f t="shared" si="3"/>
        <v>0</v>
      </c>
      <c r="N36" s="473"/>
      <c r="O36" s="473"/>
      <c r="P36" s="473"/>
      <c r="Q36" s="473">
        <v>655</v>
      </c>
      <c r="R36" s="473"/>
    </row>
    <row r="37" spans="1:18" x14ac:dyDescent="0.2">
      <c r="A37" s="471">
        <v>28</v>
      </c>
      <c r="B37" s="337" t="s">
        <v>1946</v>
      </c>
      <c r="C37" s="473">
        <f t="shared" si="2"/>
        <v>165</v>
      </c>
      <c r="D37" s="473"/>
      <c r="E37" s="473"/>
      <c r="F37" s="473">
        <v>165</v>
      </c>
      <c r="G37" s="473"/>
      <c r="H37" s="473"/>
      <c r="I37" s="473"/>
      <c r="J37" s="473"/>
      <c r="K37" s="473"/>
      <c r="L37" s="473"/>
      <c r="M37" s="473"/>
      <c r="N37" s="473"/>
      <c r="O37" s="473"/>
      <c r="P37" s="473"/>
      <c r="Q37" s="473"/>
      <c r="R37" s="473"/>
    </row>
    <row r="38" spans="1:18" x14ac:dyDescent="0.2">
      <c r="A38" s="471">
        <v>29</v>
      </c>
      <c r="B38" s="337" t="s">
        <v>434</v>
      </c>
      <c r="C38" s="473">
        <f t="shared" si="2"/>
        <v>6745</v>
      </c>
      <c r="D38" s="473"/>
      <c r="E38" s="473"/>
      <c r="F38" s="473"/>
      <c r="G38" s="473"/>
      <c r="H38" s="473"/>
      <c r="I38" s="473"/>
      <c r="J38" s="473"/>
      <c r="K38" s="473"/>
      <c r="L38" s="473"/>
      <c r="M38" s="473">
        <f t="shared" si="3"/>
        <v>5700</v>
      </c>
      <c r="N38" s="473"/>
      <c r="O38" s="473">
        <v>5700</v>
      </c>
      <c r="P38" s="473"/>
      <c r="Q38" s="473">
        <v>1045</v>
      </c>
      <c r="R38" s="473"/>
    </row>
    <row r="39" spans="1:18" x14ac:dyDescent="0.2">
      <c r="A39" s="471">
        <v>30</v>
      </c>
      <c r="B39" s="337" t="s">
        <v>1603</v>
      </c>
      <c r="C39" s="473">
        <f t="shared" si="2"/>
        <v>53</v>
      </c>
      <c r="D39" s="473"/>
      <c r="E39" s="473"/>
      <c r="F39" s="473"/>
      <c r="G39" s="473"/>
      <c r="H39" s="473"/>
      <c r="I39" s="473"/>
      <c r="J39" s="473"/>
      <c r="K39" s="473"/>
      <c r="L39" s="473"/>
      <c r="M39" s="473">
        <f t="shared" si="3"/>
        <v>53</v>
      </c>
      <c r="N39" s="473"/>
      <c r="O39" s="473"/>
      <c r="P39" s="473">
        <v>53</v>
      </c>
      <c r="Q39" s="473"/>
      <c r="R39" s="473"/>
    </row>
    <row r="40" spans="1:18" ht="15.75" customHeight="1" x14ac:dyDescent="0.2">
      <c r="A40" s="471">
        <v>31</v>
      </c>
      <c r="B40" s="472" t="s">
        <v>1598</v>
      </c>
      <c r="C40" s="473">
        <f t="shared" si="2"/>
        <v>26</v>
      </c>
      <c r="D40" s="473"/>
      <c r="E40" s="473"/>
      <c r="F40" s="473"/>
      <c r="G40" s="473"/>
      <c r="H40" s="473"/>
      <c r="I40" s="473"/>
      <c r="J40" s="473"/>
      <c r="K40" s="473"/>
      <c r="L40" s="473"/>
      <c r="M40" s="473">
        <f t="shared" si="3"/>
        <v>26</v>
      </c>
      <c r="N40" s="473"/>
      <c r="O40" s="473">
        <v>26</v>
      </c>
      <c r="P40" s="473"/>
      <c r="Q40" s="473"/>
      <c r="R40" s="473"/>
    </row>
    <row r="41" spans="1:18" ht="43.5" customHeight="1" x14ac:dyDescent="0.2">
      <c r="A41" s="471">
        <v>32</v>
      </c>
      <c r="B41" s="337" t="s">
        <v>1947</v>
      </c>
      <c r="C41" s="473">
        <f t="shared" si="2"/>
        <v>7019</v>
      </c>
      <c r="D41" s="473"/>
      <c r="E41" s="473"/>
      <c r="F41" s="473"/>
      <c r="G41" s="473"/>
      <c r="H41" s="473"/>
      <c r="I41" s="473"/>
      <c r="J41" s="473"/>
      <c r="K41" s="473"/>
      <c r="L41" s="473"/>
      <c r="M41" s="473">
        <f t="shared" si="3"/>
        <v>7019</v>
      </c>
      <c r="N41" s="473"/>
      <c r="O41" s="473"/>
      <c r="P41" s="473">
        <v>7019</v>
      </c>
      <c r="Q41" s="473"/>
      <c r="R41" s="473"/>
    </row>
    <row r="42" spans="1:18" ht="42.75" customHeight="1" x14ac:dyDescent="0.2">
      <c r="A42" s="471">
        <v>33</v>
      </c>
      <c r="B42" s="337" t="s">
        <v>1599</v>
      </c>
      <c r="C42" s="473">
        <f t="shared" si="2"/>
        <v>8000</v>
      </c>
      <c r="D42" s="473"/>
      <c r="E42" s="473"/>
      <c r="F42" s="473"/>
      <c r="G42" s="473"/>
      <c r="H42" s="473"/>
      <c r="I42" s="473"/>
      <c r="J42" s="473"/>
      <c r="K42" s="473"/>
      <c r="L42" s="473"/>
      <c r="M42" s="473">
        <f t="shared" si="3"/>
        <v>8000</v>
      </c>
      <c r="N42" s="473"/>
      <c r="O42" s="473">
        <v>8000</v>
      </c>
      <c r="P42" s="473"/>
      <c r="Q42" s="473"/>
      <c r="R42" s="473"/>
    </row>
    <row r="43" spans="1:18" ht="15.75" customHeight="1" x14ac:dyDescent="0.2">
      <c r="A43" s="471">
        <v>34</v>
      </c>
      <c r="B43" s="337" t="s">
        <v>1036</v>
      </c>
      <c r="C43" s="473">
        <f t="shared" si="2"/>
        <v>7800</v>
      </c>
      <c r="D43" s="473"/>
      <c r="E43" s="473"/>
      <c r="F43" s="473"/>
      <c r="G43" s="473"/>
      <c r="H43" s="473"/>
      <c r="I43" s="473"/>
      <c r="J43" s="473"/>
      <c r="K43" s="473"/>
      <c r="L43" s="473"/>
      <c r="M43" s="473">
        <f t="shared" si="3"/>
        <v>0</v>
      </c>
      <c r="N43" s="473"/>
      <c r="O43" s="473"/>
      <c r="P43" s="473"/>
      <c r="Q43" s="473"/>
      <c r="R43" s="473">
        <v>7800</v>
      </c>
    </row>
    <row r="44" spans="1:18" ht="18" customHeight="1" x14ac:dyDescent="0.2">
      <c r="A44" s="471">
        <v>35</v>
      </c>
      <c r="B44" s="337" t="s">
        <v>1600</v>
      </c>
      <c r="C44" s="473">
        <f t="shared" si="2"/>
        <v>15000</v>
      </c>
      <c r="D44" s="473"/>
      <c r="E44" s="473"/>
      <c r="F44" s="473"/>
      <c r="G44" s="473"/>
      <c r="H44" s="473"/>
      <c r="I44" s="473"/>
      <c r="J44" s="473"/>
      <c r="K44" s="473"/>
      <c r="L44" s="473"/>
      <c r="M44" s="473">
        <f t="shared" si="3"/>
        <v>0</v>
      </c>
      <c r="N44" s="473"/>
      <c r="O44" s="473"/>
      <c r="P44" s="473"/>
      <c r="Q44" s="473"/>
      <c r="R44" s="473">
        <v>15000</v>
      </c>
    </row>
    <row r="45" spans="1:18" s="467" customFormat="1" ht="22.5" customHeight="1" x14ac:dyDescent="0.2">
      <c r="A45" s="468" t="s">
        <v>3</v>
      </c>
      <c r="B45" s="97" t="s">
        <v>184</v>
      </c>
      <c r="C45" s="470">
        <f>C46</f>
        <v>1246</v>
      </c>
      <c r="D45" s="470">
        <f t="shared" ref="D45:R45" si="4">D46</f>
        <v>0</v>
      </c>
      <c r="E45" s="470">
        <f t="shared" si="4"/>
        <v>1226</v>
      </c>
      <c r="F45" s="470">
        <f t="shared" si="4"/>
        <v>0</v>
      </c>
      <c r="G45" s="470">
        <f t="shared" si="4"/>
        <v>0</v>
      </c>
      <c r="H45" s="470">
        <f t="shared" si="4"/>
        <v>0</v>
      </c>
      <c r="I45" s="470">
        <f t="shared" si="4"/>
        <v>0</v>
      </c>
      <c r="J45" s="470">
        <f t="shared" si="4"/>
        <v>0</v>
      </c>
      <c r="K45" s="470">
        <f t="shared" si="4"/>
        <v>0</v>
      </c>
      <c r="L45" s="470">
        <f t="shared" si="4"/>
        <v>0</v>
      </c>
      <c r="M45" s="470">
        <f t="shared" si="4"/>
        <v>0</v>
      </c>
      <c r="N45" s="470">
        <f t="shared" si="4"/>
        <v>0</v>
      </c>
      <c r="O45" s="470">
        <f t="shared" si="4"/>
        <v>0</v>
      </c>
      <c r="P45" s="470">
        <f t="shared" si="4"/>
        <v>0</v>
      </c>
      <c r="Q45" s="470">
        <f t="shared" si="4"/>
        <v>20</v>
      </c>
      <c r="R45" s="470">
        <f t="shared" si="4"/>
        <v>0</v>
      </c>
    </row>
    <row r="46" spans="1:18" x14ac:dyDescent="0.2">
      <c r="A46" s="471">
        <v>1</v>
      </c>
      <c r="B46" s="472" t="s">
        <v>185</v>
      </c>
      <c r="C46" s="470">
        <f t="shared" si="2"/>
        <v>1246</v>
      </c>
      <c r="D46" s="473"/>
      <c r="E46" s="473">
        <v>1226</v>
      </c>
      <c r="F46" s="473"/>
      <c r="G46" s="473"/>
      <c r="H46" s="473"/>
      <c r="I46" s="473"/>
      <c r="J46" s="473"/>
      <c r="K46" s="473"/>
      <c r="L46" s="473"/>
      <c r="M46" s="473">
        <f t="shared" si="3"/>
        <v>0</v>
      </c>
      <c r="N46" s="473"/>
      <c r="O46" s="473"/>
      <c r="P46" s="473"/>
      <c r="Q46" s="473">
        <v>20</v>
      </c>
      <c r="R46" s="473"/>
    </row>
    <row r="47" spans="1:18" s="475" customFormat="1" x14ac:dyDescent="0.25">
      <c r="A47" s="468" t="s">
        <v>4</v>
      </c>
      <c r="B47" s="474" t="s">
        <v>1601</v>
      </c>
      <c r="C47" s="470">
        <f>SUM(C48:C54)</f>
        <v>50000</v>
      </c>
      <c r="D47" s="470">
        <f t="shared" ref="D47:R47" si="5">SUM(D48:D54)</f>
        <v>0</v>
      </c>
      <c r="E47" s="470">
        <f t="shared" si="5"/>
        <v>0</v>
      </c>
      <c r="F47" s="470">
        <f t="shared" si="5"/>
        <v>0</v>
      </c>
      <c r="G47" s="470">
        <f t="shared" si="5"/>
        <v>0</v>
      </c>
      <c r="H47" s="470">
        <f t="shared" si="5"/>
        <v>0</v>
      </c>
      <c r="I47" s="470">
        <f t="shared" si="5"/>
        <v>0</v>
      </c>
      <c r="J47" s="470">
        <f t="shared" si="5"/>
        <v>0</v>
      </c>
      <c r="K47" s="470">
        <f t="shared" si="5"/>
        <v>0</v>
      </c>
      <c r="L47" s="470">
        <f t="shared" si="5"/>
        <v>0</v>
      </c>
      <c r="M47" s="470">
        <f t="shared" si="5"/>
        <v>50000</v>
      </c>
      <c r="N47" s="470">
        <f t="shared" si="5"/>
        <v>14601</v>
      </c>
      <c r="O47" s="470">
        <f t="shared" si="5"/>
        <v>9476</v>
      </c>
      <c r="P47" s="470">
        <f t="shared" si="5"/>
        <v>25923</v>
      </c>
      <c r="Q47" s="470">
        <f t="shared" si="5"/>
        <v>0</v>
      </c>
      <c r="R47" s="470">
        <f t="shared" si="5"/>
        <v>0</v>
      </c>
    </row>
    <row r="48" spans="1:18" x14ac:dyDescent="0.2">
      <c r="A48" s="471">
        <v>1</v>
      </c>
      <c r="B48" s="337" t="s">
        <v>427</v>
      </c>
      <c r="C48" s="473">
        <f t="shared" si="2"/>
        <v>3500</v>
      </c>
      <c r="D48" s="473"/>
      <c r="E48" s="473"/>
      <c r="F48" s="473"/>
      <c r="G48" s="473"/>
      <c r="H48" s="473"/>
      <c r="I48" s="473"/>
      <c r="J48" s="473"/>
      <c r="K48" s="473"/>
      <c r="L48" s="473"/>
      <c r="M48" s="473">
        <f t="shared" si="3"/>
        <v>3500</v>
      </c>
      <c r="N48" s="473">
        <v>3500</v>
      </c>
      <c r="O48" s="473"/>
      <c r="P48" s="473"/>
      <c r="Q48" s="473"/>
      <c r="R48" s="473"/>
    </row>
    <row r="49" spans="1:21" x14ac:dyDescent="0.2">
      <c r="A49" s="471">
        <v>2</v>
      </c>
      <c r="B49" s="337" t="s">
        <v>432</v>
      </c>
      <c r="C49" s="473">
        <f t="shared" si="2"/>
        <v>3500</v>
      </c>
      <c r="D49" s="473"/>
      <c r="E49" s="473"/>
      <c r="F49" s="473"/>
      <c r="G49" s="473"/>
      <c r="H49" s="473"/>
      <c r="I49" s="473"/>
      <c r="J49" s="473"/>
      <c r="K49" s="473"/>
      <c r="L49" s="473"/>
      <c r="M49" s="473">
        <f t="shared" si="3"/>
        <v>3500</v>
      </c>
      <c r="N49" s="473"/>
      <c r="O49" s="473">
        <v>3500</v>
      </c>
      <c r="P49" s="473"/>
      <c r="Q49" s="473"/>
      <c r="R49" s="473"/>
    </row>
    <row r="50" spans="1:21" x14ac:dyDescent="0.2">
      <c r="A50" s="471">
        <v>3</v>
      </c>
      <c r="B50" s="337" t="s">
        <v>164</v>
      </c>
      <c r="C50" s="473">
        <f t="shared" si="2"/>
        <v>8101</v>
      </c>
      <c r="D50" s="473"/>
      <c r="E50" s="473"/>
      <c r="F50" s="473"/>
      <c r="G50" s="473"/>
      <c r="H50" s="473"/>
      <c r="I50" s="473"/>
      <c r="J50" s="473"/>
      <c r="K50" s="473"/>
      <c r="L50" s="473"/>
      <c r="M50" s="473">
        <f t="shared" si="3"/>
        <v>8101</v>
      </c>
      <c r="N50" s="473">
        <v>8101</v>
      </c>
      <c r="O50" s="473"/>
      <c r="P50" s="473"/>
      <c r="Q50" s="473"/>
      <c r="R50" s="473"/>
    </row>
    <row r="51" spans="1:21" ht="26.25" customHeight="1" x14ac:dyDescent="0.2">
      <c r="A51" s="471">
        <v>4</v>
      </c>
      <c r="B51" s="337" t="s">
        <v>989</v>
      </c>
      <c r="C51" s="473">
        <f t="shared" si="2"/>
        <v>13400</v>
      </c>
      <c r="D51" s="473"/>
      <c r="E51" s="473"/>
      <c r="F51" s="473"/>
      <c r="G51" s="473"/>
      <c r="H51" s="473"/>
      <c r="I51" s="473"/>
      <c r="J51" s="473"/>
      <c r="K51" s="473"/>
      <c r="L51" s="473"/>
      <c r="M51" s="473">
        <f t="shared" si="3"/>
        <v>13400</v>
      </c>
      <c r="N51" s="473"/>
      <c r="O51" s="473"/>
      <c r="P51" s="473">
        <v>13400</v>
      </c>
      <c r="Q51" s="473"/>
      <c r="R51" s="473"/>
    </row>
    <row r="52" spans="1:21" ht="26.25" customHeight="1" x14ac:dyDescent="0.2">
      <c r="A52" s="471">
        <v>5</v>
      </c>
      <c r="B52" s="337" t="s">
        <v>419</v>
      </c>
      <c r="C52" s="473">
        <f t="shared" si="2"/>
        <v>5976</v>
      </c>
      <c r="D52" s="473"/>
      <c r="E52" s="473"/>
      <c r="F52" s="473"/>
      <c r="G52" s="473"/>
      <c r="H52" s="473"/>
      <c r="I52" s="473"/>
      <c r="J52" s="473"/>
      <c r="K52" s="473"/>
      <c r="L52" s="473"/>
      <c r="M52" s="473">
        <f t="shared" si="3"/>
        <v>5976</v>
      </c>
      <c r="N52" s="473"/>
      <c r="O52" s="473">
        <v>5976</v>
      </c>
      <c r="P52" s="473"/>
      <c r="Q52" s="473"/>
      <c r="R52" s="473"/>
    </row>
    <row r="53" spans="1:21" ht="26.25" customHeight="1" x14ac:dyDescent="0.2">
      <c r="A53" s="471">
        <v>6</v>
      </c>
      <c r="B53" s="337" t="s">
        <v>161</v>
      </c>
      <c r="C53" s="473">
        <f t="shared" si="2"/>
        <v>3000</v>
      </c>
      <c r="D53" s="473"/>
      <c r="E53" s="473"/>
      <c r="F53" s="473"/>
      <c r="G53" s="473"/>
      <c r="H53" s="473"/>
      <c r="I53" s="473"/>
      <c r="J53" s="473"/>
      <c r="K53" s="473"/>
      <c r="L53" s="473"/>
      <c r="M53" s="473">
        <f t="shared" si="3"/>
        <v>3000</v>
      </c>
      <c r="N53" s="473">
        <v>3000</v>
      </c>
      <c r="O53" s="473"/>
      <c r="P53" s="473"/>
      <c r="Q53" s="473"/>
      <c r="R53" s="473"/>
    </row>
    <row r="54" spans="1:21" ht="26.25" customHeight="1" x14ac:dyDescent="0.2">
      <c r="A54" s="985">
        <v>7</v>
      </c>
      <c r="B54" s="986" t="s">
        <v>1602</v>
      </c>
      <c r="C54" s="987">
        <f t="shared" si="2"/>
        <v>12523</v>
      </c>
      <c r="D54" s="987"/>
      <c r="E54" s="987"/>
      <c r="F54" s="987"/>
      <c r="G54" s="987"/>
      <c r="H54" s="987"/>
      <c r="I54" s="987"/>
      <c r="J54" s="987"/>
      <c r="K54" s="987"/>
      <c r="L54" s="987"/>
      <c r="M54" s="987">
        <f t="shared" si="3"/>
        <v>12523</v>
      </c>
      <c r="N54" s="987"/>
      <c r="O54" s="987"/>
      <c r="P54" s="987">
        <v>12523</v>
      </c>
      <c r="Q54" s="987"/>
      <c r="R54" s="987"/>
    </row>
    <row r="55" spans="1:21" s="467" customFormat="1" ht="33.75" customHeight="1" x14ac:dyDescent="0.2">
      <c r="A55" s="989" t="s">
        <v>193</v>
      </c>
      <c r="B55" s="1866" t="s">
        <v>953</v>
      </c>
      <c r="C55" s="1867">
        <f>R55</f>
        <v>8000</v>
      </c>
      <c r="D55" s="1868"/>
      <c r="E55" s="1868"/>
      <c r="F55" s="1868"/>
      <c r="G55" s="1868"/>
      <c r="H55" s="1868"/>
      <c r="I55" s="1868"/>
      <c r="J55" s="1868"/>
      <c r="K55" s="1868"/>
      <c r="L55" s="1868"/>
      <c r="M55" s="1868"/>
      <c r="N55" s="1868"/>
      <c r="O55" s="1868"/>
      <c r="P55" s="1868"/>
      <c r="Q55" s="1868"/>
      <c r="R55" s="1867">
        <v>8000</v>
      </c>
    </row>
    <row r="57" spans="1:21" ht="15.75" x14ac:dyDescent="0.2">
      <c r="A57" s="2135" t="s">
        <v>2414</v>
      </c>
      <c r="B57" s="2135"/>
      <c r="C57" s="2135"/>
      <c r="D57" s="2135"/>
      <c r="E57" s="2135"/>
      <c r="F57" s="2135"/>
      <c r="G57" s="2135"/>
      <c r="H57" s="2135"/>
      <c r="I57" s="2135"/>
      <c r="J57" s="2135"/>
      <c r="K57" s="2135"/>
      <c r="L57" s="2135"/>
      <c r="M57" s="2135"/>
      <c r="N57" s="2135"/>
      <c r="O57" s="2135"/>
      <c r="P57" s="2135"/>
      <c r="Q57" s="2135"/>
      <c r="R57" s="2135"/>
      <c r="S57" s="2135"/>
      <c r="T57" s="2135"/>
      <c r="U57" s="2135"/>
    </row>
  </sheetData>
  <mergeCells count="19">
    <mergeCell ref="A57:U57"/>
    <mergeCell ref="I5:I6"/>
    <mergeCell ref="K5:K6"/>
    <mergeCell ref="A5:A6"/>
    <mergeCell ref="N5:P5"/>
    <mergeCell ref="A1:R1"/>
    <mergeCell ref="A2:R2"/>
    <mergeCell ref="Q5:Q6"/>
    <mergeCell ref="R5:R6"/>
    <mergeCell ref="L5:L6"/>
    <mergeCell ref="F5:F6"/>
    <mergeCell ref="M5:M6"/>
    <mergeCell ref="G5:G6"/>
    <mergeCell ref="H5:H6"/>
    <mergeCell ref="B5:B6"/>
    <mergeCell ref="C5:C6"/>
    <mergeCell ref="D5:D6"/>
    <mergeCell ref="E5:E6"/>
    <mergeCell ref="A3:R3"/>
  </mergeCells>
  <pageMargins left="0.28999999999999998" right="0.2" top="0.69" bottom="0.75" header="0.3" footer="0.3"/>
  <pageSetup paperSize="9" firstPageNumber="56" orientation="landscape" useFirstPageNumber="1" r:id="rId1"/>
  <headerFooter>
    <oddHeader>&amp;RBiểu mẫu số 36</oddHeader>
    <oddFooter>&amp;C&amp;P</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49"/>
  <sheetViews>
    <sheetView topLeftCell="D1" workbookViewId="0">
      <pane xSplit="2" ySplit="5" topLeftCell="F18" activePane="bottomRight" state="frozen"/>
      <selection activeCell="D1" sqref="D1"/>
      <selection pane="topRight" activeCell="F1" sqref="F1"/>
      <selection pane="bottomLeft" activeCell="D5" sqref="D5"/>
      <selection pane="bottomRight" activeCell="Q36" sqref="Q36"/>
    </sheetView>
  </sheetViews>
  <sheetFormatPr defaultRowHeight="15.75" x14ac:dyDescent="0.25"/>
  <cols>
    <col min="1" max="3" width="9.875" style="1502" hidden="1" customWidth="1"/>
    <col min="4" max="4" width="4.625" style="1889" customWidth="1"/>
    <col min="5" max="5" width="33.75" style="1502" customWidth="1"/>
    <col min="6" max="6" width="9.875" style="1504" customWidth="1"/>
    <col min="7" max="7" width="10.125" style="1504" customWidth="1"/>
    <col min="8" max="8" width="10.5" style="1504" customWidth="1"/>
    <col min="9" max="9" width="7.875" style="1504" customWidth="1"/>
    <col min="10" max="10" width="8" style="1504" customWidth="1"/>
    <col min="11" max="177" width="9" style="1502"/>
    <col min="178" max="178" width="4.5" style="1502" customWidth="1"/>
    <col min="179" max="179" width="28.375" style="1502" customWidth="1"/>
    <col min="180" max="182" width="9" style="1502" customWidth="1"/>
    <col min="183" max="184" width="10.875" style="1502" customWidth="1"/>
    <col min="185" max="185" width="9.875" style="1502" customWidth="1"/>
    <col min="186" max="186" width="10.875" style="1502" customWidth="1"/>
    <col min="187" max="187" width="9.875" style="1502" customWidth="1"/>
    <col min="188" max="188" width="10.875" style="1502" customWidth="1"/>
    <col min="189" max="189" width="9.875" style="1502" customWidth="1"/>
    <col min="190" max="190" width="10.875" style="1502" customWidth="1"/>
    <col min="191" max="191" width="9.875" style="1502" customWidth="1"/>
    <col min="192" max="192" width="10.875" style="1502" customWidth="1"/>
    <col min="193" max="193" width="9.875" style="1502" customWidth="1"/>
    <col min="194" max="194" width="12.375" style="1502" customWidth="1"/>
    <col min="195" max="195" width="9" style="1502" customWidth="1"/>
    <col min="196" max="196" width="15" style="1502" customWidth="1"/>
    <col min="197" max="197" width="10.5" style="1502" customWidth="1"/>
    <col min="198" max="198" width="12.375" style="1502" customWidth="1"/>
    <col min="199" max="199" width="9" style="1502" customWidth="1"/>
    <col min="200" max="200" width="15" style="1502" customWidth="1"/>
    <col min="201" max="201" width="10.5" style="1502" customWidth="1"/>
    <col min="202" max="202" width="9.375" style="1502" customWidth="1"/>
    <col min="203" max="205" width="7.875" style="1502" customWidth="1"/>
    <col min="206" max="433" width="9" style="1502"/>
    <col min="434" max="434" width="4.5" style="1502" customWidth="1"/>
    <col min="435" max="435" width="28.375" style="1502" customWidth="1"/>
    <col min="436" max="438" width="9" style="1502" customWidth="1"/>
    <col min="439" max="440" width="10.875" style="1502" customWidth="1"/>
    <col min="441" max="441" width="9.875" style="1502" customWidth="1"/>
    <col min="442" max="442" width="10.875" style="1502" customWidth="1"/>
    <col min="443" max="443" width="9.875" style="1502" customWidth="1"/>
    <col min="444" max="444" width="10.875" style="1502" customWidth="1"/>
    <col min="445" max="445" width="9.875" style="1502" customWidth="1"/>
    <col min="446" max="446" width="10.875" style="1502" customWidth="1"/>
    <col min="447" max="447" width="9.875" style="1502" customWidth="1"/>
    <col min="448" max="448" width="10.875" style="1502" customWidth="1"/>
    <col min="449" max="449" width="9.875" style="1502" customWidth="1"/>
    <col min="450" max="450" width="12.375" style="1502" customWidth="1"/>
    <col min="451" max="451" width="9" style="1502" customWidth="1"/>
    <col min="452" max="452" width="15" style="1502" customWidth="1"/>
    <col min="453" max="453" width="10.5" style="1502" customWidth="1"/>
    <col min="454" max="454" width="12.375" style="1502" customWidth="1"/>
    <col min="455" max="455" width="9" style="1502" customWidth="1"/>
    <col min="456" max="456" width="15" style="1502" customWidth="1"/>
    <col min="457" max="457" width="10.5" style="1502" customWidth="1"/>
    <col min="458" max="458" width="9.375" style="1502" customWidth="1"/>
    <col min="459" max="461" width="7.875" style="1502" customWidth="1"/>
    <col min="462" max="689" width="9" style="1502"/>
    <col min="690" max="690" width="4.5" style="1502" customWidth="1"/>
    <col min="691" max="691" width="28.375" style="1502" customWidth="1"/>
    <col min="692" max="694" width="9" style="1502" customWidth="1"/>
    <col min="695" max="696" width="10.875" style="1502" customWidth="1"/>
    <col min="697" max="697" width="9.875" style="1502" customWidth="1"/>
    <col min="698" max="698" width="10.875" style="1502" customWidth="1"/>
    <col min="699" max="699" width="9.875" style="1502" customWidth="1"/>
    <col min="700" max="700" width="10.875" style="1502" customWidth="1"/>
    <col min="701" max="701" width="9.875" style="1502" customWidth="1"/>
    <col min="702" max="702" width="10.875" style="1502" customWidth="1"/>
    <col min="703" max="703" width="9.875" style="1502" customWidth="1"/>
    <col min="704" max="704" width="10.875" style="1502" customWidth="1"/>
    <col min="705" max="705" width="9.875" style="1502" customWidth="1"/>
    <col min="706" max="706" width="12.375" style="1502" customWidth="1"/>
    <col min="707" max="707" width="9" style="1502" customWidth="1"/>
    <col min="708" max="708" width="15" style="1502" customWidth="1"/>
    <col min="709" max="709" width="10.5" style="1502" customWidth="1"/>
    <col min="710" max="710" width="12.375" style="1502" customWidth="1"/>
    <col min="711" max="711" width="9" style="1502" customWidth="1"/>
    <col min="712" max="712" width="15" style="1502" customWidth="1"/>
    <col min="713" max="713" width="10.5" style="1502" customWidth="1"/>
    <col min="714" max="714" width="9.375" style="1502" customWidth="1"/>
    <col min="715" max="717" width="7.875" style="1502" customWidth="1"/>
    <col min="718" max="945" width="9" style="1502"/>
    <col min="946" max="946" width="4.5" style="1502" customWidth="1"/>
    <col min="947" max="947" width="28.375" style="1502" customWidth="1"/>
    <col min="948" max="950" width="9" style="1502" customWidth="1"/>
    <col min="951" max="952" width="10.875" style="1502" customWidth="1"/>
    <col min="953" max="953" width="9.875" style="1502" customWidth="1"/>
    <col min="954" max="954" width="10.875" style="1502" customWidth="1"/>
    <col min="955" max="955" width="9.875" style="1502" customWidth="1"/>
    <col min="956" max="956" width="10.875" style="1502" customWidth="1"/>
    <col min="957" max="957" width="9.875" style="1502" customWidth="1"/>
    <col min="958" max="958" width="10.875" style="1502" customWidth="1"/>
    <col min="959" max="959" width="9.875" style="1502" customWidth="1"/>
    <col min="960" max="960" width="10.875" style="1502" customWidth="1"/>
    <col min="961" max="961" width="9.875" style="1502" customWidth="1"/>
    <col min="962" max="962" width="12.375" style="1502" customWidth="1"/>
    <col min="963" max="963" width="9" style="1502" customWidth="1"/>
    <col min="964" max="964" width="15" style="1502" customWidth="1"/>
    <col min="965" max="965" width="10.5" style="1502" customWidth="1"/>
    <col min="966" max="966" width="12.375" style="1502" customWidth="1"/>
    <col min="967" max="967" width="9" style="1502" customWidth="1"/>
    <col min="968" max="968" width="15" style="1502" customWidth="1"/>
    <col min="969" max="969" width="10.5" style="1502" customWidth="1"/>
    <col min="970" max="970" width="9.375" style="1502" customWidth="1"/>
    <col min="971" max="973" width="7.875" style="1502" customWidth="1"/>
    <col min="974" max="1201" width="9" style="1502"/>
    <col min="1202" max="1202" width="4.5" style="1502" customWidth="1"/>
    <col min="1203" max="1203" width="28.375" style="1502" customWidth="1"/>
    <col min="1204" max="1206" width="9" style="1502" customWidth="1"/>
    <col min="1207" max="1208" width="10.875" style="1502" customWidth="1"/>
    <col min="1209" max="1209" width="9.875" style="1502" customWidth="1"/>
    <col min="1210" max="1210" width="10.875" style="1502" customWidth="1"/>
    <col min="1211" max="1211" width="9.875" style="1502" customWidth="1"/>
    <col min="1212" max="1212" width="10.875" style="1502" customWidth="1"/>
    <col min="1213" max="1213" width="9.875" style="1502" customWidth="1"/>
    <col min="1214" max="1214" width="10.875" style="1502" customWidth="1"/>
    <col min="1215" max="1215" width="9.875" style="1502" customWidth="1"/>
    <col min="1216" max="1216" width="10.875" style="1502" customWidth="1"/>
    <col min="1217" max="1217" width="9.875" style="1502" customWidth="1"/>
    <col min="1218" max="1218" width="12.375" style="1502" customWidth="1"/>
    <col min="1219" max="1219" width="9" style="1502" customWidth="1"/>
    <col min="1220" max="1220" width="15" style="1502" customWidth="1"/>
    <col min="1221" max="1221" width="10.5" style="1502" customWidth="1"/>
    <col min="1222" max="1222" width="12.375" style="1502" customWidth="1"/>
    <col min="1223" max="1223" width="9" style="1502" customWidth="1"/>
    <col min="1224" max="1224" width="15" style="1502" customWidth="1"/>
    <col min="1225" max="1225" width="10.5" style="1502" customWidth="1"/>
    <col min="1226" max="1226" width="9.375" style="1502" customWidth="1"/>
    <col min="1227" max="1229" width="7.875" style="1502" customWidth="1"/>
    <col min="1230" max="1457" width="9" style="1502"/>
    <col min="1458" max="1458" width="4.5" style="1502" customWidth="1"/>
    <col min="1459" max="1459" width="28.375" style="1502" customWidth="1"/>
    <col min="1460" max="1462" width="9" style="1502" customWidth="1"/>
    <col min="1463" max="1464" width="10.875" style="1502" customWidth="1"/>
    <col min="1465" max="1465" width="9.875" style="1502" customWidth="1"/>
    <col min="1466" max="1466" width="10.875" style="1502" customWidth="1"/>
    <col min="1467" max="1467" width="9.875" style="1502" customWidth="1"/>
    <col min="1468" max="1468" width="10.875" style="1502" customWidth="1"/>
    <col min="1469" max="1469" width="9.875" style="1502" customWidth="1"/>
    <col min="1470" max="1470" width="10.875" style="1502" customWidth="1"/>
    <col min="1471" max="1471" width="9.875" style="1502" customWidth="1"/>
    <col min="1472" max="1472" width="10.875" style="1502" customWidth="1"/>
    <col min="1473" max="1473" width="9.875" style="1502" customWidth="1"/>
    <col min="1474" max="1474" width="12.375" style="1502" customWidth="1"/>
    <col min="1475" max="1475" width="9" style="1502" customWidth="1"/>
    <col min="1476" max="1476" width="15" style="1502" customWidth="1"/>
    <col min="1477" max="1477" width="10.5" style="1502" customWidth="1"/>
    <col min="1478" max="1478" width="12.375" style="1502" customWidth="1"/>
    <col min="1479" max="1479" width="9" style="1502" customWidth="1"/>
    <col min="1480" max="1480" width="15" style="1502" customWidth="1"/>
    <col min="1481" max="1481" width="10.5" style="1502" customWidth="1"/>
    <col min="1482" max="1482" width="9.375" style="1502" customWidth="1"/>
    <col min="1483" max="1485" width="7.875" style="1502" customWidth="1"/>
    <col min="1486" max="1713" width="9" style="1502"/>
    <col min="1714" max="1714" width="4.5" style="1502" customWidth="1"/>
    <col min="1715" max="1715" width="28.375" style="1502" customWidth="1"/>
    <col min="1716" max="1718" width="9" style="1502" customWidth="1"/>
    <col min="1719" max="1720" width="10.875" style="1502" customWidth="1"/>
    <col min="1721" max="1721" width="9.875" style="1502" customWidth="1"/>
    <col min="1722" max="1722" width="10.875" style="1502" customWidth="1"/>
    <col min="1723" max="1723" width="9.875" style="1502" customWidth="1"/>
    <col min="1724" max="1724" width="10.875" style="1502" customWidth="1"/>
    <col min="1725" max="1725" width="9.875" style="1502" customWidth="1"/>
    <col min="1726" max="1726" width="10.875" style="1502" customWidth="1"/>
    <col min="1727" max="1727" width="9.875" style="1502" customWidth="1"/>
    <col min="1728" max="1728" width="10.875" style="1502" customWidth="1"/>
    <col min="1729" max="1729" width="9.875" style="1502" customWidth="1"/>
    <col min="1730" max="1730" width="12.375" style="1502" customWidth="1"/>
    <col min="1731" max="1731" width="9" style="1502" customWidth="1"/>
    <col min="1732" max="1732" width="15" style="1502" customWidth="1"/>
    <col min="1733" max="1733" width="10.5" style="1502" customWidth="1"/>
    <col min="1734" max="1734" width="12.375" style="1502" customWidth="1"/>
    <col min="1735" max="1735" width="9" style="1502" customWidth="1"/>
    <col min="1736" max="1736" width="15" style="1502" customWidth="1"/>
    <col min="1737" max="1737" width="10.5" style="1502" customWidth="1"/>
    <col min="1738" max="1738" width="9.375" style="1502" customWidth="1"/>
    <col min="1739" max="1741" width="7.875" style="1502" customWidth="1"/>
    <col min="1742" max="1969" width="9" style="1502"/>
    <col min="1970" max="1970" width="4.5" style="1502" customWidth="1"/>
    <col min="1971" max="1971" width="28.375" style="1502" customWidth="1"/>
    <col min="1972" max="1974" width="9" style="1502" customWidth="1"/>
    <col min="1975" max="1976" width="10.875" style="1502" customWidth="1"/>
    <col min="1977" max="1977" width="9.875" style="1502" customWidth="1"/>
    <col min="1978" max="1978" width="10.875" style="1502" customWidth="1"/>
    <col min="1979" max="1979" width="9.875" style="1502" customWidth="1"/>
    <col min="1980" max="1980" width="10.875" style="1502" customWidth="1"/>
    <col min="1981" max="1981" width="9.875" style="1502" customWidth="1"/>
    <col min="1982" max="1982" width="10.875" style="1502" customWidth="1"/>
    <col min="1983" max="1983" width="9.875" style="1502" customWidth="1"/>
    <col min="1984" max="1984" width="10.875" style="1502" customWidth="1"/>
    <col min="1985" max="1985" width="9.875" style="1502" customWidth="1"/>
    <col min="1986" max="1986" width="12.375" style="1502" customWidth="1"/>
    <col min="1987" max="1987" width="9" style="1502" customWidth="1"/>
    <col min="1988" max="1988" width="15" style="1502" customWidth="1"/>
    <col min="1989" max="1989" width="10.5" style="1502" customWidth="1"/>
    <col min="1990" max="1990" width="12.375" style="1502" customWidth="1"/>
    <col min="1991" max="1991" width="9" style="1502" customWidth="1"/>
    <col min="1992" max="1992" width="15" style="1502" customWidth="1"/>
    <col min="1993" max="1993" width="10.5" style="1502" customWidth="1"/>
    <col min="1994" max="1994" width="9.375" style="1502" customWidth="1"/>
    <col min="1995" max="1997" width="7.875" style="1502" customWidth="1"/>
    <col min="1998" max="2225" width="9" style="1502"/>
    <col min="2226" max="2226" width="4.5" style="1502" customWidth="1"/>
    <col min="2227" max="2227" width="28.375" style="1502" customWidth="1"/>
    <col min="2228" max="2230" width="9" style="1502" customWidth="1"/>
    <col min="2231" max="2232" width="10.875" style="1502" customWidth="1"/>
    <col min="2233" max="2233" width="9.875" style="1502" customWidth="1"/>
    <col min="2234" max="2234" width="10.875" style="1502" customWidth="1"/>
    <col min="2235" max="2235" width="9.875" style="1502" customWidth="1"/>
    <col min="2236" max="2236" width="10.875" style="1502" customWidth="1"/>
    <col min="2237" max="2237" width="9.875" style="1502" customWidth="1"/>
    <col min="2238" max="2238" width="10.875" style="1502" customWidth="1"/>
    <col min="2239" max="2239" width="9.875" style="1502" customWidth="1"/>
    <col min="2240" max="2240" width="10.875" style="1502" customWidth="1"/>
    <col min="2241" max="2241" width="9.875" style="1502" customWidth="1"/>
    <col min="2242" max="2242" width="12.375" style="1502" customWidth="1"/>
    <col min="2243" max="2243" width="9" style="1502" customWidth="1"/>
    <col min="2244" max="2244" width="15" style="1502" customWidth="1"/>
    <col min="2245" max="2245" width="10.5" style="1502" customWidth="1"/>
    <col min="2246" max="2246" width="12.375" style="1502" customWidth="1"/>
    <col min="2247" max="2247" width="9" style="1502" customWidth="1"/>
    <col min="2248" max="2248" width="15" style="1502" customWidth="1"/>
    <col min="2249" max="2249" width="10.5" style="1502" customWidth="1"/>
    <col min="2250" max="2250" width="9.375" style="1502" customWidth="1"/>
    <col min="2251" max="2253" width="7.875" style="1502" customWidth="1"/>
    <col min="2254" max="2481" width="9" style="1502"/>
    <col min="2482" max="2482" width="4.5" style="1502" customWidth="1"/>
    <col min="2483" max="2483" width="28.375" style="1502" customWidth="1"/>
    <col min="2484" max="2486" width="9" style="1502" customWidth="1"/>
    <col min="2487" max="2488" width="10.875" style="1502" customWidth="1"/>
    <col min="2489" max="2489" width="9.875" style="1502" customWidth="1"/>
    <col min="2490" max="2490" width="10.875" style="1502" customWidth="1"/>
    <col min="2491" max="2491" width="9.875" style="1502" customWidth="1"/>
    <col min="2492" max="2492" width="10.875" style="1502" customWidth="1"/>
    <col min="2493" max="2493" width="9.875" style="1502" customWidth="1"/>
    <col min="2494" max="2494" width="10.875" style="1502" customWidth="1"/>
    <col min="2495" max="2495" width="9.875" style="1502" customWidth="1"/>
    <col min="2496" max="2496" width="10.875" style="1502" customWidth="1"/>
    <col min="2497" max="2497" width="9.875" style="1502" customWidth="1"/>
    <col min="2498" max="2498" width="12.375" style="1502" customWidth="1"/>
    <col min="2499" max="2499" width="9" style="1502" customWidth="1"/>
    <col min="2500" max="2500" width="15" style="1502" customWidth="1"/>
    <col min="2501" max="2501" width="10.5" style="1502" customWidth="1"/>
    <col min="2502" max="2502" width="12.375" style="1502" customWidth="1"/>
    <col min="2503" max="2503" width="9" style="1502" customWidth="1"/>
    <col min="2504" max="2504" width="15" style="1502" customWidth="1"/>
    <col min="2505" max="2505" width="10.5" style="1502" customWidth="1"/>
    <col min="2506" max="2506" width="9.375" style="1502" customWidth="1"/>
    <col min="2507" max="2509" width="7.875" style="1502" customWidth="1"/>
    <col min="2510" max="2737" width="9" style="1502"/>
    <col min="2738" max="2738" width="4.5" style="1502" customWidth="1"/>
    <col min="2739" max="2739" width="28.375" style="1502" customWidth="1"/>
    <col min="2740" max="2742" width="9" style="1502" customWidth="1"/>
    <col min="2743" max="2744" width="10.875" style="1502" customWidth="1"/>
    <col min="2745" max="2745" width="9.875" style="1502" customWidth="1"/>
    <col min="2746" max="2746" width="10.875" style="1502" customWidth="1"/>
    <col min="2747" max="2747" width="9.875" style="1502" customWidth="1"/>
    <col min="2748" max="2748" width="10.875" style="1502" customWidth="1"/>
    <col min="2749" max="2749" width="9.875" style="1502" customWidth="1"/>
    <col min="2750" max="2750" width="10.875" style="1502" customWidth="1"/>
    <col min="2751" max="2751" width="9.875" style="1502" customWidth="1"/>
    <col min="2752" max="2752" width="10.875" style="1502" customWidth="1"/>
    <col min="2753" max="2753" width="9.875" style="1502" customWidth="1"/>
    <col min="2754" max="2754" width="12.375" style="1502" customWidth="1"/>
    <col min="2755" max="2755" width="9" style="1502" customWidth="1"/>
    <col min="2756" max="2756" width="15" style="1502" customWidth="1"/>
    <col min="2757" max="2757" width="10.5" style="1502" customWidth="1"/>
    <col min="2758" max="2758" width="12.375" style="1502" customWidth="1"/>
    <col min="2759" max="2759" width="9" style="1502" customWidth="1"/>
    <col min="2760" max="2760" width="15" style="1502" customWidth="1"/>
    <col min="2761" max="2761" width="10.5" style="1502" customWidth="1"/>
    <col min="2762" max="2762" width="9.375" style="1502" customWidth="1"/>
    <col min="2763" max="2765" width="7.875" style="1502" customWidth="1"/>
    <col min="2766" max="2993" width="9" style="1502"/>
    <col min="2994" max="2994" width="4.5" style="1502" customWidth="1"/>
    <col min="2995" max="2995" width="28.375" style="1502" customWidth="1"/>
    <col min="2996" max="2998" width="9" style="1502" customWidth="1"/>
    <col min="2999" max="3000" width="10.875" style="1502" customWidth="1"/>
    <col min="3001" max="3001" width="9.875" style="1502" customWidth="1"/>
    <col min="3002" max="3002" width="10.875" style="1502" customWidth="1"/>
    <col min="3003" max="3003" width="9.875" style="1502" customWidth="1"/>
    <col min="3004" max="3004" width="10.875" style="1502" customWidth="1"/>
    <col min="3005" max="3005" width="9.875" style="1502" customWidth="1"/>
    <col min="3006" max="3006" width="10.875" style="1502" customWidth="1"/>
    <col min="3007" max="3007" width="9.875" style="1502" customWidth="1"/>
    <col min="3008" max="3008" width="10.875" style="1502" customWidth="1"/>
    <col min="3009" max="3009" width="9.875" style="1502" customWidth="1"/>
    <col min="3010" max="3010" width="12.375" style="1502" customWidth="1"/>
    <col min="3011" max="3011" width="9" style="1502" customWidth="1"/>
    <col min="3012" max="3012" width="15" style="1502" customWidth="1"/>
    <col min="3013" max="3013" width="10.5" style="1502" customWidth="1"/>
    <col min="3014" max="3014" width="12.375" style="1502" customWidth="1"/>
    <col min="3015" max="3015" width="9" style="1502" customWidth="1"/>
    <col min="3016" max="3016" width="15" style="1502" customWidth="1"/>
    <col min="3017" max="3017" width="10.5" style="1502" customWidth="1"/>
    <col min="3018" max="3018" width="9.375" style="1502" customWidth="1"/>
    <col min="3019" max="3021" width="7.875" style="1502" customWidth="1"/>
    <col min="3022" max="3249" width="9" style="1502"/>
    <col min="3250" max="3250" width="4.5" style="1502" customWidth="1"/>
    <col min="3251" max="3251" width="28.375" style="1502" customWidth="1"/>
    <col min="3252" max="3254" width="9" style="1502" customWidth="1"/>
    <col min="3255" max="3256" width="10.875" style="1502" customWidth="1"/>
    <col min="3257" max="3257" width="9.875" style="1502" customWidth="1"/>
    <col min="3258" max="3258" width="10.875" style="1502" customWidth="1"/>
    <col min="3259" max="3259" width="9.875" style="1502" customWidth="1"/>
    <col min="3260" max="3260" width="10.875" style="1502" customWidth="1"/>
    <col min="3261" max="3261" width="9.875" style="1502" customWidth="1"/>
    <col min="3262" max="3262" width="10.875" style="1502" customWidth="1"/>
    <col min="3263" max="3263" width="9.875" style="1502" customWidth="1"/>
    <col min="3264" max="3264" width="10.875" style="1502" customWidth="1"/>
    <col min="3265" max="3265" width="9.875" style="1502" customWidth="1"/>
    <col min="3266" max="3266" width="12.375" style="1502" customWidth="1"/>
    <col min="3267" max="3267" width="9" style="1502" customWidth="1"/>
    <col min="3268" max="3268" width="15" style="1502" customWidth="1"/>
    <col min="3269" max="3269" width="10.5" style="1502" customWidth="1"/>
    <col min="3270" max="3270" width="12.375" style="1502" customWidth="1"/>
    <col min="3271" max="3271" width="9" style="1502" customWidth="1"/>
    <col min="3272" max="3272" width="15" style="1502" customWidth="1"/>
    <col min="3273" max="3273" width="10.5" style="1502" customWidth="1"/>
    <col min="3274" max="3274" width="9.375" style="1502" customWidth="1"/>
    <col min="3275" max="3277" width="7.875" style="1502" customWidth="1"/>
    <col min="3278" max="3505" width="9" style="1502"/>
    <col min="3506" max="3506" width="4.5" style="1502" customWidth="1"/>
    <col min="3507" max="3507" width="28.375" style="1502" customWidth="1"/>
    <col min="3508" max="3510" width="9" style="1502" customWidth="1"/>
    <col min="3511" max="3512" width="10.875" style="1502" customWidth="1"/>
    <col min="3513" max="3513" width="9.875" style="1502" customWidth="1"/>
    <col min="3514" max="3514" width="10.875" style="1502" customWidth="1"/>
    <col min="3515" max="3515" width="9.875" style="1502" customWidth="1"/>
    <col min="3516" max="3516" width="10.875" style="1502" customWidth="1"/>
    <col min="3517" max="3517" width="9.875" style="1502" customWidth="1"/>
    <col min="3518" max="3518" width="10.875" style="1502" customWidth="1"/>
    <col min="3519" max="3519" width="9.875" style="1502" customWidth="1"/>
    <col min="3520" max="3520" width="10.875" style="1502" customWidth="1"/>
    <col min="3521" max="3521" width="9.875" style="1502" customWidth="1"/>
    <col min="3522" max="3522" width="12.375" style="1502" customWidth="1"/>
    <col min="3523" max="3523" width="9" style="1502" customWidth="1"/>
    <col min="3524" max="3524" width="15" style="1502" customWidth="1"/>
    <col min="3525" max="3525" width="10.5" style="1502" customWidth="1"/>
    <col min="3526" max="3526" width="12.375" style="1502" customWidth="1"/>
    <col min="3527" max="3527" width="9" style="1502" customWidth="1"/>
    <col min="3528" max="3528" width="15" style="1502" customWidth="1"/>
    <col min="3529" max="3529" width="10.5" style="1502" customWidth="1"/>
    <col min="3530" max="3530" width="9.375" style="1502" customWidth="1"/>
    <col min="3531" max="3533" width="7.875" style="1502" customWidth="1"/>
    <col min="3534" max="3761" width="9" style="1502"/>
    <col min="3762" max="3762" width="4.5" style="1502" customWidth="1"/>
    <col min="3763" max="3763" width="28.375" style="1502" customWidth="1"/>
    <col min="3764" max="3766" width="9" style="1502" customWidth="1"/>
    <col min="3767" max="3768" width="10.875" style="1502" customWidth="1"/>
    <col min="3769" max="3769" width="9.875" style="1502" customWidth="1"/>
    <col min="3770" max="3770" width="10.875" style="1502" customWidth="1"/>
    <col min="3771" max="3771" width="9.875" style="1502" customWidth="1"/>
    <col min="3772" max="3772" width="10.875" style="1502" customWidth="1"/>
    <col min="3773" max="3773" width="9.875" style="1502" customWidth="1"/>
    <col min="3774" max="3774" width="10.875" style="1502" customWidth="1"/>
    <col min="3775" max="3775" width="9.875" style="1502" customWidth="1"/>
    <col min="3776" max="3776" width="10.875" style="1502" customWidth="1"/>
    <col min="3777" max="3777" width="9.875" style="1502" customWidth="1"/>
    <col min="3778" max="3778" width="12.375" style="1502" customWidth="1"/>
    <col min="3779" max="3779" width="9" style="1502" customWidth="1"/>
    <col min="3780" max="3780" width="15" style="1502" customWidth="1"/>
    <col min="3781" max="3781" width="10.5" style="1502" customWidth="1"/>
    <col min="3782" max="3782" width="12.375" style="1502" customWidth="1"/>
    <col min="3783" max="3783" width="9" style="1502" customWidth="1"/>
    <col min="3784" max="3784" width="15" style="1502" customWidth="1"/>
    <col min="3785" max="3785" width="10.5" style="1502" customWidth="1"/>
    <col min="3786" max="3786" width="9.375" style="1502" customWidth="1"/>
    <col min="3787" max="3789" width="7.875" style="1502" customWidth="1"/>
    <col min="3790" max="4017" width="9" style="1502"/>
    <col min="4018" max="4018" width="4.5" style="1502" customWidth="1"/>
    <col min="4019" max="4019" width="28.375" style="1502" customWidth="1"/>
    <col min="4020" max="4022" width="9" style="1502" customWidth="1"/>
    <col min="4023" max="4024" width="10.875" style="1502" customWidth="1"/>
    <col min="4025" max="4025" width="9.875" style="1502" customWidth="1"/>
    <col min="4026" max="4026" width="10.875" style="1502" customWidth="1"/>
    <col min="4027" max="4027" width="9.875" style="1502" customWidth="1"/>
    <col min="4028" max="4028" width="10.875" style="1502" customWidth="1"/>
    <col min="4029" max="4029" width="9.875" style="1502" customWidth="1"/>
    <col min="4030" max="4030" width="10.875" style="1502" customWidth="1"/>
    <col min="4031" max="4031" width="9.875" style="1502" customWidth="1"/>
    <col min="4032" max="4032" width="10.875" style="1502" customWidth="1"/>
    <col min="4033" max="4033" width="9.875" style="1502" customWidth="1"/>
    <col min="4034" max="4034" width="12.375" style="1502" customWidth="1"/>
    <col min="4035" max="4035" width="9" style="1502" customWidth="1"/>
    <col min="4036" max="4036" width="15" style="1502" customWidth="1"/>
    <col min="4037" max="4037" width="10.5" style="1502" customWidth="1"/>
    <col min="4038" max="4038" width="12.375" style="1502" customWidth="1"/>
    <col min="4039" max="4039" width="9" style="1502" customWidth="1"/>
    <col min="4040" max="4040" width="15" style="1502" customWidth="1"/>
    <col min="4041" max="4041" width="10.5" style="1502" customWidth="1"/>
    <col min="4042" max="4042" width="9.375" style="1502" customWidth="1"/>
    <col min="4043" max="4045" width="7.875" style="1502" customWidth="1"/>
    <col min="4046" max="4273" width="9" style="1502"/>
    <col min="4274" max="4274" width="4.5" style="1502" customWidth="1"/>
    <col min="4275" max="4275" width="28.375" style="1502" customWidth="1"/>
    <col min="4276" max="4278" width="9" style="1502" customWidth="1"/>
    <col min="4279" max="4280" width="10.875" style="1502" customWidth="1"/>
    <col min="4281" max="4281" width="9.875" style="1502" customWidth="1"/>
    <col min="4282" max="4282" width="10.875" style="1502" customWidth="1"/>
    <col min="4283" max="4283" width="9.875" style="1502" customWidth="1"/>
    <col min="4284" max="4284" width="10.875" style="1502" customWidth="1"/>
    <col min="4285" max="4285" width="9.875" style="1502" customWidth="1"/>
    <col min="4286" max="4286" width="10.875" style="1502" customWidth="1"/>
    <col min="4287" max="4287" width="9.875" style="1502" customWidth="1"/>
    <col min="4288" max="4288" width="10.875" style="1502" customWidth="1"/>
    <col min="4289" max="4289" width="9.875" style="1502" customWidth="1"/>
    <col min="4290" max="4290" width="12.375" style="1502" customWidth="1"/>
    <col min="4291" max="4291" width="9" style="1502" customWidth="1"/>
    <col min="4292" max="4292" width="15" style="1502" customWidth="1"/>
    <col min="4293" max="4293" width="10.5" style="1502" customWidth="1"/>
    <col min="4294" max="4294" width="12.375" style="1502" customWidth="1"/>
    <col min="4295" max="4295" width="9" style="1502" customWidth="1"/>
    <col min="4296" max="4296" width="15" style="1502" customWidth="1"/>
    <col min="4297" max="4297" width="10.5" style="1502" customWidth="1"/>
    <col min="4298" max="4298" width="9.375" style="1502" customWidth="1"/>
    <col min="4299" max="4301" width="7.875" style="1502" customWidth="1"/>
    <col min="4302" max="4529" width="9" style="1502"/>
    <col min="4530" max="4530" width="4.5" style="1502" customWidth="1"/>
    <col min="4531" max="4531" width="28.375" style="1502" customWidth="1"/>
    <col min="4532" max="4534" width="9" style="1502" customWidth="1"/>
    <col min="4535" max="4536" width="10.875" style="1502" customWidth="1"/>
    <col min="4537" max="4537" width="9.875" style="1502" customWidth="1"/>
    <col min="4538" max="4538" width="10.875" style="1502" customWidth="1"/>
    <col min="4539" max="4539" width="9.875" style="1502" customWidth="1"/>
    <col min="4540" max="4540" width="10.875" style="1502" customWidth="1"/>
    <col min="4541" max="4541" width="9.875" style="1502" customWidth="1"/>
    <col min="4542" max="4542" width="10.875" style="1502" customWidth="1"/>
    <col min="4543" max="4543" width="9.875" style="1502" customWidth="1"/>
    <col min="4544" max="4544" width="10.875" style="1502" customWidth="1"/>
    <col min="4545" max="4545" width="9.875" style="1502" customWidth="1"/>
    <col min="4546" max="4546" width="12.375" style="1502" customWidth="1"/>
    <col min="4547" max="4547" width="9" style="1502" customWidth="1"/>
    <col min="4548" max="4548" width="15" style="1502" customWidth="1"/>
    <col min="4549" max="4549" width="10.5" style="1502" customWidth="1"/>
    <col min="4550" max="4550" width="12.375" style="1502" customWidth="1"/>
    <col min="4551" max="4551" width="9" style="1502" customWidth="1"/>
    <col min="4552" max="4552" width="15" style="1502" customWidth="1"/>
    <col min="4553" max="4553" width="10.5" style="1502" customWidth="1"/>
    <col min="4554" max="4554" width="9.375" style="1502" customWidth="1"/>
    <col min="4555" max="4557" width="7.875" style="1502" customWidth="1"/>
    <col min="4558" max="4785" width="9" style="1502"/>
    <col min="4786" max="4786" width="4.5" style="1502" customWidth="1"/>
    <col min="4787" max="4787" width="28.375" style="1502" customWidth="1"/>
    <col min="4788" max="4790" width="9" style="1502" customWidth="1"/>
    <col min="4791" max="4792" width="10.875" style="1502" customWidth="1"/>
    <col min="4793" max="4793" width="9.875" style="1502" customWidth="1"/>
    <col min="4794" max="4794" width="10.875" style="1502" customWidth="1"/>
    <col min="4795" max="4795" width="9.875" style="1502" customWidth="1"/>
    <col min="4796" max="4796" width="10.875" style="1502" customWidth="1"/>
    <col min="4797" max="4797" width="9.875" style="1502" customWidth="1"/>
    <col min="4798" max="4798" width="10.875" style="1502" customWidth="1"/>
    <col min="4799" max="4799" width="9.875" style="1502" customWidth="1"/>
    <col min="4800" max="4800" width="10.875" style="1502" customWidth="1"/>
    <col min="4801" max="4801" width="9.875" style="1502" customWidth="1"/>
    <col min="4802" max="4802" width="12.375" style="1502" customWidth="1"/>
    <col min="4803" max="4803" width="9" style="1502" customWidth="1"/>
    <col min="4804" max="4804" width="15" style="1502" customWidth="1"/>
    <col min="4805" max="4805" width="10.5" style="1502" customWidth="1"/>
    <col min="4806" max="4806" width="12.375" style="1502" customWidth="1"/>
    <col min="4807" max="4807" width="9" style="1502" customWidth="1"/>
    <col min="4808" max="4808" width="15" style="1502" customWidth="1"/>
    <col min="4809" max="4809" width="10.5" style="1502" customWidth="1"/>
    <col min="4810" max="4810" width="9.375" style="1502" customWidth="1"/>
    <col min="4811" max="4813" width="7.875" style="1502" customWidth="1"/>
    <col min="4814" max="5041" width="9" style="1502"/>
    <col min="5042" max="5042" width="4.5" style="1502" customWidth="1"/>
    <col min="5043" max="5043" width="28.375" style="1502" customWidth="1"/>
    <col min="5044" max="5046" width="9" style="1502" customWidth="1"/>
    <col min="5047" max="5048" width="10.875" style="1502" customWidth="1"/>
    <col min="5049" max="5049" width="9.875" style="1502" customWidth="1"/>
    <col min="5050" max="5050" width="10.875" style="1502" customWidth="1"/>
    <col min="5051" max="5051" width="9.875" style="1502" customWidth="1"/>
    <col min="5052" max="5052" width="10.875" style="1502" customWidth="1"/>
    <col min="5053" max="5053" width="9.875" style="1502" customWidth="1"/>
    <col min="5054" max="5054" width="10.875" style="1502" customWidth="1"/>
    <col min="5055" max="5055" width="9.875" style="1502" customWidth="1"/>
    <col min="5056" max="5056" width="10.875" style="1502" customWidth="1"/>
    <col min="5057" max="5057" width="9.875" style="1502" customWidth="1"/>
    <col min="5058" max="5058" width="12.375" style="1502" customWidth="1"/>
    <col min="5059" max="5059" width="9" style="1502" customWidth="1"/>
    <col min="5060" max="5060" width="15" style="1502" customWidth="1"/>
    <col min="5061" max="5061" width="10.5" style="1502" customWidth="1"/>
    <col min="5062" max="5062" width="12.375" style="1502" customWidth="1"/>
    <col min="5063" max="5063" width="9" style="1502" customWidth="1"/>
    <col min="5064" max="5064" width="15" style="1502" customWidth="1"/>
    <col min="5065" max="5065" width="10.5" style="1502" customWidth="1"/>
    <col min="5066" max="5066" width="9.375" style="1502" customWidth="1"/>
    <col min="5067" max="5069" width="7.875" style="1502" customWidth="1"/>
    <col min="5070" max="5297" width="9" style="1502"/>
    <col min="5298" max="5298" width="4.5" style="1502" customWidth="1"/>
    <col min="5299" max="5299" width="28.375" style="1502" customWidth="1"/>
    <col min="5300" max="5302" width="9" style="1502" customWidth="1"/>
    <col min="5303" max="5304" width="10.875" style="1502" customWidth="1"/>
    <col min="5305" max="5305" width="9.875" style="1502" customWidth="1"/>
    <col min="5306" max="5306" width="10.875" style="1502" customWidth="1"/>
    <col min="5307" max="5307" width="9.875" style="1502" customWidth="1"/>
    <col min="5308" max="5308" width="10.875" style="1502" customWidth="1"/>
    <col min="5309" max="5309" width="9.875" style="1502" customWidth="1"/>
    <col min="5310" max="5310" width="10.875" style="1502" customWidth="1"/>
    <col min="5311" max="5311" width="9.875" style="1502" customWidth="1"/>
    <col min="5312" max="5312" width="10.875" style="1502" customWidth="1"/>
    <col min="5313" max="5313" width="9.875" style="1502" customWidth="1"/>
    <col min="5314" max="5314" width="12.375" style="1502" customWidth="1"/>
    <col min="5315" max="5315" width="9" style="1502" customWidth="1"/>
    <col min="5316" max="5316" width="15" style="1502" customWidth="1"/>
    <col min="5317" max="5317" width="10.5" style="1502" customWidth="1"/>
    <col min="5318" max="5318" width="12.375" style="1502" customWidth="1"/>
    <col min="5319" max="5319" width="9" style="1502" customWidth="1"/>
    <col min="5320" max="5320" width="15" style="1502" customWidth="1"/>
    <col min="5321" max="5321" width="10.5" style="1502" customWidth="1"/>
    <col min="5322" max="5322" width="9.375" style="1502" customWidth="1"/>
    <col min="5323" max="5325" width="7.875" style="1502" customWidth="1"/>
    <col min="5326" max="5553" width="9" style="1502"/>
    <col min="5554" max="5554" width="4.5" style="1502" customWidth="1"/>
    <col min="5555" max="5555" width="28.375" style="1502" customWidth="1"/>
    <col min="5556" max="5558" width="9" style="1502" customWidth="1"/>
    <col min="5559" max="5560" width="10.875" style="1502" customWidth="1"/>
    <col min="5561" max="5561" width="9.875" style="1502" customWidth="1"/>
    <col min="5562" max="5562" width="10.875" style="1502" customWidth="1"/>
    <col min="5563" max="5563" width="9.875" style="1502" customWidth="1"/>
    <col min="5564" max="5564" width="10.875" style="1502" customWidth="1"/>
    <col min="5565" max="5565" width="9.875" style="1502" customWidth="1"/>
    <col min="5566" max="5566" width="10.875" style="1502" customWidth="1"/>
    <col min="5567" max="5567" width="9.875" style="1502" customWidth="1"/>
    <col min="5568" max="5568" width="10.875" style="1502" customWidth="1"/>
    <col min="5569" max="5569" width="9.875" style="1502" customWidth="1"/>
    <col min="5570" max="5570" width="12.375" style="1502" customWidth="1"/>
    <col min="5571" max="5571" width="9" style="1502" customWidth="1"/>
    <col min="5572" max="5572" width="15" style="1502" customWidth="1"/>
    <col min="5573" max="5573" width="10.5" style="1502" customWidth="1"/>
    <col min="5574" max="5574" width="12.375" style="1502" customWidth="1"/>
    <col min="5575" max="5575" width="9" style="1502" customWidth="1"/>
    <col min="5576" max="5576" width="15" style="1502" customWidth="1"/>
    <col min="5577" max="5577" width="10.5" style="1502" customWidth="1"/>
    <col min="5578" max="5578" width="9.375" style="1502" customWidth="1"/>
    <col min="5579" max="5581" width="7.875" style="1502" customWidth="1"/>
    <col min="5582" max="5809" width="9" style="1502"/>
    <col min="5810" max="5810" width="4.5" style="1502" customWidth="1"/>
    <col min="5811" max="5811" width="28.375" style="1502" customWidth="1"/>
    <col min="5812" max="5814" width="9" style="1502" customWidth="1"/>
    <col min="5815" max="5816" width="10.875" style="1502" customWidth="1"/>
    <col min="5817" max="5817" width="9.875" style="1502" customWidth="1"/>
    <col min="5818" max="5818" width="10.875" style="1502" customWidth="1"/>
    <col min="5819" max="5819" width="9.875" style="1502" customWidth="1"/>
    <col min="5820" max="5820" width="10.875" style="1502" customWidth="1"/>
    <col min="5821" max="5821" width="9.875" style="1502" customWidth="1"/>
    <col min="5822" max="5822" width="10.875" style="1502" customWidth="1"/>
    <col min="5823" max="5823" width="9.875" style="1502" customWidth="1"/>
    <col min="5824" max="5824" width="10.875" style="1502" customWidth="1"/>
    <col min="5825" max="5825" width="9.875" style="1502" customWidth="1"/>
    <col min="5826" max="5826" width="12.375" style="1502" customWidth="1"/>
    <col min="5827" max="5827" width="9" style="1502" customWidth="1"/>
    <col min="5828" max="5828" width="15" style="1502" customWidth="1"/>
    <col min="5829" max="5829" width="10.5" style="1502" customWidth="1"/>
    <col min="5830" max="5830" width="12.375" style="1502" customWidth="1"/>
    <col min="5831" max="5831" width="9" style="1502" customWidth="1"/>
    <col min="5832" max="5832" width="15" style="1502" customWidth="1"/>
    <col min="5833" max="5833" width="10.5" style="1502" customWidth="1"/>
    <col min="5834" max="5834" width="9.375" style="1502" customWidth="1"/>
    <col min="5835" max="5837" width="7.875" style="1502" customWidth="1"/>
    <col min="5838" max="6065" width="9" style="1502"/>
    <col min="6066" max="6066" width="4.5" style="1502" customWidth="1"/>
    <col min="6067" max="6067" width="28.375" style="1502" customWidth="1"/>
    <col min="6068" max="6070" width="9" style="1502" customWidth="1"/>
    <col min="6071" max="6072" width="10.875" style="1502" customWidth="1"/>
    <col min="6073" max="6073" width="9.875" style="1502" customWidth="1"/>
    <col min="6074" max="6074" width="10.875" style="1502" customWidth="1"/>
    <col min="6075" max="6075" width="9.875" style="1502" customWidth="1"/>
    <col min="6076" max="6076" width="10.875" style="1502" customWidth="1"/>
    <col min="6077" max="6077" width="9.875" style="1502" customWidth="1"/>
    <col min="6078" max="6078" width="10.875" style="1502" customWidth="1"/>
    <col min="6079" max="6079" width="9.875" style="1502" customWidth="1"/>
    <col min="6080" max="6080" width="10.875" style="1502" customWidth="1"/>
    <col min="6081" max="6081" width="9.875" style="1502" customWidth="1"/>
    <col min="6082" max="6082" width="12.375" style="1502" customWidth="1"/>
    <col min="6083" max="6083" width="9" style="1502" customWidth="1"/>
    <col min="6084" max="6084" width="15" style="1502" customWidth="1"/>
    <col min="6085" max="6085" width="10.5" style="1502" customWidth="1"/>
    <col min="6086" max="6086" width="12.375" style="1502" customWidth="1"/>
    <col min="6087" max="6087" width="9" style="1502" customWidth="1"/>
    <col min="6088" max="6088" width="15" style="1502" customWidth="1"/>
    <col min="6089" max="6089" width="10.5" style="1502" customWidth="1"/>
    <col min="6090" max="6090" width="9.375" style="1502" customWidth="1"/>
    <col min="6091" max="6093" width="7.875" style="1502" customWidth="1"/>
    <col min="6094" max="6321" width="9" style="1502"/>
    <col min="6322" max="6322" width="4.5" style="1502" customWidth="1"/>
    <col min="6323" max="6323" width="28.375" style="1502" customWidth="1"/>
    <col min="6324" max="6326" width="9" style="1502" customWidth="1"/>
    <col min="6327" max="6328" width="10.875" style="1502" customWidth="1"/>
    <col min="6329" max="6329" width="9.875" style="1502" customWidth="1"/>
    <col min="6330" max="6330" width="10.875" style="1502" customWidth="1"/>
    <col min="6331" max="6331" width="9.875" style="1502" customWidth="1"/>
    <col min="6332" max="6332" width="10.875" style="1502" customWidth="1"/>
    <col min="6333" max="6333" width="9.875" style="1502" customWidth="1"/>
    <col min="6334" max="6334" width="10.875" style="1502" customWidth="1"/>
    <col min="6335" max="6335" width="9.875" style="1502" customWidth="1"/>
    <col min="6336" max="6336" width="10.875" style="1502" customWidth="1"/>
    <col min="6337" max="6337" width="9.875" style="1502" customWidth="1"/>
    <col min="6338" max="6338" width="12.375" style="1502" customWidth="1"/>
    <col min="6339" max="6339" width="9" style="1502" customWidth="1"/>
    <col min="6340" max="6340" width="15" style="1502" customWidth="1"/>
    <col min="6341" max="6341" width="10.5" style="1502" customWidth="1"/>
    <col min="6342" max="6342" width="12.375" style="1502" customWidth="1"/>
    <col min="6343" max="6343" width="9" style="1502" customWidth="1"/>
    <col min="6344" max="6344" width="15" style="1502" customWidth="1"/>
    <col min="6345" max="6345" width="10.5" style="1502" customWidth="1"/>
    <col min="6346" max="6346" width="9.375" style="1502" customWidth="1"/>
    <col min="6347" max="6349" width="7.875" style="1502" customWidth="1"/>
    <col min="6350" max="6577" width="9" style="1502"/>
    <col min="6578" max="6578" width="4.5" style="1502" customWidth="1"/>
    <col min="6579" max="6579" width="28.375" style="1502" customWidth="1"/>
    <col min="6580" max="6582" width="9" style="1502" customWidth="1"/>
    <col min="6583" max="6584" width="10.875" style="1502" customWidth="1"/>
    <col min="6585" max="6585" width="9.875" style="1502" customWidth="1"/>
    <col min="6586" max="6586" width="10.875" style="1502" customWidth="1"/>
    <col min="6587" max="6587" width="9.875" style="1502" customWidth="1"/>
    <col min="6588" max="6588" width="10.875" style="1502" customWidth="1"/>
    <col min="6589" max="6589" width="9.875" style="1502" customWidth="1"/>
    <col min="6590" max="6590" width="10.875" style="1502" customWidth="1"/>
    <col min="6591" max="6591" width="9.875" style="1502" customWidth="1"/>
    <col min="6592" max="6592" width="10.875" style="1502" customWidth="1"/>
    <col min="6593" max="6593" width="9.875" style="1502" customWidth="1"/>
    <col min="6594" max="6594" width="12.375" style="1502" customWidth="1"/>
    <col min="6595" max="6595" width="9" style="1502" customWidth="1"/>
    <col min="6596" max="6596" width="15" style="1502" customWidth="1"/>
    <col min="6597" max="6597" width="10.5" style="1502" customWidth="1"/>
    <col min="6598" max="6598" width="12.375" style="1502" customWidth="1"/>
    <col min="6599" max="6599" width="9" style="1502" customWidth="1"/>
    <col min="6600" max="6600" width="15" style="1502" customWidth="1"/>
    <col min="6601" max="6601" width="10.5" style="1502" customWidth="1"/>
    <col min="6602" max="6602" width="9.375" style="1502" customWidth="1"/>
    <col min="6603" max="6605" width="7.875" style="1502" customWidth="1"/>
    <col min="6606" max="6833" width="9" style="1502"/>
    <col min="6834" max="6834" width="4.5" style="1502" customWidth="1"/>
    <col min="6835" max="6835" width="28.375" style="1502" customWidth="1"/>
    <col min="6836" max="6838" width="9" style="1502" customWidth="1"/>
    <col min="6839" max="6840" width="10.875" style="1502" customWidth="1"/>
    <col min="6841" max="6841" width="9.875" style="1502" customWidth="1"/>
    <col min="6842" max="6842" width="10.875" style="1502" customWidth="1"/>
    <col min="6843" max="6843" width="9.875" style="1502" customWidth="1"/>
    <col min="6844" max="6844" width="10.875" style="1502" customWidth="1"/>
    <col min="6845" max="6845" width="9.875" style="1502" customWidth="1"/>
    <col min="6846" max="6846" width="10.875" style="1502" customWidth="1"/>
    <col min="6847" max="6847" width="9.875" style="1502" customWidth="1"/>
    <col min="6848" max="6848" width="10.875" style="1502" customWidth="1"/>
    <col min="6849" max="6849" width="9.875" style="1502" customWidth="1"/>
    <col min="6850" max="6850" width="12.375" style="1502" customWidth="1"/>
    <col min="6851" max="6851" width="9" style="1502" customWidth="1"/>
    <col min="6852" max="6852" width="15" style="1502" customWidth="1"/>
    <col min="6853" max="6853" width="10.5" style="1502" customWidth="1"/>
    <col min="6854" max="6854" width="12.375" style="1502" customWidth="1"/>
    <col min="6855" max="6855" width="9" style="1502" customWidth="1"/>
    <col min="6856" max="6856" width="15" style="1502" customWidth="1"/>
    <col min="6857" max="6857" width="10.5" style="1502" customWidth="1"/>
    <col min="6858" max="6858" width="9.375" style="1502" customWidth="1"/>
    <col min="6859" max="6861" width="7.875" style="1502" customWidth="1"/>
    <col min="6862" max="7089" width="9" style="1502"/>
    <col min="7090" max="7090" width="4.5" style="1502" customWidth="1"/>
    <col min="7091" max="7091" width="28.375" style="1502" customWidth="1"/>
    <col min="7092" max="7094" width="9" style="1502" customWidth="1"/>
    <col min="7095" max="7096" width="10.875" style="1502" customWidth="1"/>
    <col min="7097" max="7097" width="9.875" style="1502" customWidth="1"/>
    <col min="7098" max="7098" width="10.875" style="1502" customWidth="1"/>
    <col min="7099" max="7099" width="9.875" style="1502" customWidth="1"/>
    <col min="7100" max="7100" width="10.875" style="1502" customWidth="1"/>
    <col min="7101" max="7101" width="9.875" style="1502" customWidth="1"/>
    <col min="7102" max="7102" width="10.875" style="1502" customWidth="1"/>
    <col min="7103" max="7103" width="9.875" style="1502" customWidth="1"/>
    <col min="7104" max="7104" width="10.875" style="1502" customWidth="1"/>
    <col min="7105" max="7105" width="9.875" style="1502" customWidth="1"/>
    <col min="7106" max="7106" width="12.375" style="1502" customWidth="1"/>
    <col min="7107" max="7107" width="9" style="1502" customWidth="1"/>
    <col min="7108" max="7108" width="15" style="1502" customWidth="1"/>
    <col min="7109" max="7109" width="10.5" style="1502" customWidth="1"/>
    <col min="7110" max="7110" width="12.375" style="1502" customWidth="1"/>
    <col min="7111" max="7111" width="9" style="1502" customWidth="1"/>
    <col min="7112" max="7112" width="15" style="1502" customWidth="1"/>
    <col min="7113" max="7113" width="10.5" style="1502" customWidth="1"/>
    <col min="7114" max="7114" width="9.375" style="1502" customWidth="1"/>
    <col min="7115" max="7117" width="7.875" style="1502" customWidth="1"/>
    <col min="7118" max="7345" width="9" style="1502"/>
    <col min="7346" max="7346" width="4.5" style="1502" customWidth="1"/>
    <col min="7347" max="7347" width="28.375" style="1502" customWidth="1"/>
    <col min="7348" max="7350" width="9" style="1502" customWidth="1"/>
    <col min="7351" max="7352" width="10.875" style="1502" customWidth="1"/>
    <col min="7353" max="7353" width="9.875" style="1502" customWidth="1"/>
    <col min="7354" max="7354" width="10.875" style="1502" customWidth="1"/>
    <col min="7355" max="7355" width="9.875" style="1502" customWidth="1"/>
    <col min="7356" max="7356" width="10.875" style="1502" customWidth="1"/>
    <col min="7357" max="7357" width="9.875" style="1502" customWidth="1"/>
    <col min="7358" max="7358" width="10.875" style="1502" customWidth="1"/>
    <col min="7359" max="7359" width="9.875" style="1502" customWidth="1"/>
    <col min="7360" max="7360" width="10.875" style="1502" customWidth="1"/>
    <col min="7361" max="7361" width="9.875" style="1502" customWidth="1"/>
    <col min="7362" max="7362" width="12.375" style="1502" customWidth="1"/>
    <col min="7363" max="7363" width="9" style="1502" customWidth="1"/>
    <col min="7364" max="7364" width="15" style="1502" customWidth="1"/>
    <col min="7365" max="7365" width="10.5" style="1502" customWidth="1"/>
    <col min="7366" max="7366" width="12.375" style="1502" customWidth="1"/>
    <col min="7367" max="7367" width="9" style="1502" customWidth="1"/>
    <col min="7368" max="7368" width="15" style="1502" customWidth="1"/>
    <col min="7369" max="7369" width="10.5" style="1502" customWidth="1"/>
    <col min="7370" max="7370" width="9.375" style="1502" customWidth="1"/>
    <col min="7371" max="7373" width="7.875" style="1502" customWidth="1"/>
    <col min="7374" max="7601" width="9" style="1502"/>
    <col min="7602" max="7602" width="4.5" style="1502" customWidth="1"/>
    <col min="7603" max="7603" width="28.375" style="1502" customWidth="1"/>
    <col min="7604" max="7606" width="9" style="1502" customWidth="1"/>
    <col min="7607" max="7608" width="10.875" style="1502" customWidth="1"/>
    <col min="7609" max="7609" width="9.875" style="1502" customWidth="1"/>
    <col min="7610" max="7610" width="10.875" style="1502" customWidth="1"/>
    <col min="7611" max="7611" width="9.875" style="1502" customWidth="1"/>
    <col min="7612" max="7612" width="10.875" style="1502" customWidth="1"/>
    <col min="7613" max="7613" width="9.875" style="1502" customWidth="1"/>
    <col min="7614" max="7614" width="10.875" style="1502" customWidth="1"/>
    <col min="7615" max="7615" width="9.875" style="1502" customWidth="1"/>
    <col min="7616" max="7616" width="10.875" style="1502" customWidth="1"/>
    <col min="7617" max="7617" width="9.875" style="1502" customWidth="1"/>
    <col min="7618" max="7618" width="12.375" style="1502" customWidth="1"/>
    <col min="7619" max="7619" width="9" style="1502" customWidth="1"/>
    <col min="7620" max="7620" width="15" style="1502" customWidth="1"/>
    <col min="7621" max="7621" width="10.5" style="1502" customWidth="1"/>
    <col min="7622" max="7622" width="12.375" style="1502" customWidth="1"/>
    <col min="7623" max="7623" width="9" style="1502" customWidth="1"/>
    <col min="7624" max="7624" width="15" style="1502" customWidth="1"/>
    <col min="7625" max="7625" width="10.5" style="1502" customWidth="1"/>
    <col min="7626" max="7626" width="9.375" style="1502" customWidth="1"/>
    <col min="7627" max="7629" width="7.875" style="1502" customWidth="1"/>
    <col min="7630" max="7857" width="9" style="1502"/>
    <col min="7858" max="7858" width="4.5" style="1502" customWidth="1"/>
    <col min="7859" max="7859" width="28.375" style="1502" customWidth="1"/>
    <col min="7860" max="7862" width="9" style="1502" customWidth="1"/>
    <col min="7863" max="7864" width="10.875" style="1502" customWidth="1"/>
    <col min="7865" max="7865" width="9.875" style="1502" customWidth="1"/>
    <col min="7866" max="7866" width="10.875" style="1502" customWidth="1"/>
    <col min="7867" max="7867" width="9.875" style="1502" customWidth="1"/>
    <col min="7868" max="7868" width="10.875" style="1502" customWidth="1"/>
    <col min="7869" max="7869" width="9.875" style="1502" customWidth="1"/>
    <col min="7870" max="7870" width="10.875" style="1502" customWidth="1"/>
    <col min="7871" max="7871" width="9.875" style="1502" customWidth="1"/>
    <col min="7872" max="7872" width="10.875" style="1502" customWidth="1"/>
    <col min="7873" max="7873" width="9.875" style="1502" customWidth="1"/>
    <col min="7874" max="7874" width="12.375" style="1502" customWidth="1"/>
    <col min="7875" max="7875" width="9" style="1502" customWidth="1"/>
    <col min="7876" max="7876" width="15" style="1502" customWidth="1"/>
    <col min="7877" max="7877" width="10.5" style="1502" customWidth="1"/>
    <col min="7878" max="7878" width="12.375" style="1502" customWidth="1"/>
    <col min="7879" max="7879" width="9" style="1502" customWidth="1"/>
    <col min="7880" max="7880" width="15" style="1502" customWidth="1"/>
    <col min="7881" max="7881" width="10.5" style="1502" customWidth="1"/>
    <col min="7882" max="7882" width="9.375" style="1502" customWidth="1"/>
    <col min="7883" max="7885" width="7.875" style="1502" customWidth="1"/>
    <col min="7886" max="8113" width="9" style="1502"/>
    <col min="8114" max="8114" width="4.5" style="1502" customWidth="1"/>
    <col min="8115" max="8115" width="28.375" style="1502" customWidth="1"/>
    <col min="8116" max="8118" width="9" style="1502" customWidth="1"/>
    <col min="8119" max="8120" width="10.875" style="1502" customWidth="1"/>
    <col min="8121" max="8121" width="9.875" style="1502" customWidth="1"/>
    <col min="8122" max="8122" width="10.875" style="1502" customWidth="1"/>
    <col min="8123" max="8123" width="9.875" style="1502" customWidth="1"/>
    <col min="8124" max="8124" width="10.875" style="1502" customWidth="1"/>
    <col min="8125" max="8125" width="9.875" style="1502" customWidth="1"/>
    <col min="8126" max="8126" width="10.875" style="1502" customWidth="1"/>
    <col min="8127" max="8127" width="9.875" style="1502" customWidth="1"/>
    <col min="8128" max="8128" width="10.875" style="1502" customWidth="1"/>
    <col min="8129" max="8129" width="9.875" style="1502" customWidth="1"/>
    <col min="8130" max="8130" width="12.375" style="1502" customWidth="1"/>
    <col min="8131" max="8131" width="9" style="1502" customWidth="1"/>
    <col min="8132" max="8132" width="15" style="1502" customWidth="1"/>
    <col min="8133" max="8133" width="10.5" style="1502" customWidth="1"/>
    <col min="8134" max="8134" width="12.375" style="1502" customWidth="1"/>
    <col min="8135" max="8135" width="9" style="1502" customWidth="1"/>
    <col min="8136" max="8136" width="15" style="1502" customWidth="1"/>
    <col min="8137" max="8137" width="10.5" style="1502" customWidth="1"/>
    <col min="8138" max="8138" width="9.375" style="1502" customWidth="1"/>
    <col min="8139" max="8141" width="7.875" style="1502" customWidth="1"/>
    <col min="8142" max="8369" width="9" style="1502"/>
    <col min="8370" max="8370" width="4.5" style="1502" customWidth="1"/>
    <col min="8371" max="8371" width="28.375" style="1502" customWidth="1"/>
    <col min="8372" max="8374" width="9" style="1502" customWidth="1"/>
    <col min="8375" max="8376" width="10.875" style="1502" customWidth="1"/>
    <col min="8377" max="8377" width="9.875" style="1502" customWidth="1"/>
    <col min="8378" max="8378" width="10.875" style="1502" customWidth="1"/>
    <col min="8379" max="8379" width="9.875" style="1502" customWidth="1"/>
    <col min="8380" max="8380" width="10.875" style="1502" customWidth="1"/>
    <col min="8381" max="8381" width="9.875" style="1502" customWidth="1"/>
    <col min="8382" max="8382" width="10.875" style="1502" customWidth="1"/>
    <col min="8383" max="8383" width="9.875" style="1502" customWidth="1"/>
    <col min="8384" max="8384" width="10.875" style="1502" customWidth="1"/>
    <col min="8385" max="8385" width="9.875" style="1502" customWidth="1"/>
    <col min="8386" max="8386" width="12.375" style="1502" customWidth="1"/>
    <col min="8387" max="8387" width="9" style="1502" customWidth="1"/>
    <col min="8388" max="8388" width="15" style="1502" customWidth="1"/>
    <col min="8389" max="8389" width="10.5" style="1502" customWidth="1"/>
    <col min="8390" max="8390" width="12.375" style="1502" customWidth="1"/>
    <col min="8391" max="8391" width="9" style="1502" customWidth="1"/>
    <col min="8392" max="8392" width="15" style="1502" customWidth="1"/>
    <col min="8393" max="8393" width="10.5" style="1502" customWidth="1"/>
    <col min="8394" max="8394" width="9.375" style="1502" customWidth="1"/>
    <col min="8395" max="8397" width="7.875" style="1502" customWidth="1"/>
    <col min="8398" max="8625" width="9" style="1502"/>
    <col min="8626" max="8626" width="4.5" style="1502" customWidth="1"/>
    <col min="8627" max="8627" width="28.375" style="1502" customWidth="1"/>
    <col min="8628" max="8630" width="9" style="1502" customWidth="1"/>
    <col min="8631" max="8632" width="10.875" style="1502" customWidth="1"/>
    <col min="8633" max="8633" width="9.875" style="1502" customWidth="1"/>
    <col min="8634" max="8634" width="10.875" style="1502" customWidth="1"/>
    <col min="8635" max="8635" width="9.875" style="1502" customWidth="1"/>
    <col min="8636" max="8636" width="10.875" style="1502" customWidth="1"/>
    <col min="8637" max="8637" width="9.875" style="1502" customWidth="1"/>
    <col min="8638" max="8638" width="10.875" style="1502" customWidth="1"/>
    <col min="8639" max="8639" width="9.875" style="1502" customWidth="1"/>
    <col min="8640" max="8640" width="10.875" style="1502" customWidth="1"/>
    <col min="8641" max="8641" width="9.875" style="1502" customWidth="1"/>
    <col min="8642" max="8642" width="12.375" style="1502" customWidth="1"/>
    <col min="8643" max="8643" width="9" style="1502" customWidth="1"/>
    <col min="8644" max="8644" width="15" style="1502" customWidth="1"/>
    <col min="8645" max="8645" width="10.5" style="1502" customWidth="1"/>
    <col min="8646" max="8646" width="12.375" style="1502" customWidth="1"/>
    <col min="8647" max="8647" width="9" style="1502" customWidth="1"/>
    <col min="8648" max="8648" width="15" style="1502" customWidth="1"/>
    <col min="8649" max="8649" width="10.5" style="1502" customWidth="1"/>
    <col min="8650" max="8650" width="9.375" style="1502" customWidth="1"/>
    <col min="8651" max="8653" width="7.875" style="1502" customWidth="1"/>
    <col min="8654" max="8881" width="9" style="1502"/>
    <col min="8882" max="8882" width="4.5" style="1502" customWidth="1"/>
    <col min="8883" max="8883" width="28.375" style="1502" customWidth="1"/>
    <col min="8884" max="8886" width="9" style="1502" customWidth="1"/>
    <col min="8887" max="8888" width="10.875" style="1502" customWidth="1"/>
    <col min="8889" max="8889" width="9.875" style="1502" customWidth="1"/>
    <col min="8890" max="8890" width="10.875" style="1502" customWidth="1"/>
    <col min="8891" max="8891" width="9.875" style="1502" customWidth="1"/>
    <col min="8892" max="8892" width="10.875" style="1502" customWidth="1"/>
    <col min="8893" max="8893" width="9.875" style="1502" customWidth="1"/>
    <col min="8894" max="8894" width="10.875" style="1502" customWidth="1"/>
    <col min="8895" max="8895" width="9.875" style="1502" customWidth="1"/>
    <col min="8896" max="8896" width="10.875" style="1502" customWidth="1"/>
    <col min="8897" max="8897" width="9.875" style="1502" customWidth="1"/>
    <col min="8898" max="8898" width="12.375" style="1502" customWidth="1"/>
    <col min="8899" max="8899" width="9" style="1502" customWidth="1"/>
    <col min="8900" max="8900" width="15" style="1502" customWidth="1"/>
    <col min="8901" max="8901" width="10.5" style="1502" customWidth="1"/>
    <col min="8902" max="8902" width="12.375" style="1502" customWidth="1"/>
    <col min="8903" max="8903" width="9" style="1502" customWidth="1"/>
    <col min="8904" max="8904" width="15" style="1502" customWidth="1"/>
    <col min="8905" max="8905" width="10.5" style="1502" customWidth="1"/>
    <col min="8906" max="8906" width="9.375" style="1502" customWidth="1"/>
    <col min="8907" max="8909" width="7.875" style="1502" customWidth="1"/>
    <col min="8910" max="9137" width="9" style="1502"/>
    <col min="9138" max="9138" width="4.5" style="1502" customWidth="1"/>
    <col min="9139" max="9139" width="28.375" style="1502" customWidth="1"/>
    <col min="9140" max="9142" width="9" style="1502" customWidth="1"/>
    <col min="9143" max="9144" width="10.875" style="1502" customWidth="1"/>
    <col min="9145" max="9145" width="9.875" style="1502" customWidth="1"/>
    <col min="9146" max="9146" width="10.875" style="1502" customWidth="1"/>
    <col min="9147" max="9147" width="9.875" style="1502" customWidth="1"/>
    <col min="9148" max="9148" width="10.875" style="1502" customWidth="1"/>
    <col min="9149" max="9149" width="9.875" style="1502" customWidth="1"/>
    <col min="9150" max="9150" width="10.875" style="1502" customWidth="1"/>
    <col min="9151" max="9151" width="9.875" style="1502" customWidth="1"/>
    <col min="9152" max="9152" width="10.875" style="1502" customWidth="1"/>
    <col min="9153" max="9153" width="9.875" style="1502" customWidth="1"/>
    <col min="9154" max="9154" width="12.375" style="1502" customWidth="1"/>
    <col min="9155" max="9155" width="9" style="1502" customWidth="1"/>
    <col min="9156" max="9156" width="15" style="1502" customWidth="1"/>
    <col min="9157" max="9157" width="10.5" style="1502" customWidth="1"/>
    <col min="9158" max="9158" width="12.375" style="1502" customWidth="1"/>
    <col min="9159" max="9159" width="9" style="1502" customWidth="1"/>
    <col min="9160" max="9160" width="15" style="1502" customWidth="1"/>
    <col min="9161" max="9161" width="10.5" style="1502" customWidth="1"/>
    <col min="9162" max="9162" width="9.375" style="1502" customWidth="1"/>
    <col min="9163" max="9165" width="7.875" style="1502" customWidth="1"/>
    <col min="9166" max="9393" width="9" style="1502"/>
    <col min="9394" max="9394" width="4.5" style="1502" customWidth="1"/>
    <col min="9395" max="9395" width="28.375" style="1502" customWidth="1"/>
    <col min="9396" max="9398" width="9" style="1502" customWidth="1"/>
    <col min="9399" max="9400" width="10.875" style="1502" customWidth="1"/>
    <col min="9401" max="9401" width="9.875" style="1502" customWidth="1"/>
    <col min="9402" max="9402" width="10.875" style="1502" customWidth="1"/>
    <col min="9403" max="9403" width="9.875" style="1502" customWidth="1"/>
    <col min="9404" max="9404" width="10.875" style="1502" customWidth="1"/>
    <col min="9405" max="9405" width="9.875" style="1502" customWidth="1"/>
    <col min="9406" max="9406" width="10.875" style="1502" customWidth="1"/>
    <col min="9407" max="9407" width="9.875" style="1502" customWidth="1"/>
    <col min="9408" max="9408" width="10.875" style="1502" customWidth="1"/>
    <col min="9409" max="9409" width="9.875" style="1502" customWidth="1"/>
    <col min="9410" max="9410" width="12.375" style="1502" customWidth="1"/>
    <col min="9411" max="9411" width="9" style="1502" customWidth="1"/>
    <col min="9412" max="9412" width="15" style="1502" customWidth="1"/>
    <col min="9413" max="9413" width="10.5" style="1502" customWidth="1"/>
    <col min="9414" max="9414" width="12.375" style="1502" customWidth="1"/>
    <col min="9415" max="9415" width="9" style="1502" customWidth="1"/>
    <col min="9416" max="9416" width="15" style="1502" customWidth="1"/>
    <col min="9417" max="9417" width="10.5" style="1502" customWidth="1"/>
    <col min="9418" max="9418" width="9.375" style="1502" customWidth="1"/>
    <col min="9419" max="9421" width="7.875" style="1502" customWidth="1"/>
    <col min="9422" max="9649" width="9" style="1502"/>
    <col min="9650" max="9650" width="4.5" style="1502" customWidth="1"/>
    <col min="9651" max="9651" width="28.375" style="1502" customWidth="1"/>
    <col min="9652" max="9654" width="9" style="1502" customWidth="1"/>
    <col min="9655" max="9656" width="10.875" style="1502" customWidth="1"/>
    <col min="9657" max="9657" width="9.875" style="1502" customWidth="1"/>
    <col min="9658" max="9658" width="10.875" style="1502" customWidth="1"/>
    <col min="9659" max="9659" width="9.875" style="1502" customWidth="1"/>
    <col min="9660" max="9660" width="10.875" style="1502" customWidth="1"/>
    <col min="9661" max="9661" width="9.875" style="1502" customWidth="1"/>
    <col min="9662" max="9662" width="10.875" style="1502" customWidth="1"/>
    <col min="9663" max="9663" width="9.875" style="1502" customWidth="1"/>
    <col min="9664" max="9664" width="10.875" style="1502" customWidth="1"/>
    <col min="9665" max="9665" width="9.875" style="1502" customWidth="1"/>
    <col min="9666" max="9666" width="12.375" style="1502" customWidth="1"/>
    <col min="9667" max="9667" width="9" style="1502" customWidth="1"/>
    <col min="9668" max="9668" width="15" style="1502" customWidth="1"/>
    <col min="9669" max="9669" width="10.5" style="1502" customWidth="1"/>
    <col min="9670" max="9670" width="12.375" style="1502" customWidth="1"/>
    <col min="9671" max="9671" width="9" style="1502" customWidth="1"/>
    <col min="9672" max="9672" width="15" style="1502" customWidth="1"/>
    <col min="9673" max="9673" width="10.5" style="1502" customWidth="1"/>
    <col min="9674" max="9674" width="9.375" style="1502" customWidth="1"/>
    <col min="9675" max="9677" width="7.875" style="1502" customWidth="1"/>
    <col min="9678" max="9905" width="9" style="1502"/>
    <col min="9906" max="9906" width="4.5" style="1502" customWidth="1"/>
    <col min="9907" max="9907" width="28.375" style="1502" customWidth="1"/>
    <col min="9908" max="9910" width="9" style="1502" customWidth="1"/>
    <col min="9911" max="9912" width="10.875" style="1502" customWidth="1"/>
    <col min="9913" max="9913" width="9.875" style="1502" customWidth="1"/>
    <col min="9914" max="9914" width="10.875" style="1502" customWidth="1"/>
    <col min="9915" max="9915" width="9.875" style="1502" customWidth="1"/>
    <col min="9916" max="9916" width="10.875" style="1502" customWidth="1"/>
    <col min="9917" max="9917" width="9.875" style="1502" customWidth="1"/>
    <col min="9918" max="9918" width="10.875" style="1502" customWidth="1"/>
    <col min="9919" max="9919" width="9.875" style="1502" customWidth="1"/>
    <col min="9920" max="9920" width="10.875" style="1502" customWidth="1"/>
    <col min="9921" max="9921" width="9.875" style="1502" customWidth="1"/>
    <col min="9922" max="9922" width="12.375" style="1502" customWidth="1"/>
    <col min="9923" max="9923" width="9" style="1502" customWidth="1"/>
    <col min="9924" max="9924" width="15" style="1502" customWidth="1"/>
    <col min="9925" max="9925" width="10.5" style="1502" customWidth="1"/>
    <col min="9926" max="9926" width="12.375" style="1502" customWidth="1"/>
    <col min="9927" max="9927" width="9" style="1502" customWidth="1"/>
    <col min="9928" max="9928" width="15" style="1502" customWidth="1"/>
    <col min="9929" max="9929" width="10.5" style="1502" customWidth="1"/>
    <col min="9930" max="9930" width="9.375" style="1502" customWidth="1"/>
    <col min="9931" max="9933" width="7.875" style="1502" customWidth="1"/>
    <col min="9934" max="10161" width="9" style="1502"/>
    <col min="10162" max="10162" width="4.5" style="1502" customWidth="1"/>
    <col min="10163" max="10163" width="28.375" style="1502" customWidth="1"/>
    <col min="10164" max="10166" width="9" style="1502" customWidth="1"/>
    <col min="10167" max="10168" width="10.875" style="1502" customWidth="1"/>
    <col min="10169" max="10169" width="9.875" style="1502" customWidth="1"/>
    <col min="10170" max="10170" width="10.875" style="1502" customWidth="1"/>
    <col min="10171" max="10171" width="9.875" style="1502" customWidth="1"/>
    <col min="10172" max="10172" width="10.875" style="1502" customWidth="1"/>
    <col min="10173" max="10173" width="9.875" style="1502" customWidth="1"/>
    <col min="10174" max="10174" width="10.875" style="1502" customWidth="1"/>
    <col min="10175" max="10175" width="9.875" style="1502" customWidth="1"/>
    <col min="10176" max="10176" width="10.875" style="1502" customWidth="1"/>
    <col min="10177" max="10177" width="9.875" style="1502" customWidth="1"/>
    <col min="10178" max="10178" width="12.375" style="1502" customWidth="1"/>
    <col min="10179" max="10179" width="9" style="1502" customWidth="1"/>
    <col min="10180" max="10180" width="15" style="1502" customWidth="1"/>
    <col min="10181" max="10181" width="10.5" style="1502" customWidth="1"/>
    <col min="10182" max="10182" width="12.375" style="1502" customWidth="1"/>
    <col min="10183" max="10183" width="9" style="1502" customWidth="1"/>
    <col min="10184" max="10184" width="15" style="1502" customWidth="1"/>
    <col min="10185" max="10185" width="10.5" style="1502" customWidth="1"/>
    <col min="10186" max="10186" width="9.375" style="1502" customWidth="1"/>
    <col min="10187" max="10189" width="7.875" style="1502" customWidth="1"/>
    <col min="10190" max="10417" width="9" style="1502"/>
    <col min="10418" max="10418" width="4.5" style="1502" customWidth="1"/>
    <col min="10419" max="10419" width="28.375" style="1502" customWidth="1"/>
    <col min="10420" max="10422" width="9" style="1502" customWidth="1"/>
    <col min="10423" max="10424" width="10.875" style="1502" customWidth="1"/>
    <col min="10425" max="10425" width="9.875" style="1502" customWidth="1"/>
    <col min="10426" max="10426" width="10.875" style="1502" customWidth="1"/>
    <col min="10427" max="10427" width="9.875" style="1502" customWidth="1"/>
    <col min="10428" max="10428" width="10.875" style="1502" customWidth="1"/>
    <col min="10429" max="10429" width="9.875" style="1502" customWidth="1"/>
    <col min="10430" max="10430" width="10.875" style="1502" customWidth="1"/>
    <col min="10431" max="10431" width="9.875" style="1502" customWidth="1"/>
    <col min="10432" max="10432" width="10.875" style="1502" customWidth="1"/>
    <col min="10433" max="10433" width="9.875" style="1502" customWidth="1"/>
    <col min="10434" max="10434" width="12.375" style="1502" customWidth="1"/>
    <col min="10435" max="10435" width="9" style="1502" customWidth="1"/>
    <col min="10436" max="10436" width="15" style="1502" customWidth="1"/>
    <col min="10437" max="10437" width="10.5" style="1502" customWidth="1"/>
    <col min="10438" max="10438" width="12.375" style="1502" customWidth="1"/>
    <col min="10439" max="10439" width="9" style="1502" customWidth="1"/>
    <col min="10440" max="10440" width="15" style="1502" customWidth="1"/>
    <col min="10441" max="10441" width="10.5" style="1502" customWidth="1"/>
    <col min="10442" max="10442" width="9.375" style="1502" customWidth="1"/>
    <col min="10443" max="10445" width="7.875" style="1502" customWidth="1"/>
    <col min="10446" max="10673" width="9" style="1502"/>
    <col min="10674" max="10674" width="4.5" style="1502" customWidth="1"/>
    <col min="10675" max="10675" width="28.375" style="1502" customWidth="1"/>
    <col min="10676" max="10678" width="9" style="1502" customWidth="1"/>
    <col min="10679" max="10680" width="10.875" style="1502" customWidth="1"/>
    <col min="10681" max="10681" width="9.875" style="1502" customWidth="1"/>
    <col min="10682" max="10682" width="10.875" style="1502" customWidth="1"/>
    <col min="10683" max="10683" width="9.875" style="1502" customWidth="1"/>
    <col min="10684" max="10684" width="10.875" style="1502" customWidth="1"/>
    <col min="10685" max="10685" width="9.875" style="1502" customWidth="1"/>
    <col min="10686" max="10686" width="10.875" style="1502" customWidth="1"/>
    <col min="10687" max="10687" width="9.875" style="1502" customWidth="1"/>
    <col min="10688" max="10688" width="10.875" style="1502" customWidth="1"/>
    <col min="10689" max="10689" width="9.875" style="1502" customWidth="1"/>
    <col min="10690" max="10690" width="12.375" style="1502" customWidth="1"/>
    <col min="10691" max="10691" width="9" style="1502" customWidth="1"/>
    <col min="10692" max="10692" width="15" style="1502" customWidth="1"/>
    <col min="10693" max="10693" width="10.5" style="1502" customWidth="1"/>
    <col min="10694" max="10694" width="12.375" style="1502" customWidth="1"/>
    <col min="10695" max="10695" width="9" style="1502" customWidth="1"/>
    <col min="10696" max="10696" width="15" style="1502" customWidth="1"/>
    <col min="10697" max="10697" width="10.5" style="1502" customWidth="1"/>
    <col min="10698" max="10698" width="9.375" style="1502" customWidth="1"/>
    <col min="10699" max="10701" width="7.875" style="1502" customWidth="1"/>
    <col min="10702" max="10929" width="9" style="1502"/>
    <col min="10930" max="10930" width="4.5" style="1502" customWidth="1"/>
    <col min="10931" max="10931" width="28.375" style="1502" customWidth="1"/>
    <col min="10932" max="10934" width="9" style="1502" customWidth="1"/>
    <col min="10935" max="10936" width="10.875" style="1502" customWidth="1"/>
    <col min="10937" max="10937" width="9.875" style="1502" customWidth="1"/>
    <col min="10938" max="10938" width="10.875" style="1502" customWidth="1"/>
    <col min="10939" max="10939" width="9.875" style="1502" customWidth="1"/>
    <col min="10940" max="10940" width="10.875" style="1502" customWidth="1"/>
    <col min="10941" max="10941" width="9.875" style="1502" customWidth="1"/>
    <col min="10942" max="10942" width="10.875" style="1502" customWidth="1"/>
    <col min="10943" max="10943" width="9.875" style="1502" customWidth="1"/>
    <col min="10944" max="10944" width="10.875" style="1502" customWidth="1"/>
    <col min="10945" max="10945" width="9.875" style="1502" customWidth="1"/>
    <col min="10946" max="10946" width="12.375" style="1502" customWidth="1"/>
    <col min="10947" max="10947" width="9" style="1502" customWidth="1"/>
    <col min="10948" max="10948" width="15" style="1502" customWidth="1"/>
    <col min="10949" max="10949" width="10.5" style="1502" customWidth="1"/>
    <col min="10950" max="10950" width="12.375" style="1502" customWidth="1"/>
    <col min="10951" max="10951" width="9" style="1502" customWidth="1"/>
    <col min="10952" max="10952" width="15" style="1502" customWidth="1"/>
    <col min="10953" max="10953" width="10.5" style="1502" customWidth="1"/>
    <col min="10954" max="10954" width="9.375" style="1502" customWidth="1"/>
    <col min="10955" max="10957" width="7.875" style="1502" customWidth="1"/>
    <col min="10958" max="11185" width="9" style="1502"/>
    <col min="11186" max="11186" width="4.5" style="1502" customWidth="1"/>
    <col min="11187" max="11187" width="28.375" style="1502" customWidth="1"/>
    <col min="11188" max="11190" width="9" style="1502" customWidth="1"/>
    <col min="11191" max="11192" width="10.875" style="1502" customWidth="1"/>
    <col min="11193" max="11193" width="9.875" style="1502" customWidth="1"/>
    <col min="11194" max="11194" width="10.875" style="1502" customWidth="1"/>
    <col min="11195" max="11195" width="9.875" style="1502" customWidth="1"/>
    <col min="11196" max="11196" width="10.875" style="1502" customWidth="1"/>
    <col min="11197" max="11197" width="9.875" style="1502" customWidth="1"/>
    <col min="11198" max="11198" width="10.875" style="1502" customWidth="1"/>
    <col min="11199" max="11199" width="9.875" style="1502" customWidth="1"/>
    <col min="11200" max="11200" width="10.875" style="1502" customWidth="1"/>
    <col min="11201" max="11201" width="9.875" style="1502" customWidth="1"/>
    <col min="11202" max="11202" width="12.375" style="1502" customWidth="1"/>
    <col min="11203" max="11203" width="9" style="1502" customWidth="1"/>
    <col min="11204" max="11204" width="15" style="1502" customWidth="1"/>
    <col min="11205" max="11205" width="10.5" style="1502" customWidth="1"/>
    <col min="11206" max="11206" width="12.375" style="1502" customWidth="1"/>
    <col min="11207" max="11207" width="9" style="1502" customWidth="1"/>
    <col min="11208" max="11208" width="15" style="1502" customWidth="1"/>
    <col min="11209" max="11209" width="10.5" style="1502" customWidth="1"/>
    <col min="11210" max="11210" width="9.375" style="1502" customWidth="1"/>
    <col min="11211" max="11213" width="7.875" style="1502" customWidth="1"/>
    <col min="11214" max="11441" width="9" style="1502"/>
    <col min="11442" max="11442" width="4.5" style="1502" customWidth="1"/>
    <col min="11443" max="11443" width="28.375" style="1502" customWidth="1"/>
    <col min="11444" max="11446" width="9" style="1502" customWidth="1"/>
    <col min="11447" max="11448" width="10.875" style="1502" customWidth="1"/>
    <col min="11449" max="11449" width="9.875" style="1502" customWidth="1"/>
    <col min="11450" max="11450" width="10.875" style="1502" customWidth="1"/>
    <col min="11451" max="11451" width="9.875" style="1502" customWidth="1"/>
    <col min="11452" max="11452" width="10.875" style="1502" customWidth="1"/>
    <col min="11453" max="11453" width="9.875" style="1502" customWidth="1"/>
    <col min="11454" max="11454" width="10.875" style="1502" customWidth="1"/>
    <col min="11455" max="11455" width="9.875" style="1502" customWidth="1"/>
    <col min="11456" max="11456" width="10.875" style="1502" customWidth="1"/>
    <col min="11457" max="11457" width="9.875" style="1502" customWidth="1"/>
    <col min="11458" max="11458" width="12.375" style="1502" customWidth="1"/>
    <col min="11459" max="11459" width="9" style="1502" customWidth="1"/>
    <col min="11460" max="11460" width="15" style="1502" customWidth="1"/>
    <col min="11461" max="11461" width="10.5" style="1502" customWidth="1"/>
    <col min="11462" max="11462" width="12.375" style="1502" customWidth="1"/>
    <col min="11463" max="11463" width="9" style="1502" customWidth="1"/>
    <col min="11464" max="11464" width="15" style="1502" customWidth="1"/>
    <col min="11465" max="11465" width="10.5" style="1502" customWidth="1"/>
    <col min="11466" max="11466" width="9.375" style="1502" customWidth="1"/>
    <col min="11467" max="11469" width="7.875" style="1502" customWidth="1"/>
    <col min="11470" max="11697" width="9" style="1502"/>
    <col min="11698" max="11698" width="4.5" style="1502" customWidth="1"/>
    <col min="11699" max="11699" width="28.375" style="1502" customWidth="1"/>
    <col min="11700" max="11702" width="9" style="1502" customWidth="1"/>
    <col min="11703" max="11704" width="10.875" style="1502" customWidth="1"/>
    <col min="11705" max="11705" width="9.875" style="1502" customWidth="1"/>
    <col min="11706" max="11706" width="10.875" style="1502" customWidth="1"/>
    <col min="11707" max="11707" width="9.875" style="1502" customWidth="1"/>
    <col min="11708" max="11708" width="10.875" style="1502" customWidth="1"/>
    <col min="11709" max="11709" width="9.875" style="1502" customWidth="1"/>
    <col min="11710" max="11710" width="10.875" style="1502" customWidth="1"/>
    <col min="11711" max="11711" width="9.875" style="1502" customWidth="1"/>
    <col min="11712" max="11712" width="10.875" style="1502" customWidth="1"/>
    <col min="11713" max="11713" width="9.875" style="1502" customWidth="1"/>
    <col min="11714" max="11714" width="12.375" style="1502" customWidth="1"/>
    <col min="11715" max="11715" width="9" style="1502" customWidth="1"/>
    <col min="11716" max="11716" width="15" style="1502" customWidth="1"/>
    <col min="11717" max="11717" width="10.5" style="1502" customWidth="1"/>
    <col min="11718" max="11718" width="12.375" style="1502" customWidth="1"/>
    <col min="11719" max="11719" width="9" style="1502" customWidth="1"/>
    <col min="11720" max="11720" width="15" style="1502" customWidth="1"/>
    <col min="11721" max="11721" width="10.5" style="1502" customWidth="1"/>
    <col min="11722" max="11722" width="9.375" style="1502" customWidth="1"/>
    <col min="11723" max="11725" width="7.875" style="1502" customWidth="1"/>
    <col min="11726" max="11953" width="9" style="1502"/>
    <col min="11954" max="11954" width="4.5" style="1502" customWidth="1"/>
    <col min="11955" max="11955" width="28.375" style="1502" customWidth="1"/>
    <col min="11956" max="11958" width="9" style="1502" customWidth="1"/>
    <col min="11959" max="11960" width="10.875" style="1502" customWidth="1"/>
    <col min="11961" max="11961" width="9.875" style="1502" customWidth="1"/>
    <col min="11962" max="11962" width="10.875" style="1502" customWidth="1"/>
    <col min="11963" max="11963" width="9.875" style="1502" customWidth="1"/>
    <col min="11964" max="11964" width="10.875" style="1502" customWidth="1"/>
    <col min="11965" max="11965" width="9.875" style="1502" customWidth="1"/>
    <col min="11966" max="11966" width="10.875" style="1502" customWidth="1"/>
    <col min="11967" max="11967" width="9.875" style="1502" customWidth="1"/>
    <col min="11968" max="11968" width="10.875" style="1502" customWidth="1"/>
    <col min="11969" max="11969" width="9.875" style="1502" customWidth="1"/>
    <col min="11970" max="11970" width="12.375" style="1502" customWidth="1"/>
    <col min="11971" max="11971" width="9" style="1502" customWidth="1"/>
    <col min="11972" max="11972" width="15" style="1502" customWidth="1"/>
    <col min="11973" max="11973" width="10.5" style="1502" customWidth="1"/>
    <col min="11974" max="11974" width="12.375" style="1502" customWidth="1"/>
    <col min="11975" max="11975" width="9" style="1502" customWidth="1"/>
    <col min="11976" max="11976" width="15" style="1502" customWidth="1"/>
    <col min="11977" max="11977" width="10.5" style="1502" customWidth="1"/>
    <col min="11978" max="11978" width="9.375" style="1502" customWidth="1"/>
    <col min="11979" max="11981" width="7.875" style="1502" customWidth="1"/>
    <col min="11982" max="12209" width="9" style="1502"/>
    <col min="12210" max="12210" width="4.5" style="1502" customWidth="1"/>
    <col min="12211" max="12211" width="28.375" style="1502" customWidth="1"/>
    <col min="12212" max="12214" width="9" style="1502" customWidth="1"/>
    <col min="12215" max="12216" width="10.875" style="1502" customWidth="1"/>
    <col min="12217" max="12217" width="9.875" style="1502" customWidth="1"/>
    <col min="12218" max="12218" width="10.875" style="1502" customWidth="1"/>
    <col min="12219" max="12219" width="9.875" style="1502" customWidth="1"/>
    <col min="12220" max="12220" width="10.875" style="1502" customWidth="1"/>
    <col min="12221" max="12221" width="9.875" style="1502" customWidth="1"/>
    <col min="12222" max="12222" width="10.875" style="1502" customWidth="1"/>
    <col min="12223" max="12223" width="9.875" style="1502" customWidth="1"/>
    <col min="12224" max="12224" width="10.875" style="1502" customWidth="1"/>
    <col min="12225" max="12225" width="9.875" style="1502" customWidth="1"/>
    <col min="12226" max="12226" width="12.375" style="1502" customWidth="1"/>
    <col min="12227" max="12227" width="9" style="1502" customWidth="1"/>
    <col min="12228" max="12228" width="15" style="1502" customWidth="1"/>
    <col min="12229" max="12229" width="10.5" style="1502" customWidth="1"/>
    <col min="12230" max="12230" width="12.375" style="1502" customWidth="1"/>
    <col min="12231" max="12231" width="9" style="1502" customWidth="1"/>
    <col min="12232" max="12232" width="15" style="1502" customWidth="1"/>
    <col min="12233" max="12233" width="10.5" style="1502" customWidth="1"/>
    <col min="12234" max="12234" width="9.375" style="1502" customWidth="1"/>
    <col min="12235" max="12237" width="7.875" style="1502" customWidth="1"/>
    <col min="12238" max="12465" width="9" style="1502"/>
    <col min="12466" max="12466" width="4.5" style="1502" customWidth="1"/>
    <col min="12467" max="12467" width="28.375" style="1502" customWidth="1"/>
    <col min="12468" max="12470" width="9" style="1502" customWidth="1"/>
    <col min="12471" max="12472" width="10.875" style="1502" customWidth="1"/>
    <col min="12473" max="12473" width="9.875" style="1502" customWidth="1"/>
    <col min="12474" max="12474" width="10.875" style="1502" customWidth="1"/>
    <col min="12475" max="12475" width="9.875" style="1502" customWidth="1"/>
    <col min="12476" max="12476" width="10.875" style="1502" customWidth="1"/>
    <col min="12477" max="12477" width="9.875" style="1502" customWidth="1"/>
    <col min="12478" max="12478" width="10.875" style="1502" customWidth="1"/>
    <col min="12479" max="12479" width="9.875" style="1502" customWidth="1"/>
    <col min="12480" max="12480" width="10.875" style="1502" customWidth="1"/>
    <col min="12481" max="12481" width="9.875" style="1502" customWidth="1"/>
    <col min="12482" max="12482" width="12.375" style="1502" customWidth="1"/>
    <col min="12483" max="12483" width="9" style="1502" customWidth="1"/>
    <col min="12484" max="12484" width="15" style="1502" customWidth="1"/>
    <col min="12485" max="12485" width="10.5" style="1502" customWidth="1"/>
    <col min="12486" max="12486" width="12.375" style="1502" customWidth="1"/>
    <col min="12487" max="12487" width="9" style="1502" customWidth="1"/>
    <col min="12488" max="12488" width="15" style="1502" customWidth="1"/>
    <col min="12489" max="12489" width="10.5" style="1502" customWidth="1"/>
    <col min="12490" max="12490" width="9.375" style="1502" customWidth="1"/>
    <col min="12491" max="12493" width="7.875" style="1502" customWidth="1"/>
    <col min="12494" max="12721" width="9" style="1502"/>
    <col min="12722" max="12722" width="4.5" style="1502" customWidth="1"/>
    <col min="12723" max="12723" width="28.375" style="1502" customWidth="1"/>
    <col min="12724" max="12726" width="9" style="1502" customWidth="1"/>
    <col min="12727" max="12728" width="10.875" style="1502" customWidth="1"/>
    <col min="12729" max="12729" width="9.875" style="1502" customWidth="1"/>
    <col min="12730" max="12730" width="10.875" style="1502" customWidth="1"/>
    <col min="12731" max="12731" width="9.875" style="1502" customWidth="1"/>
    <col min="12732" max="12732" width="10.875" style="1502" customWidth="1"/>
    <col min="12733" max="12733" width="9.875" style="1502" customWidth="1"/>
    <col min="12734" max="12734" width="10.875" style="1502" customWidth="1"/>
    <col min="12735" max="12735" width="9.875" style="1502" customWidth="1"/>
    <col min="12736" max="12736" width="10.875" style="1502" customWidth="1"/>
    <col min="12737" max="12737" width="9.875" style="1502" customWidth="1"/>
    <col min="12738" max="12738" width="12.375" style="1502" customWidth="1"/>
    <col min="12739" max="12739" width="9" style="1502" customWidth="1"/>
    <col min="12740" max="12740" width="15" style="1502" customWidth="1"/>
    <col min="12741" max="12741" width="10.5" style="1502" customWidth="1"/>
    <col min="12742" max="12742" width="12.375" style="1502" customWidth="1"/>
    <col min="12743" max="12743" width="9" style="1502" customWidth="1"/>
    <col min="12744" max="12744" width="15" style="1502" customWidth="1"/>
    <col min="12745" max="12745" width="10.5" style="1502" customWidth="1"/>
    <col min="12746" max="12746" width="9.375" style="1502" customWidth="1"/>
    <col min="12747" max="12749" width="7.875" style="1502" customWidth="1"/>
    <col min="12750" max="12977" width="9" style="1502"/>
    <col min="12978" max="12978" width="4.5" style="1502" customWidth="1"/>
    <col min="12979" max="12979" width="28.375" style="1502" customWidth="1"/>
    <col min="12980" max="12982" width="9" style="1502" customWidth="1"/>
    <col min="12983" max="12984" width="10.875" style="1502" customWidth="1"/>
    <col min="12985" max="12985" width="9.875" style="1502" customWidth="1"/>
    <col min="12986" max="12986" width="10.875" style="1502" customWidth="1"/>
    <col min="12987" max="12987" width="9.875" style="1502" customWidth="1"/>
    <col min="12988" max="12988" width="10.875" style="1502" customWidth="1"/>
    <col min="12989" max="12989" width="9.875" style="1502" customWidth="1"/>
    <col min="12990" max="12990" width="10.875" style="1502" customWidth="1"/>
    <col min="12991" max="12991" width="9.875" style="1502" customWidth="1"/>
    <col min="12992" max="12992" width="10.875" style="1502" customWidth="1"/>
    <col min="12993" max="12993" width="9.875" style="1502" customWidth="1"/>
    <col min="12994" max="12994" width="12.375" style="1502" customWidth="1"/>
    <col min="12995" max="12995" width="9" style="1502" customWidth="1"/>
    <col min="12996" max="12996" width="15" style="1502" customWidth="1"/>
    <col min="12997" max="12997" width="10.5" style="1502" customWidth="1"/>
    <col min="12998" max="12998" width="12.375" style="1502" customWidth="1"/>
    <col min="12999" max="12999" width="9" style="1502" customWidth="1"/>
    <col min="13000" max="13000" width="15" style="1502" customWidth="1"/>
    <col min="13001" max="13001" width="10.5" style="1502" customWidth="1"/>
    <col min="13002" max="13002" width="9.375" style="1502" customWidth="1"/>
    <col min="13003" max="13005" width="7.875" style="1502" customWidth="1"/>
    <col min="13006" max="13233" width="9" style="1502"/>
    <col min="13234" max="13234" width="4.5" style="1502" customWidth="1"/>
    <col min="13235" max="13235" width="28.375" style="1502" customWidth="1"/>
    <col min="13236" max="13238" width="9" style="1502" customWidth="1"/>
    <col min="13239" max="13240" width="10.875" style="1502" customWidth="1"/>
    <col min="13241" max="13241" width="9.875" style="1502" customWidth="1"/>
    <col min="13242" max="13242" width="10.875" style="1502" customWidth="1"/>
    <col min="13243" max="13243" width="9.875" style="1502" customWidth="1"/>
    <col min="13244" max="13244" width="10.875" style="1502" customWidth="1"/>
    <col min="13245" max="13245" width="9.875" style="1502" customWidth="1"/>
    <col min="13246" max="13246" width="10.875" style="1502" customWidth="1"/>
    <col min="13247" max="13247" width="9.875" style="1502" customWidth="1"/>
    <col min="13248" max="13248" width="10.875" style="1502" customWidth="1"/>
    <col min="13249" max="13249" width="9.875" style="1502" customWidth="1"/>
    <col min="13250" max="13250" width="12.375" style="1502" customWidth="1"/>
    <col min="13251" max="13251" width="9" style="1502" customWidth="1"/>
    <col min="13252" max="13252" width="15" style="1502" customWidth="1"/>
    <col min="13253" max="13253" width="10.5" style="1502" customWidth="1"/>
    <col min="13254" max="13254" width="12.375" style="1502" customWidth="1"/>
    <col min="13255" max="13255" width="9" style="1502" customWidth="1"/>
    <col min="13256" max="13256" width="15" style="1502" customWidth="1"/>
    <col min="13257" max="13257" width="10.5" style="1502" customWidth="1"/>
    <col min="13258" max="13258" width="9.375" style="1502" customWidth="1"/>
    <col min="13259" max="13261" width="7.875" style="1502" customWidth="1"/>
    <col min="13262" max="13489" width="9" style="1502"/>
    <col min="13490" max="13490" width="4.5" style="1502" customWidth="1"/>
    <col min="13491" max="13491" width="28.375" style="1502" customWidth="1"/>
    <col min="13492" max="13494" width="9" style="1502" customWidth="1"/>
    <col min="13495" max="13496" width="10.875" style="1502" customWidth="1"/>
    <col min="13497" max="13497" width="9.875" style="1502" customWidth="1"/>
    <col min="13498" max="13498" width="10.875" style="1502" customWidth="1"/>
    <col min="13499" max="13499" width="9.875" style="1502" customWidth="1"/>
    <col min="13500" max="13500" width="10.875" style="1502" customWidth="1"/>
    <col min="13501" max="13501" width="9.875" style="1502" customWidth="1"/>
    <col min="13502" max="13502" width="10.875" style="1502" customWidth="1"/>
    <col min="13503" max="13503" width="9.875" style="1502" customWidth="1"/>
    <col min="13504" max="13504" width="10.875" style="1502" customWidth="1"/>
    <col min="13505" max="13505" width="9.875" style="1502" customWidth="1"/>
    <col min="13506" max="13506" width="12.375" style="1502" customWidth="1"/>
    <col min="13507" max="13507" width="9" style="1502" customWidth="1"/>
    <col min="13508" max="13508" width="15" style="1502" customWidth="1"/>
    <col min="13509" max="13509" width="10.5" style="1502" customWidth="1"/>
    <col min="13510" max="13510" width="12.375" style="1502" customWidth="1"/>
    <col min="13511" max="13511" width="9" style="1502" customWidth="1"/>
    <col min="13512" max="13512" width="15" style="1502" customWidth="1"/>
    <col min="13513" max="13513" width="10.5" style="1502" customWidth="1"/>
    <col min="13514" max="13514" width="9.375" style="1502" customWidth="1"/>
    <col min="13515" max="13517" width="7.875" style="1502" customWidth="1"/>
    <col min="13518" max="13745" width="9" style="1502"/>
    <col min="13746" max="13746" width="4.5" style="1502" customWidth="1"/>
    <col min="13747" max="13747" width="28.375" style="1502" customWidth="1"/>
    <col min="13748" max="13750" width="9" style="1502" customWidth="1"/>
    <col min="13751" max="13752" width="10.875" style="1502" customWidth="1"/>
    <col min="13753" max="13753" width="9.875" style="1502" customWidth="1"/>
    <col min="13754" max="13754" width="10.875" style="1502" customWidth="1"/>
    <col min="13755" max="13755" width="9.875" style="1502" customWidth="1"/>
    <col min="13756" max="13756" width="10.875" style="1502" customWidth="1"/>
    <col min="13757" max="13757" width="9.875" style="1502" customWidth="1"/>
    <col min="13758" max="13758" width="10.875" style="1502" customWidth="1"/>
    <col min="13759" max="13759" width="9.875" style="1502" customWidth="1"/>
    <col min="13760" max="13760" width="10.875" style="1502" customWidth="1"/>
    <col min="13761" max="13761" width="9.875" style="1502" customWidth="1"/>
    <col min="13762" max="13762" width="12.375" style="1502" customWidth="1"/>
    <col min="13763" max="13763" width="9" style="1502" customWidth="1"/>
    <col min="13764" max="13764" width="15" style="1502" customWidth="1"/>
    <col min="13765" max="13765" width="10.5" style="1502" customWidth="1"/>
    <col min="13766" max="13766" width="12.375" style="1502" customWidth="1"/>
    <col min="13767" max="13767" width="9" style="1502" customWidth="1"/>
    <col min="13768" max="13768" width="15" style="1502" customWidth="1"/>
    <col min="13769" max="13769" width="10.5" style="1502" customWidth="1"/>
    <col min="13770" max="13770" width="9.375" style="1502" customWidth="1"/>
    <col min="13771" max="13773" width="7.875" style="1502" customWidth="1"/>
    <col min="13774" max="14001" width="9" style="1502"/>
    <col min="14002" max="14002" width="4.5" style="1502" customWidth="1"/>
    <col min="14003" max="14003" width="28.375" style="1502" customWidth="1"/>
    <col min="14004" max="14006" width="9" style="1502" customWidth="1"/>
    <col min="14007" max="14008" width="10.875" style="1502" customWidth="1"/>
    <col min="14009" max="14009" width="9.875" style="1502" customWidth="1"/>
    <col min="14010" max="14010" width="10.875" style="1502" customWidth="1"/>
    <col min="14011" max="14011" width="9.875" style="1502" customWidth="1"/>
    <col min="14012" max="14012" width="10.875" style="1502" customWidth="1"/>
    <col min="14013" max="14013" width="9.875" style="1502" customWidth="1"/>
    <col min="14014" max="14014" width="10.875" style="1502" customWidth="1"/>
    <col min="14015" max="14015" width="9.875" style="1502" customWidth="1"/>
    <col min="14016" max="14016" width="10.875" style="1502" customWidth="1"/>
    <col min="14017" max="14017" width="9.875" style="1502" customWidth="1"/>
    <col min="14018" max="14018" width="12.375" style="1502" customWidth="1"/>
    <col min="14019" max="14019" width="9" style="1502" customWidth="1"/>
    <col min="14020" max="14020" width="15" style="1502" customWidth="1"/>
    <col min="14021" max="14021" width="10.5" style="1502" customWidth="1"/>
    <col min="14022" max="14022" width="12.375" style="1502" customWidth="1"/>
    <col min="14023" max="14023" width="9" style="1502" customWidth="1"/>
    <col min="14024" max="14024" width="15" style="1502" customWidth="1"/>
    <col min="14025" max="14025" width="10.5" style="1502" customWidth="1"/>
    <col min="14026" max="14026" width="9.375" style="1502" customWidth="1"/>
    <col min="14027" max="14029" width="7.875" style="1502" customWidth="1"/>
    <col min="14030" max="14257" width="9" style="1502"/>
    <col min="14258" max="14258" width="4.5" style="1502" customWidth="1"/>
    <col min="14259" max="14259" width="28.375" style="1502" customWidth="1"/>
    <col min="14260" max="14262" width="9" style="1502" customWidth="1"/>
    <col min="14263" max="14264" width="10.875" style="1502" customWidth="1"/>
    <col min="14265" max="14265" width="9.875" style="1502" customWidth="1"/>
    <col min="14266" max="14266" width="10.875" style="1502" customWidth="1"/>
    <col min="14267" max="14267" width="9.875" style="1502" customWidth="1"/>
    <col min="14268" max="14268" width="10.875" style="1502" customWidth="1"/>
    <col min="14269" max="14269" width="9.875" style="1502" customWidth="1"/>
    <col min="14270" max="14270" width="10.875" style="1502" customWidth="1"/>
    <col min="14271" max="14271" width="9.875" style="1502" customWidth="1"/>
    <col min="14272" max="14272" width="10.875" style="1502" customWidth="1"/>
    <col min="14273" max="14273" width="9.875" style="1502" customWidth="1"/>
    <col min="14274" max="14274" width="12.375" style="1502" customWidth="1"/>
    <col min="14275" max="14275" width="9" style="1502" customWidth="1"/>
    <col min="14276" max="14276" width="15" style="1502" customWidth="1"/>
    <col min="14277" max="14277" width="10.5" style="1502" customWidth="1"/>
    <col min="14278" max="14278" width="12.375" style="1502" customWidth="1"/>
    <col min="14279" max="14279" width="9" style="1502" customWidth="1"/>
    <col min="14280" max="14280" width="15" style="1502" customWidth="1"/>
    <col min="14281" max="14281" width="10.5" style="1502" customWidth="1"/>
    <col min="14282" max="14282" width="9.375" style="1502" customWidth="1"/>
    <col min="14283" max="14285" width="7.875" style="1502" customWidth="1"/>
    <col min="14286" max="14513" width="9" style="1502"/>
    <col min="14514" max="14514" width="4.5" style="1502" customWidth="1"/>
    <col min="14515" max="14515" width="28.375" style="1502" customWidth="1"/>
    <col min="14516" max="14518" width="9" style="1502" customWidth="1"/>
    <col min="14519" max="14520" width="10.875" style="1502" customWidth="1"/>
    <col min="14521" max="14521" width="9.875" style="1502" customWidth="1"/>
    <col min="14522" max="14522" width="10.875" style="1502" customWidth="1"/>
    <col min="14523" max="14523" width="9.875" style="1502" customWidth="1"/>
    <col min="14524" max="14524" width="10.875" style="1502" customWidth="1"/>
    <col min="14525" max="14525" width="9.875" style="1502" customWidth="1"/>
    <col min="14526" max="14526" width="10.875" style="1502" customWidth="1"/>
    <col min="14527" max="14527" width="9.875" style="1502" customWidth="1"/>
    <col min="14528" max="14528" width="10.875" style="1502" customWidth="1"/>
    <col min="14529" max="14529" width="9.875" style="1502" customWidth="1"/>
    <col min="14530" max="14530" width="12.375" style="1502" customWidth="1"/>
    <col min="14531" max="14531" width="9" style="1502" customWidth="1"/>
    <col min="14532" max="14532" width="15" style="1502" customWidth="1"/>
    <col min="14533" max="14533" width="10.5" style="1502" customWidth="1"/>
    <col min="14534" max="14534" width="12.375" style="1502" customWidth="1"/>
    <col min="14535" max="14535" width="9" style="1502" customWidth="1"/>
    <col min="14536" max="14536" width="15" style="1502" customWidth="1"/>
    <col min="14537" max="14537" width="10.5" style="1502" customWidth="1"/>
    <col min="14538" max="14538" width="9.375" style="1502" customWidth="1"/>
    <col min="14539" max="14541" width="7.875" style="1502" customWidth="1"/>
    <col min="14542" max="14769" width="9" style="1502"/>
    <col min="14770" max="14770" width="4.5" style="1502" customWidth="1"/>
    <col min="14771" max="14771" width="28.375" style="1502" customWidth="1"/>
    <col min="14772" max="14774" width="9" style="1502" customWidth="1"/>
    <col min="14775" max="14776" width="10.875" style="1502" customWidth="1"/>
    <col min="14777" max="14777" width="9.875" style="1502" customWidth="1"/>
    <col min="14778" max="14778" width="10.875" style="1502" customWidth="1"/>
    <col min="14779" max="14779" width="9.875" style="1502" customWidth="1"/>
    <col min="14780" max="14780" width="10.875" style="1502" customWidth="1"/>
    <col min="14781" max="14781" width="9.875" style="1502" customWidth="1"/>
    <col min="14782" max="14782" width="10.875" style="1502" customWidth="1"/>
    <col min="14783" max="14783" width="9.875" style="1502" customWidth="1"/>
    <col min="14784" max="14784" width="10.875" style="1502" customWidth="1"/>
    <col min="14785" max="14785" width="9.875" style="1502" customWidth="1"/>
    <col min="14786" max="14786" width="12.375" style="1502" customWidth="1"/>
    <col min="14787" max="14787" width="9" style="1502" customWidth="1"/>
    <col min="14788" max="14788" width="15" style="1502" customWidth="1"/>
    <col min="14789" max="14789" width="10.5" style="1502" customWidth="1"/>
    <col min="14790" max="14790" width="12.375" style="1502" customWidth="1"/>
    <col min="14791" max="14791" width="9" style="1502" customWidth="1"/>
    <col min="14792" max="14792" width="15" style="1502" customWidth="1"/>
    <col min="14793" max="14793" width="10.5" style="1502" customWidth="1"/>
    <col min="14794" max="14794" width="9.375" style="1502" customWidth="1"/>
    <col min="14795" max="14797" width="7.875" style="1502" customWidth="1"/>
    <col min="14798" max="16384" width="9" style="1502"/>
  </cols>
  <sheetData>
    <row r="1" spans="1:16" ht="24" customHeight="1" x14ac:dyDescent="0.25">
      <c r="D1" s="2136" t="s">
        <v>1606</v>
      </c>
      <c r="E1" s="2136"/>
      <c r="F1" s="2136"/>
      <c r="G1" s="2136"/>
      <c r="H1" s="2136"/>
      <c r="I1" s="2136"/>
      <c r="J1" s="2136"/>
    </row>
    <row r="2" spans="1:16" ht="15.75" customHeight="1" x14ac:dyDescent="0.25">
      <c r="D2" s="2034" t="s">
        <v>2418</v>
      </c>
      <c r="E2" s="2034"/>
      <c r="F2" s="2034"/>
      <c r="G2" s="2034"/>
      <c r="H2" s="2034"/>
      <c r="I2" s="2034"/>
      <c r="J2" s="2034"/>
      <c r="K2" s="2034"/>
      <c r="L2" s="2034"/>
      <c r="M2" s="2034"/>
      <c r="N2" s="2034"/>
      <c r="O2" s="2034"/>
      <c r="P2" s="2034"/>
    </row>
    <row r="3" spans="1:16" x14ac:dyDescent="0.25">
      <c r="D3" s="2137" t="s">
        <v>6</v>
      </c>
      <c r="E3" s="2137"/>
      <c r="F3" s="2137"/>
      <c r="G3" s="2137"/>
      <c r="H3" s="2137"/>
      <c r="I3" s="2137"/>
      <c r="J3" s="2137"/>
    </row>
    <row r="4" spans="1:16" s="1501" customFormat="1" ht="47.25" customHeight="1" x14ac:dyDescent="0.25">
      <c r="D4" s="2138" t="s">
        <v>915</v>
      </c>
      <c r="E4" s="2138" t="s">
        <v>142</v>
      </c>
      <c r="F4" s="2138" t="s">
        <v>1607</v>
      </c>
      <c r="G4" s="2138"/>
      <c r="H4" s="2138" t="s">
        <v>1608</v>
      </c>
      <c r="I4" s="2138"/>
      <c r="J4" s="2138" t="s">
        <v>1611</v>
      </c>
    </row>
    <row r="5" spans="1:16" s="1501" customFormat="1" ht="54" customHeight="1" x14ac:dyDescent="0.25">
      <c r="D5" s="2138"/>
      <c r="E5" s="2138"/>
      <c r="F5" s="1760" t="s">
        <v>1612</v>
      </c>
      <c r="G5" s="1760" t="s">
        <v>1189</v>
      </c>
      <c r="H5" s="1760" t="s">
        <v>1612</v>
      </c>
      <c r="I5" s="1760" t="s">
        <v>1189</v>
      </c>
      <c r="J5" s="2138"/>
    </row>
    <row r="6" spans="1:16" s="1886" customFormat="1" ht="15" x14ac:dyDescent="0.25">
      <c r="D6" s="1506">
        <v>1</v>
      </c>
      <c r="E6" s="1506">
        <f>D6+1</f>
        <v>2</v>
      </c>
      <c r="F6" s="1506">
        <v>3</v>
      </c>
      <c r="G6" s="1506">
        <v>4</v>
      </c>
      <c r="H6" s="1506">
        <v>5</v>
      </c>
      <c r="I6" s="1506">
        <v>6</v>
      </c>
      <c r="J6" s="1506">
        <v>7</v>
      </c>
    </row>
    <row r="7" spans="1:16" s="1887" customFormat="1" ht="18" customHeight="1" x14ac:dyDescent="0.25">
      <c r="D7" s="1031"/>
      <c r="E7" s="1031" t="s">
        <v>89</v>
      </c>
      <c r="F7" s="1032">
        <f>F8+F14+F21+F103+F208+F225+F261+F265+F271+F288+F305+F306+F315+F325+F257</f>
        <v>4918864.933451999</v>
      </c>
      <c r="G7" s="1032">
        <f t="shared" ref="G7:I7" si="0">G8+G14+G21+G103+G208+G225+G261+G265+G271+G288+G305+G306+G315+G325+G257</f>
        <v>1298694.1203380001</v>
      </c>
      <c r="H7" s="1032">
        <f t="shared" si="0"/>
        <v>3448324.7759999996</v>
      </c>
      <c r="I7" s="1032">
        <f t="shared" si="0"/>
        <v>633210.9</v>
      </c>
      <c r="J7" s="1032">
        <f>J8+J14+J21+J103+J208+J225+J261+J265+J271+J288+J305+J306+J315+J325+J257+J334</f>
        <v>524659.77288600011</v>
      </c>
    </row>
    <row r="8" spans="1:16" ht="18" customHeight="1" x14ac:dyDescent="0.25">
      <c r="A8" s="1887"/>
      <c r="B8" s="1887"/>
      <c r="C8" s="1887"/>
      <c r="D8" s="1031" t="s">
        <v>9</v>
      </c>
      <c r="E8" s="1032" t="s">
        <v>1613</v>
      </c>
      <c r="F8" s="1032">
        <f>F9</f>
        <v>48786</v>
      </c>
      <c r="G8" s="1032">
        <f t="shared" ref="G8:J8" si="1">G9</f>
        <v>29585</v>
      </c>
      <c r="H8" s="1032">
        <f t="shared" si="1"/>
        <v>43888</v>
      </c>
      <c r="I8" s="1032">
        <f t="shared" si="1"/>
        <v>19687</v>
      </c>
      <c r="J8" s="1032">
        <f t="shared" si="1"/>
        <v>3403</v>
      </c>
    </row>
    <row r="9" spans="1:16" x14ac:dyDescent="0.25">
      <c r="A9" s="1887"/>
      <c r="B9" s="1887"/>
      <c r="C9" s="1887"/>
      <c r="D9" s="1031">
        <v>1</v>
      </c>
      <c r="E9" s="1032" t="s">
        <v>419</v>
      </c>
      <c r="F9" s="1032">
        <f>F10+F12</f>
        <v>48786</v>
      </c>
      <c r="G9" s="1032">
        <f t="shared" ref="G9:J9" si="2">G10+G12</f>
        <v>29585</v>
      </c>
      <c r="H9" s="1032">
        <f t="shared" si="2"/>
        <v>43888</v>
      </c>
      <c r="I9" s="1032">
        <f t="shared" si="2"/>
        <v>19687</v>
      </c>
      <c r="J9" s="1032">
        <f t="shared" si="2"/>
        <v>3403</v>
      </c>
    </row>
    <row r="10" spans="1:16" x14ac:dyDescent="0.25">
      <c r="A10" s="1887"/>
      <c r="B10" s="1887"/>
      <c r="C10" s="1887"/>
      <c r="D10" s="1031"/>
      <c r="E10" s="1032" t="s">
        <v>921</v>
      </c>
      <c r="F10" s="1032">
        <f>F11</f>
        <v>14618</v>
      </c>
      <c r="G10" s="1032">
        <f t="shared" ref="G10:J10" si="3">G11</f>
        <v>14618</v>
      </c>
      <c r="H10" s="1032">
        <f t="shared" si="3"/>
        <v>12118</v>
      </c>
      <c r="I10" s="1032">
        <f t="shared" si="3"/>
        <v>12118</v>
      </c>
      <c r="J10" s="1032">
        <f t="shared" si="3"/>
        <v>1005</v>
      </c>
    </row>
    <row r="11" spans="1:16" s="1503" customFormat="1" ht="30" x14ac:dyDescent="0.25">
      <c r="A11" s="1502" t="s">
        <v>1614</v>
      </c>
      <c r="B11" s="1502" t="s">
        <v>1615</v>
      </c>
      <c r="C11" s="1502" t="s">
        <v>1616</v>
      </c>
      <c r="D11" s="1033">
        <v>1</v>
      </c>
      <c r="E11" s="1004" t="s">
        <v>1617</v>
      </c>
      <c r="F11" s="1034">
        <v>14618</v>
      </c>
      <c r="G11" s="1034">
        <v>14618</v>
      </c>
      <c r="H11" s="1034">
        <v>12118</v>
      </c>
      <c r="I11" s="1034">
        <v>12118</v>
      </c>
      <c r="J11" s="1034">
        <v>1005</v>
      </c>
    </row>
    <row r="12" spans="1:16" s="1503" customFormat="1" ht="33" customHeight="1" x14ac:dyDescent="0.25">
      <c r="D12" s="999"/>
      <c r="E12" s="1035" t="s">
        <v>1618</v>
      </c>
      <c r="F12" s="1036">
        <f>F13</f>
        <v>34168</v>
      </c>
      <c r="G12" s="1036">
        <f t="shared" ref="G12:J12" si="4">G13</f>
        <v>14967</v>
      </c>
      <c r="H12" s="1036">
        <f t="shared" si="4"/>
        <v>31770</v>
      </c>
      <c r="I12" s="1036">
        <f t="shared" si="4"/>
        <v>7569</v>
      </c>
      <c r="J12" s="1036">
        <f t="shared" si="4"/>
        <v>2398</v>
      </c>
    </row>
    <row r="13" spans="1:16" s="1887" customFormat="1" ht="33" customHeight="1" x14ac:dyDescent="0.25">
      <c r="A13" s="1502" t="s">
        <v>1614</v>
      </c>
      <c r="B13" s="1502" t="s">
        <v>1615</v>
      </c>
      <c r="C13" s="1502" t="s">
        <v>1619</v>
      </c>
      <c r="D13" s="1033">
        <v>1</v>
      </c>
      <c r="E13" s="1004" t="s">
        <v>1212</v>
      </c>
      <c r="F13" s="98">
        <v>34168</v>
      </c>
      <c r="G13" s="98">
        <v>14967</v>
      </c>
      <c r="H13" s="1034">
        <v>31770</v>
      </c>
      <c r="I13" s="1034">
        <v>7569</v>
      </c>
      <c r="J13" s="1034">
        <v>2398</v>
      </c>
    </row>
    <row r="14" spans="1:16" s="1887" customFormat="1" ht="19.5" customHeight="1" x14ac:dyDescent="0.25">
      <c r="A14" s="1503"/>
      <c r="B14" s="1503"/>
      <c r="C14" s="1503"/>
      <c r="D14" s="999" t="s">
        <v>11</v>
      </c>
      <c r="E14" s="1035" t="s">
        <v>1620</v>
      </c>
      <c r="F14" s="404">
        <f>F15+F18</f>
        <v>15916</v>
      </c>
      <c r="G14" s="404">
        <f t="shared" ref="G14:J14" si="5">G15+G18</f>
        <v>15702</v>
      </c>
      <c r="H14" s="404">
        <f t="shared" si="5"/>
        <v>13034</v>
      </c>
      <c r="I14" s="404">
        <f t="shared" si="5"/>
        <v>12534</v>
      </c>
      <c r="J14" s="404">
        <f t="shared" si="5"/>
        <v>2418</v>
      </c>
    </row>
    <row r="15" spans="1:16" s="1887" customFormat="1" x14ac:dyDescent="0.25">
      <c r="A15" s="1503"/>
      <c r="B15" s="1503"/>
      <c r="C15" s="1503"/>
      <c r="D15" s="999">
        <v>1</v>
      </c>
      <c r="E15" s="1035" t="s">
        <v>172</v>
      </c>
      <c r="F15" s="404">
        <f>F16</f>
        <v>1909</v>
      </c>
      <c r="G15" s="404">
        <f t="shared" ref="G15:J16" si="6">G16</f>
        <v>1909</v>
      </c>
      <c r="H15" s="404">
        <f t="shared" si="6"/>
        <v>649</v>
      </c>
      <c r="I15" s="404">
        <f t="shared" si="6"/>
        <v>649</v>
      </c>
      <c r="J15" s="404">
        <f t="shared" si="6"/>
        <v>1260</v>
      </c>
    </row>
    <row r="16" spans="1:16" s="1887" customFormat="1" ht="28.5" x14ac:dyDescent="0.25">
      <c r="A16" s="1503"/>
      <c r="B16" s="1503"/>
      <c r="C16" s="1503"/>
      <c r="D16" s="999"/>
      <c r="E16" s="1035" t="s">
        <v>1621</v>
      </c>
      <c r="F16" s="404">
        <f>F17</f>
        <v>1909</v>
      </c>
      <c r="G16" s="404">
        <f t="shared" si="6"/>
        <v>1909</v>
      </c>
      <c r="H16" s="404">
        <f t="shared" si="6"/>
        <v>649</v>
      </c>
      <c r="I16" s="404">
        <f t="shared" si="6"/>
        <v>649</v>
      </c>
      <c r="J16" s="404">
        <f t="shared" si="6"/>
        <v>1260</v>
      </c>
    </row>
    <row r="17" spans="1:10" s="1503" customFormat="1" ht="45" x14ac:dyDescent="0.25">
      <c r="A17" s="1502" t="s">
        <v>1622</v>
      </c>
      <c r="B17" s="1502" t="s">
        <v>1623</v>
      </c>
      <c r="C17" s="1502" t="s">
        <v>1624</v>
      </c>
      <c r="D17" s="1030">
        <v>1</v>
      </c>
      <c r="E17" s="1004" t="s">
        <v>1625</v>
      </c>
      <c r="F17" s="1034">
        <v>1909</v>
      </c>
      <c r="G17" s="1034">
        <v>1909</v>
      </c>
      <c r="H17" s="1034">
        <v>649</v>
      </c>
      <c r="I17" s="1034">
        <v>649</v>
      </c>
      <c r="J17" s="1034">
        <v>1260</v>
      </c>
    </row>
    <row r="18" spans="1:10" s="1503" customFormat="1" x14ac:dyDescent="0.25">
      <c r="D18" s="1037">
        <v>2</v>
      </c>
      <c r="E18" s="1035" t="s">
        <v>427</v>
      </c>
      <c r="F18" s="1036">
        <f>F19</f>
        <v>14007</v>
      </c>
      <c r="G18" s="1036">
        <f t="shared" ref="G18:J19" si="7">G19</f>
        <v>13793</v>
      </c>
      <c r="H18" s="1036">
        <f t="shared" si="7"/>
        <v>12385</v>
      </c>
      <c r="I18" s="1036">
        <f t="shared" si="7"/>
        <v>11885</v>
      </c>
      <c r="J18" s="1036">
        <f t="shared" si="7"/>
        <v>1158</v>
      </c>
    </row>
    <row r="19" spans="1:10" s="1503" customFormat="1" ht="28.5" x14ac:dyDescent="0.25">
      <c r="D19" s="1037"/>
      <c r="E19" s="1035" t="s">
        <v>1618</v>
      </c>
      <c r="F19" s="1036">
        <f>F20</f>
        <v>14007</v>
      </c>
      <c r="G19" s="1036">
        <f t="shared" si="7"/>
        <v>13793</v>
      </c>
      <c r="H19" s="1036">
        <f t="shared" si="7"/>
        <v>12385</v>
      </c>
      <c r="I19" s="1036">
        <f t="shared" si="7"/>
        <v>11885</v>
      </c>
      <c r="J19" s="1036">
        <f t="shared" si="7"/>
        <v>1158</v>
      </c>
    </row>
    <row r="20" spans="1:10" s="1503" customFormat="1" x14ac:dyDescent="0.25">
      <c r="A20" s="1502" t="s">
        <v>1622</v>
      </c>
      <c r="B20" s="1502" t="s">
        <v>1626</v>
      </c>
      <c r="C20" s="1502" t="s">
        <v>1619</v>
      </c>
      <c r="D20" s="1033">
        <v>1</v>
      </c>
      <c r="E20" s="98" t="s">
        <v>1627</v>
      </c>
      <c r="F20" s="1034">
        <v>14007</v>
      </c>
      <c r="G20" s="1034">
        <v>13793</v>
      </c>
      <c r="H20" s="1034">
        <v>12385</v>
      </c>
      <c r="I20" s="1034">
        <v>11885</v>
      </c>
      <c r="J20" s="1034">
        <v>1158</v>
      </c>
    </row>
    <row r="21" spans="1:10" s="1503" customFormat="1" x14ac:dyDescent="0.25">
      <c r="D21" s="999" t="s">
        <v>14</v>
      </c>
      <c r="E21" s="404" t="s">
        <v>1193</v>
      </c>
      <c r="F21" s="1036">
        <f>F22+F37+F40+F43+F52+F59+F66+F75+F82+F90+F96</f>
        <v>530600.69999999995</v>
      </c>
      <c r="G21" s="1036">
        <f t="shared" ref="G21:J21" si="8">G22+G37+G40+G43+G52+G59+G66+G75+G82+G90+G96</f>
        <v>391842.20000000007</v>
      </c>
      <c r="H21" s="1036">
        <f t="shared" si="8"/>
        <v>299749.2</v>
      </c>
      <c r="I21" s="1036">
        <f t="shared" si="8"/>
        <v>232684.2</v>
      </c>
      <c r="J21" s="1036">
        <f t="shared" si="8"/>
        <v>74461.420000000013</v>
      </c>
    </row>
    <row r="22" spans="1:10" s="1503" customFormat="1" x14ac:dyDescent="0.25">
      <c r="D22" s="999">
        <v>1</v>
      </c>
      <c r="E22" s="404" t="s">
        <v>419</v>
      </c>
      <c r="F22" s="1036">
        <f>F23+F31+F35</f>
        <v>301637.7</v>
      </c>
      <c r="G22" s="1036">
        <f t="shared" ref="G22:J22" si="9">G23+G31+G35</f>
        <v>238311</v>
      </c>
      <c r="H22" s="1036">
        <f t="shared" si="9"/>
        <v>212605</v>
      </c>
      <c r="I22" s="1036">
        <f t="shared" si="9"/>
        <v>154140</v>
      </c>
      <c r="J22" s="1036">
        <f t="shared" si="9"/>
        <v>14546.9</v>
      </c>
    </row>
    <row r="23" spans="1:10" s="1503" customFormat="1" x14ac:dyDescent="0.25">
      <c r="D23" s="999"/>
      <c r="E23" s="1035" t="s">
        <v>921</v>
      </c>
      <c r="F23" s="1036">
        <f>SUM(F24:F30)</f>
        <v>191503.7</v>
      </c>
      <c r="G23" s="1036">
        <f t="shared" ref="G23:J23" si="10">SUM(G24:G30)</f>
        <v>128177</v>
      </c>
      <c r="H23" s="1036">
        <f t="shared" si="10"/>
        <v>121044</v>
      </c>
      <c r="I23" s="1036">
        <f t="shared" si="10"/>
        <v>62579</v>
      </c>
      <c r="J23" s="1036">
        <f t="shared" si="10"/>
        <v>2633</v>
      </c>
    </row>
    <row r="24" spans="1:10" s="1503" customFormat="1" x14ac:dyDescent="0.25">
      <c r="A24" s="1502" t="s">
        <v>1628</v>
      </c>
      <c r="B24" s="1502" t="s">
        <v>1615</v>
      </c>
      <c r="C24" s="1502" t="s">
        <v>955</v>
      </c>
      <c r="D24" s="1033">
        <v>1</v>
      </c>
      <c r="E24" s="1004" t="s">
        <v>1629</v>
      </c>
      <c r="F24" s="1038">
        <v>28237</v>
      </c>
      <c r="G24" s="1038">
        <v>28237</v>
      </c>
      <c r="H24" s="1034">
        <v>16576</v>
      </c>
      <c r="I24" s="1034">
        <v>0</v>
      </c>
      <c r="J24" s="1034">
        <v>493</v>
      </c>
    </row>
    <row r="25" spans="1:10" s="1503" customFormat="1" x14ac:dyDescent="0.25">
      <c r="A25" s="1502" t="s">
        <v>1628</v>
      </c>
      <c r="B25" s="1502" t="s">
        <v>1615</v>
      </c>
      <c r="C25" s="1502" t="s">
        <v>955</v>
      </c>
      <c r="D25" s="1030">
        <v>2</v>
      </c>
      <c r="E25" s="1004" t="s">
        <v>1630</v>
      </c>
      <c r="F25" s="98">
        <v>4431</v>
      </c>
      <c r="G25" s="98">
        <v>4431</v>
      </c>
      <c r="H25" s="1034">
        <v>4017</v>
      </c>
      <c r="I25" s="1034">
        <v>4017</v>
      </c>
      <c r="J25" s="1034">
        <v>582</v>
      </c>
    </row>
    <row r="26" spans="1:10" s="1503" customFormat="1" ht="30" x14ac:dyDescent="0.25">
      <c r="A26" s="1502" t="s">
        <v>1628</v>
      </c>
      <c r="B26" s="1502" t="s">
        <v>1615</v>
      </c>
      <c r="C26" s="1502" t="s">
        <v>955</v>
      </c>
      <c r="D26" s="1033">
        <v>3</v>
      </c>
      <c r="E26" s="1004" t="s">
        <v>1631</v>
      </c>
      <c r="F26" s="98">
        <v>6483</v>
      </c>
      <c r="G26" s="98">
        <v>6483</v>
      </c>
      <c r="H26" s="1034">
        <v>1501</v>
      </c>
      <c r="I26" s="1034">
        <v>1501</v>
      </c>
      <c r="J26" s="1034">
        <v>230</v>
      </c>
    </row>
    <row r="27" spans="1:10" s="1503" customFormat="1" ht="30" x14ac:dyDescent="0.25">
      <c r="A27" s="1502" t="s">
        <v>1628</v>
      </c>
      <c r="B27" s="1502" t="s">
        <v>1615</v>
      </c>
      <c r="C27" s="1502" t="s">
        <v>1616</v>
      </c>
      <c r="D27" s="1030">
        <v>4</v>
      </c>
      <c r="E27" s="1004" t="s">
        <v>1632</v>
      </c>
      <c r="F27" s="1039">
        <v>31300</v>
      </c>
      <c r="G27" s="1039">
        <v>31300</v>
      </c>
      <c r="H27" s="1034">
        <v>21084</v>
      </c>
      <c r="I27" s="1034">
        <v>21084</v>
      </c>
      <c r="J27" s="1034">
        <v>172</v>
      </c>
    </row>
    <row r="28" spans="1:10" s="1503" customFormat="1" x14ac:dyDescent="0.25">
      <c r="A28" s="1502"/>
      <c r="B28" s="1502"/>
      <c r="C28" s="1502"/>
      <c r="D28" s="1033">
        <v>5</v>
      </c>
      <c r="E28" s="1004" t="s">
        <v>1948</v>
      </c>
      <c r="F28" s="1039">
        <v>53128</v>
      </c>
      <c r="G28" s="1039">
        <v>11239</v>
      </c>
      <c r="H28" s="1034">
        <v>44389</v>
      </c>
      <c r="I28" s="1034">
        <v>2500</v>
      </c>
      <c r="J28" s="1034">
        <v>394</v>
      </c>
    </row>
    <row r="29" spans="1:10" x14ac:dyDescent="0.25">
      <c r="A29" s="1502" t="s">
        <v>1628</v>
      </c>
      <c r="B29" s="1502" t="s">
        <v>1615</v>
      </c>
      <c r="C29" s="1502" t="s">
        <v>1616</v>
      </c>
      <c r="D29" s="1030">
        <v>6</v>
      </c>
      <c r="E29" s="1004" t="s">
        <v>1633</v>
      </c>
      <c r="F29" s="1039">
        <v>39607.699999999997</v>
      </c>
      <c r="G29" s="1039">
        <v>18170</v>
      </c>
      <c r="H29" s="1034">
        <v>9832</v>
      </c>
      <c r="I29" s="1034">
        <v>9832</v>
      </c>
      <c r="J29" s="1034">
        <v>231</v>
      </c>
    </row>
    <row r="30" spans="1:10" s="1503" customFormat="1" x14ac:dyDescent="0.25">
      <c r="A30" s="1502" t="s">
        <v>1628</v>
      </c>
      <c r="B30" s="1502" t="s">
        <v>1615</v>
      </c>
      <c r="C30" s="1502" t="s">
        <v>1616</v>
      </c>
      <c r="D30" s="1033">
        <v>7</v>
      </c>
      <c r="E30" s="1004" t="s">
        <v>1634</v>
      </c>
      <c r="F30" s="1039">
        <v>28317</v>
      </c>
      <c r="G30" s="1039">
        <v>28317</v>
      </c>
      <c r="H30" s="1034">
        <v>23645</v>
      </c>
      <c r="I30" s="1034">
        <v>23645</v>
      </c>
      <c r="J30" s="1034">
        <v>531</v>
      </c>
    </row>
    <row r="31" spans="1:10" s="1503" customFormat="1" x14ac:dyDescent="0.25">
      <c r="D31" s="999"/>
      <c r="E31" s="404" t="s">
        <v>1635</v>
      </c>
      <c r="F31" s="1036">
        <f>SUM(F32:F34)</f>
        <v>44111</v>
      </c>
      <c r="G31" s="1036">
        <f t="shared" ref="G31:J31" si="11">SUM(G32:G34)</f>
        <v>44111</v>
      </c>
      <c r="H31" s="1036">
        <f t="shared" si="11"/>
        <v>32295</v>
      </c>
      <c r="I31" s="1036">
        <f t="shared" si="11"/>
        <v>32295</v>
      </c>
      <c r="J31" s="1036">
        <f t="shared" si="11"/>
        <v>7404.9</v>
      </c>
    </row>
    <row r="32" spans="1:10" s="1503" customFormat="1" ht="31.5" x14ac:dyDescent="0.25">
      <c r="A32" s="1502" t="s">
        <v>1628</v>
      </c>
      <c r="B32" s="1502" t="s">
        <v>1615</v>
      </c>
      <c r="C32" s="1502" t="s">
        <v>1636</v>
      </c>
      <c r="D32" s="1033">
        <v>1</v>
      </c>
      <c r="E32" s="1004" t="s">
        <v>1637</v>
      </c>
      <c r="F32" s="1034">
        <v>22015</v>
      </c>
      <c r="G32" s="1034">
        <v>22015</v>
      </c>
      <c r="H32" s="1034">
        <v>18376</v>
      </c>
      <c r="I32" s="1034">
        <v>18376</v>
      </c>
      <c r="J32" s="1034">
        <v>1437.5</v>
      </c>
    </row>
    <row r="33" spans="1:10" s="1503" customFormat="1" ht="31.5" x14ac:dyDescent="0.25">
      <c r="A33" s="1502" t="s">
        <v>1628</v>
      </c>
      <c r="B33" s="1502" t="s">
        <v>1615</v>
      </c>
      <c r="C33" s="1502" t="s">
        <v>1636</v>
      </c>
      <c r="D33" s="1033">
        <v>2</v>
      </c>
      <c r="E33" s="1040" t="s">
        <v>958</v>
      </c>
      <c r="F33" s="1034">
        <v>12096</v>
      </c>
      <c r="G33" s="1034">
        <v>12096</v>
      </c>
      <c r="H33" s="1034">
        <v>9919</v>
      </c>
      <c r="I33" s="1034">
        <v>9919</v>
      </c>
      <c r="J33" s="1034">
        <v>967.39999999999964</v>
      </c>
    </row>
    <row r="34" spans="1:10" s="1503" customFormat="1" ht="31.5" x14ac:dyDescent="0.25">
      <c r="A34" s="1502" t="s">
        <v>1628</v>
      </c>
      <c r="B34" s="1502" t="s">
        <v>1615</v>
      </c>
      <c r="C34" s="1502" t="s">
        <v>1636</v>
      </c>
      <c r="D34" s="1033">
        <v>3</v>
      </c>
      <c r="E34" s="1040" t="s">
        <v>1638</v>
      </c>
      <c r="F34" s="1034">
        <v>10000</v>
      </c>
      <c r="G34" s="1034">
        <v>10000</v>
      </c>
      <c r="H34" s="1034">
        <v>4000</v>
      </c>
      <c r="I34" s="1034">
        <v>4000</v>
      </c>
      <c r="J34" s="1034">
        <v>5000</v>
      </c>
    </row>
    <row r="35" spans="1:10" s="1503" customFormat="1" ht="28.5" x14ac:dyDescent="0.25">
      <c r="D35" s="999"/>
      <c r="E35" s="1032" t="s">
        <v>1618</v>
      </c>
      <c r="F35" s="1036">
        <f>F36</f>
        <v>66023</v>
      </c>
      <c r="G35" s="1036">
        <f t="shared" ref="G35:J35" si="12">G36</f>
        <v>66023</v>
      </c>
      <c r="H35" s="1036">
        <f t="shared" si="12"/>
        <v>59266</v>
      </c>
      <c r="I35" s="1036">
        <f t="shared" si="12"/>
        <v>59266</v>
      </c>
      <c r="J35" s="1036">
        <f t="shared" si="12"/>
        <v>4509</v>
      </c>
    </row>
    <row r="36" spans="1:10" s="1503" customFormat="1" ht="31.5" x14ac:dyDescent="0.25">
      <c r="A36" s="1502" t="s">
        <v>1628</v>
      </c>
      <c r="B36" s="1502" t="s">
        <v>1615</v>
      </c>
      <c r="C36" s="1502" t="s">
        <v>1639</v>
      </c>
      <c r="D36" s="1033">
        <v>1</v>
      </c>
      <c r="E36" s="1004" t="s">
        <v>1640</v>
      </c>
      <c r="F36" s="1034">
        <v>66023</v>
      </c>
      <c r="G36" s="1034">
        <v>66023</v>
      </c>
      <c r="H36" s="1034">
        <v>59266</v>
      </c>
      <c r="I36" s="1034">
        <v>59266</v>
      </c>
      <c r="J36" s="1034">
        <v>4509</v>
      </c>
    </row>
    <row r="37" spans="1:10" s="1503" customFormat="1" x14ac:dyDescent="0.25">
      <c r="D37" s="999">
        <v>2</v>
      </c>
      <c r="E37" s="1035" t="s">
        <v>1641</v>
      </c>
      <c r="F37" s="1036">
        <f>F38</f>
        <v>4250</v>
      </c>
      <c r="G37" s="1036">
        <f t="shared" ref="G37:J38" si="13">G38</f>
        <v>4250</v>
      </c>
      <c r="H37" s="1036">
        <f t="shared" si="13"/>
        <v>1300</v>
      </c>
      <c r="I37" s="1036">
        <f t="shared" si="13"/>
        <v>1300</v>
      </c>
      <c r="J37" s="1036">
        <f t="shared" si="13"/>
        <v>2950</v>
      </c>
    </row>
    <row r="38" spans="1:10" s="1503" customFormat="1" ht="28.5" x14ac:dyDescent="0.25">
      <c r="D38" s="999"/>
      <c r="E38" s="1035" t="s">
        <v>1621</v>
      </c>
      <c r="F38" s="1036">
        <f>F39</f>
        <v>4250</v>
      </c>
      <c r="G38" s="1036">
        <f t="shared" si="13"/>
        <v>4250</v>
      </c>
      <c r="H38" s="1036">
        <f t="shared" si="13"/>
        <v>1300</v>
      </c>
      <c r="I38" s="1036">
        <f t="shared" si="13"/>
        <v>1300</v>
      </c>
      <c r="J38" s="1036">
        <f t="shared" si="13"/>
        <v>2950</v>
      </c>
    </row>
    <row r="39" spans="1:10" s="1503" customFormat="1" ht="31.5" x14ac:dyDescent="0.25">
      <c r="A39" s="1502" t="s">
        <v>1628</v>
      </c>
      <c r="B39" s="1502" t="s">
        <v>1642</v>
      </c>
      <c r="C39" s="1502" t="s">
        <v>1643</v>
      </c>
      <c r="D39" s="1030">
        <v>1</v>
      </c>
      <c r="E39" s="1004" t="s">
        <v>960</v>
      </c>
      <c r="F39" s="1034">
        <v>4250</v>
      </c>
      <c r="G39" s="1034">
        <v>4250</v>
      </c>
      <c r="H39" s="1034">
        <v>1300</v>
      </c>
      <c r="I39" s="1034">
        <v>1300</v>
      </c>
      <c r="J39" s="1034">
        <v>2950</v>
      </c>
    </row>
    <row r="40" spans="1:10" s="1503" customFormat="1" x14ac:dyDescent="0.25">
      <c r="D40" s="1037">
        <v>3</v>
      </c>
      <c r="E40" s="1035" t="s">
        <v>173</v>
      </c>
      <c r="F40" s="1036">
        <f>F41</f>
        <v>6363</v>
      </c>
      <c r="G40" s="1036">
        <f t="shared" ref="G40:J41" si="14">G41</f>
        <v>6363</v>
      </c>
      <c r="H40" s="1036">
        <f t="shared" si="14"/>
        <v>3000</v>
      </c>
      <c r="I40" s="1036">
        <f t="shared" si="14"/>
        <v>3000</v>
      </c>
      <c r="J40" s="1036">
        <f t="shared" si="14"/>
        <v>2783</v>
      </c>
    </row>
    <row r="41" spans="1:10" s="1503" customFormat="1" ht="28.5" x14ac:dyDescent="0.25">
      <c r="D41" s="1037"/>
      <c r="E41" s="1035" t="s">
        <v>1618</v>
      </c>
      <c r="F41" s="1036">
        <f>F42</f>
        <v>6363</v>
      </c>
      <c r="G41" s="1036">
        <f t="shared" si="14"/>
        <v>6363</v>
      </c>
      <c r="H41" s="1036">
        <f t="shared" si="14"/>
        <v>3000</v>
      </c>
      <c r="I41" s="1036">
        <f t="shared" si="14"/>
        <v>3000</v>
      </c>
      <c r="J41" s="1036">
        <f t="shared" si="14"/>
        <v>2783</v>
      </c>
    </row>
    <row r="42" spans="1:10" s="1503" customFormat="1" ht="30" x14ac:dyDescent="0.25">
      <c r="A42" s="1502" t="s">
        <v>1628</v>
      </c>
      <c r="B42" s="1502" t="s">
        <v>1644</v>
      </c>
      <c r="C42" s="1502" t="s">
        <v>1619</v>
      </c>
      <c r="D42" s="1030">
        <v>1</v>
      </c>
      <c r="E42" s="1041" t="s">
        <v>1645</v>
      </c>
      <c r="F42" s="1034">
        <v>6363</v>
      </c>
      <c r="G42" s="1034">
        <v>6363</v>
      </c>
      <c r="H42" s="1034">
        <v>3000</v>
      </c>
      <c r="I42" s="1034">
        <v>3000</v>
      </c>
      <c r="J42" s="1034">
        <v>2783</v>
      </c>
    </row>
    <row r="43" spans="1:10" s="1503" customFormat="1" x14ac:dyDescent="0.25">
      <c r="D43" s="1037">
        <v>4</v>
      </c>
      <c r="E43" s="1042" t="s">
        <v>420</v>
      </c>
      <c r="F43" s="1036">
        <f>F44+F46+F50</f>
        <v>37376</v>
      </c>
      <c r="G43" s="1036">
        <f t="shared" ref="G43:J43" si="15">G44+G46+G50</f>
        <v>23296.400000000001</v>
      </c>
      <c r="H43" s="1036">
        <f t="shared" si="15"/>
        <v>21594</v>
      </c>
      <c r="I43" s="1036">
        <f t="shared" si="15"/>
        <v>12994</v>
      </c>
      <c r="J43" s="1036">
        <f t="shared" si="15"/>
        <v>8083.76</v>
      </c>
    </row>
    <row r="44" spans="1:10" s="1503" customFormat="1" ht="28.5" x14ac:dyDescent="0.25">
      <c r="D44" s="1037"/>
      <c r="E44" s="1042" t="s">
        <v>1621</v>
      </c>
      <c r="F44" s="1036">
        <f>F45</f>
        <v>7021</v>
      </c>
      <c r="G44" s="1036">
        <f t="shared" ref="G44:J44" si="16">G45</f>
        <v>4300</v>
      </c>
      <c r="H44" s="1036">
        <f t="shared" si="16"/>
        <v>1500</v>
      </c>
      <c r="I44" s="1036">
        <f t="shared" si="16"/>
        <v>1500</v>
      </c>
      <c r="J44" s="1036">
        <f t="shared" si="16"/>
        <v>2081</v>
      </c>
    </row>
    <row r="45" spans="1:10" s="1503" customFormat="1" ht="30" x14ac:dyDescent="0.25">
      <c r="A45" s="1502" t="s">
        <v>1628</v>
      </c>
      <c r="B45" s="1502" t="s">
        <v>1646</v>
      </c>
      <c r="C45" s="1502" t="s">
        <v>1647</v>
      </c>
      <c r="D45" s="1030">
        <v>1</v>
      </c>
      <c r="E45" s="1043" t="s">
        <v>963</v>
      </c>
      <c r="F45" s="1034">
        <v>7021</v>
      </c>
      <c r="G45" s="1034">
        <v>4300</v>
      </c>
      <c r="H45" s="1034">
        <v>1500</v>
      </c>
      <c r="I45" s="1034">
        <v>1500</v>
      </c>
      <c r="J45" s="1034">
        <v>2081</v>
      </c>
    </row>
    <row r="46" spans="1:10" s="1503" customFormat="1" x14ac:dyDescent="0.25">
      <c r="D46" s="1037"/>
      <c r="E46" s="1044" t="s">
        <v>1635</v>
      </c>
      <c r="F46" s="1036">
        <f>SUM(F47:F49)</f>
        <v>15926</v>
      </c>
      <c r="G46" s="1036">
        <f t="shared" ref="G46:J46" si="17">SUM(G47:G49)</f>
        <v>14996.4</v>
      </c>
      <c r="H46" s="1036">
        <f t="shared" si="17"/>
        <v>8994</v>
      </c>
      <c r="I46" s="1036">
        <f t="shared" si="17"/>
        <v>8994</v>
      </c>
      <c r="J46" s="1036">
        <f t="shared" si="17"/>
        <v>4502.76</v>
      </c>
    </row>
    <row r="47" spans="1:10" s="1503" customFormat="1" ht="31.5" x14ac:dyDescent="0.25">
      <c r="A47" s="1502" t="s">
        <v>1628</v>
      </c>
      <c r="B47" s="1502" t="s">
        <v>1646</v>
      </c>
      <c r="C47" s="1502" t="s">
        <v>1636</v>
      </c>
      <c r="D47" s="1033">
        <v>1</v>
      </c>
      <c r="E47" s="1004" t="s">
        <v>961</v>
      </c>
      <c r="F47" s="1034">
        <v>3552</v>
      </c>
      <c r="G47" s="1034">
        <v>3552</v>
      </c>
      <c r="H47" s="1034">
        <v>2952</v>
      </c>
      <c r="I47" s="1034">
        <v>2952</v>
      </c>
      <c r="J47" s="1034">
        <v>244.80000000000018</v>
      </c>
    </row>
    <row r="48" spans="1:10" ht="31.5" x14ac:dyDescent="0.25">
      <c r="A48" s="1502" t="s">
        <v>1628</v>
      </c>
      <c r="B48" s="1502" t="s">
        <v>1646</v>
      </c>
      <c r="C48" s="1502" t="s">
        <v>1636</v>
      </c>
      <c r="D48" s="1033">
        <v>2</v>
      </c>
      <c r="E48" s="1004" t="s">
        <v>962</v>
      </c>
      <c r="F48" s="1034">
        <v>7500</v>
      </c>
      <c r="G48" s="1034">
        <v>7500</v>
      </c>
      <c r="H48" s="1034">
        <v>5002</v>
      </c>
      <c r="I48" s="1034">
        <v>5002</v>
      </c>
      <c r="J48" s="1034">
        <v>1748</v>
      </c>
    </row>
    <row r="49" spans="1:10" ht="45" x14ac:dyDescent="0.25">
      <c r="A49" s="1502" t="s">
        <v>1628</v>
      </c>
      <c r="B49" s="1502" t="s">
        <v>1646</v>
      </c>
      <c r="C49" s="1502" t="s">
        <v>1636</v>
      </c>
      <c r="D49" s="1033">
        <v>3</v>
      </c>
      <c r="E49" s="1004" t="s">
        <v>1648</v>
      </c>
      <c r="F49" s="1034">
        <v>4874</v>
      </c>
      <c r="G49" s="1034">
        <v>3944.4</v>
      </c>
      <c r="H49" s="1034">
        <v>1040</v>
      </c>
      <c r="I49" s="1034">
        <v>1040</v>
      </c>
      <c r="J49" s="1034">
        <v>2509.96</v>
      </c>
    </row>
    <row r="50" spans="1:10" s="1503" customFormat="1" ht="28.5" x14ac:dyDescent="0.25">
      <c r="D50" s="999"/>
      <c r="E50" s="1035" t="s">
        <v>1618</v>
      </c>
      <c r="F50" s="1036">
        <f>F51</f>
        <v>14429</v>
      </c>
      <c r="G50" s="1036">
        <f t="shared" ref="G50:J50" si="18">G51</f>
        <v>4000</v>
      </c>
      <c r="H50" s="1036">
        <f t="shared" si="18"/>
        <v>11100</v>
      </c>
      <c r="I50" s="1036">
        <f t="shared" si="18"/>
        <v>2500</v>
      </c>
      <c r="J50" s="1036">
        <f t="shared" si="18"/>
        <v>1500</v>
      </c>
    </row>
    <row r="51" spans="1:10" ht="31.5" x14ac:dyDescent="0.25">
      <c r="A51" s="1502" t="s">
        <v>1628</v>
      </c>
      <c r="B51" s="1502" t="s">
        <v>1646</v>
      </c>
      <c r="C51" s="1502" t="s">
        <v>1639</v>
      </c>
      <c r="D51" s="1033">
        <v>1</v>
      </c>
      <c r="E51" s="1004" t="s">
        <v>1649</v>
      </c>
      <c r="F51" s="1034">
        <v>14429</v>
      </c>
      <c r="G51" s="1034">
        <v>4000</v>
      </c>
      <c r="H51" s="1034">
        <v>11100</v>
      </c>
      <c r="I51" s="1034">
        <v>2500</v>
      </c>
      <c r="J51" s="1034">
        <v>1500</v>
      </c>
    </row>
    <row r="52" spans="1:10" s="1503" customFormat="1" x14ac:dyDescent="0.25">
      <c r="D52" s="999">
        <v>5</v>
      </c>
      <c r="E52" s="1035" t="s">
        <v>421</v>
      </c>
      <c r="F52" s="1036">
        <f>F53+F55+F57</f>
        <v>9400</v>
      </c>
      <c r="G52" s="1036">
        <f t="shared" ref="G52:J52" si="19">G53+G55+G57</f>
        <v>9210</v>
      </c>
      <c r="H52" s="1036">
        <f t="shared" si="19"/>
        <v>4652</v>
      </c>
      <c r="I52" s="1036">
        <f t="shared" si="19"/>
        <v>4652</v>
      </c>
      <c r="J52" s="1036">
        <f t="shared" si="19"/>
        <v>3298</v>
      </c>
    </row>
    <row r="53" spans="1:10" s="1503" customFormat="1" ht="28.5" x14ac:dyDescent="0.25">
      <c r="D53" s="999"/>
      <c r="E53" s="1035" t="s">
        <v>1621</v>
      </c>
      <c r="F53" s="1036">
        <f>F54</f>
        <v>1500</v>
      </c>
      <c r="G53" s="1036">
        <f t="shared" ref="G53:J53" si="20">G54</f>
        <v>1500</v>
      </c>
      <c r="H53" s="1036">
        <f t="shared" si="20"/>
        <v>500</v>
      </c>
      <c r="I53" s="1036">
        <f t="shared" si="20"/>
        <v>500</v>
      </c>
      <c r="J53" s="1036">
        <f t="shared" si="20"/>
        <v>850</v>
      </c>
    </row>
    <row r="54" spans="1:10" ht="31.5" x14ac:dyDescent="0.25">
      <c r="A54" s="1502" t="s">
        <v>1628</v>
      </c>
      <c r="B54" s="1502" t="s">
        <v>1650</v>
      </c>
      <c r="C54" s="1502" t="s">
        <v>1651</v>
      </c>
      <c r="D54" s="1030">
        <v>1</v>
      </c>
      <c r="E54" s="98" t="s">
        <v>964</v>
      </c>
      <c r="F54" s="1034">
        <v>1500</v>
      </c>
      <c r="G54" s="1034">
        <v>1500</v>
      </c>
      <c r="H54" s="1034">
        <v>500</v>
      </c>
      <c r="I54" s="1034">
        <v>500</v>
      </c>
      <c r="J54" s="1034">
        <v>850</v>
      </c>
    </row>
    <row r="55" spans="1:10" s="1503" customFormat="1" x14ac:dyDescent="0.25">
      <c r="D55" s="1037"/>
      <c r="E55" s="404" t="s">
        <v>1635</v>
      </c>
      <c r="F55" s="1036">
        <f>F56</f>
        <v>6000</v>
      </c>
      <c r="G55" s="1036">
        <f t="shared" ref="G55:J55" si="21">G56</f>
        <v>6000</v>
      </c>
      <c r="H55" s="1036">
        <f t="shared" si="21"/>
        <v>4152</v>
      </c>
      <c r="I55" s="1036">
        <f t="shared" si="21"/>
        <v>4152</v>
      </c>
      <c r="J55" s="1036">
        <f t="shared" si="21"/>
        <v>1248</v>
      </c>
    </row>
    <row r="56" spans="1:10" s="1503" customFormat="1" ht="31.5" x14ac:dyDescent="0.25">
      <c r="A56" s="1502" t="s">
        <v>1628</v>
      </c>
      <c r="B56" s="1502" t="s">
        <v>1650</v>
      </c>
      <c r="C56" s="1502" t="s">
        <v>1636</v>
      </c>
      <c r="D56" s="1033">
        <v>1</v>
      </c>
      <c r="E56" s="1004" t="s">
        <v>1200</v>
      </c>
      <c r="F56" s="1034">
        <v>6000</v>
      </c>
      <c r="G56" s="1034">
        <v>6000</v>
      </c>
      <c r="H56" s="1034">
        <v>4152</v>
      </c>
      <c r="I56" s="1034">
        <v>4152</v>
      </c>
      <c r="J56" s="1034">
        <v>1248</v>
      </c>
    </row>
    <row r="57" spans="1:10" s="1503" customFormat="1" x14ac:dyDescent="0.25">
      <c r="D57" s="999"/>
      <c r="E57" s="1035" t="s">
        <v>1652</v>
      </c>
      <c r="F57" s="1036">
        <f>F58</f>
        <v>1900</v>
      </c>
      <c r="G57" s="1036">
        <f t="shared" ref="G57:J57" si="22">G58</f>
        <v>1710</v>
      </c>
      <c r="H57" s="1036">
        <f t="shared" si="22"/>
        <v>0</v>
      </c>
      <c r="I57" s="1036">
        <f t="shared" si="22"/>
        <v>0</v>
      </c>
      <c r="J57" s="1036">
        <f t="shared" si="22"/>
        <v>1200</v>
      </c>
    </row>
    <row r="58" spans="1:10" x14ac:dyDescent="0.25">
      <c r="A58" s="1502" t="s">
        <v>1628</v>
      </c>
      <c r="B58" s="1502" t="s">
        <v>1650</v>
      </c>
      <c r="C58" s="1502" t="s">
        <v>1653</v>
      </c>
      <c r="D58" s="1030">
        <v>1</v>
      </c>
      <c r="E58" s="415" t="s">
        <v>1654</v>
      </c>
      <c r="F58" s="1034">
        <v>1900</v>
      </c>
      <c r="G58" s="1034">
        <v>1710</v>
      </c>
      <c r="H58" s="1034">
        <v>0</v>
      </c>
      <c r="I58" s="1034">
        <v>0</v>
      </c>
      <c r="J58" s="1034">
        <v>1200</v>
      </c>
    </row>
    <row r="59" spans="1:10" s="1503" customFormat="1" x14ac:dyDescent="0.25">
      <c r="D59" s="1037">
        <v>6</v>
      </c>
      <c r="E59" s="402" t="s">
        <v>426</v>
      </c>
      <c r="F59" s="1036">
        <f>F60+F64</f>
        <v>21992</v>
      </c>
      <c r="G59" s="1036">
        <f t="shared" ref="G59:J59" si="23">G60+G64</f>
        <v>16445.400000000001</v>
      </c>
      <c r="H59" s="1036">
        <f t="shared" si="23"/>
        <v>7432.2</v>
      </c>
      <c r="I59" s="1036">
        <f t="shared" si="23"/>
        <v>7432.2</v>
      </c>
      <c r="J59" s="1036">
        <f t="shared" si="23"/>
        <v>7502.16</v>
      </c>
    </row>
    <row r="60" spans="1:10" s="1503" customFormat="1" ht="28.5" x14ac:dyDescent="0.25">
      <c r="D60" s="1037"/>
      <c r="E60" s="402" t="s">
        <v>1621</v>
      </c>
      <c r="F60" s="1036">
        <f>SUM(F61:F63)</f>
        <v>21038</v>
      </c>
      <c r="G60" s="1036">
        <f t="shared" ref="G60:J60" si="24">SUM(G61:G63)</f>
        <v>15685</v>
      </c>
      <c r="H60" s="1036">
        <f t="shared" si="24"/>
        <v>7052</v>
      </c>
      <c r="I60" s="1036">
        <f t="shared" si="24"/>
        <v>7052</v>
      </c>
      <c r="J60" s="1036">
        <f t="shared" si="24"/>
        <v>7198</v>
      </c>
    </row>
    <row r="61" spans="1:10" x14ac:dyDescent="0.25">
      <c r="A61" s="1502" t="s">
        <v>1628</v>
      </c>
      <c r="B61" s="1502" t="s">
        <v>1655</v>
      </c>
      <c r="C61" s="1502" t="s">
        <v>1647</v>
      </c>
      <c r="D61" s="1030">
        <v>1</v>
      </c>
      <c r="E61" s="409" t="s">
        <v>966</v>
      </c>
      <c r="F61" s="1034">
        <v>4985</v>
      </c>
      <c r="G61" s="1034">
        <v>4985</v>
      </c>
      <c r="H61" s="1034">
        <v>4052</v>
      </c>
      <c r="I61" s="1034">
        <v>4052</v>
      </c>
      <c r="J61" s="1034">
        <v>648</v>
      </c>
    </row>
    <row r="62" spans="1:10" s="1503" customFormat="1" ht="30" x14ac:dyDescent="0.25">
      <c r="A62" s="1502" t="s">
        <v>1628</v>
      </c>
      <c r="B62" s="1502" t="s">
        <v>1655</v>
      </c>
      <c r="C62" s="1502" t="s">
        <v>1647</v>
      </c>
      <c r="D62" s="1030">
        <v>2</v>
      </c>
      <c r="E62" s="409" t="s">
        <v>967</v>
      </c>
      <c r="F62" s="1034">
        <v>8200</v>
      </c>
      <c r="G62" s="1034">
        <v>3200</v>
      </c>
      <c r="H62" s="1034">
        <v>500</v>
      </c>
      <c r="I62" s="1034">
        <v>500</v>
      </c>
      <c r="J62" s="1034">
        <v>2300</v>
      </c>
    </row>
    <row r="63" spans="1:10" ht="31.5" x14ac:dyDescent="0.25">
      <c r="A63" s="1502" t="s">
        <v>1628</v>
      </c>
      <c r="B63" s="1502" t="s">
        <v>1655</v>
      </c>
      <c r="C63" s="1502" t="s">
        <v>1651</v>
      </c>
      <c r="D63" s="1030">
        <v>3</v>
      </c>
      <c r="E63" s="98" t="s">
        <v>965</v>
      </c>
      <c r="F63" s="1034">
        <v>7853</v>
      </c>
      <c r="G63" s="1034">
        <v>7500</v>
      </c>
      <c r="H63" s="1034">
        <v>2500</v>
      </c>
      <c r="I63" s="1034">
        <v>2500</v>
      </c>
      <c r="J63" s="1034">
        <v>4250</v>
      </c>
    </row>
    <row r="64" spans="1:10" s="1503" customFormat="1" x14ac:dyDescent="0.25">
      <c r="D64" s="1037"/>
      <c r="E64" s="404" t="s">
        <v>1635</v>
      </c>
      <c r="F64" s="1036">
        <f>F65</f>
        <v>954</v>
      </c>
      <c r="G64" s="1036">
        <f t="shared" ref="G64:J64" si="25">G65</f>
        <v>760.4</v>
      </c>
      <c r="H64" s="1036">
        <f t="shared" si="25"/>
        <v>380.2</v>
      </c>
      <c r="I64" s="1036">
        <f t="shared" si="25"/>
        <v>380.2</v>
      </c>
      <c r="J64" s="1036">
        <f t="shared" si="25"/>
        <v>304.16000000000003</v>
      </c>
    </row>
    <row r="65" spans="1:10" ht="45" x14ac:dyDescent="0.25">
      <c r="A65" s="1502" t="s">
        <v>1628</v>
      </c>
      <c r="B65" s="1502" t="s">
        <v>1655</v>
      </c>
      <c r="C65" s="1502" t="s">
        <v>1636</v>
      </c>
      <c r="D65" s="1033">
        <v>1</v>
      </c>
      <c r="E65" s="1004" t="s">
        <v>1656</v>
      </c>
      <c r="F65" s="1034">
        <v>954</v>
      </c>
      <c r="G65" s="1034">
        <v>760.4</v>
      </c>
      <c r="H65" s="1034">
        <v>380.2</v>
      </c>
      <c r="I65" s="1034">
        <v>380.2</v>
      </c>
      <c r="J65" s="1034">
        <v>304.16000000000003</v>
      </c>
    </row>
    <row r="66" spans="1:10" s="1503" customFormat="1" x14ac:dyDescent="0.25">
      <c r="D66" s="999">
        <v>7</v>
      </c>
      <c r="E66" s="1035" t="s">
        <v>425</v>
      </c>
      <c r="F66" s="1036">
        <f>F67+F70+F73</f>
        <v>28327</v>
      </c>
      <c r="G66" s="1036">
        <f t="shared" ref="G66:J66" si="26">G67+G70+G73</f>
        <v>13195</v>
      </c>
      <c r="H66" s="1036">
        <f t="shared" si="26"/>
        <v>8401.5</v>
      </c>
      <c r="I66" s="1036">
        <f t="shared" si="26"/>
        <v>8401.5</v>
      </c>
      <c r="J66" s="1036">
        <f t="shared" si="26"/>
        <v>3521.1</v>
      </c>
    </row>
    <row r="67" spans="1:10" s="1503" customFormat="1" x14ac:dyDescent="0.25">
      <c r="D67" s="999"/>
      <c r="E67" s="1035" t="s">
        <v>921</v>
      </c>
      <c r="F67" s="1036">
        <f>SUM(F68:F69)</f>
        <v>6004</v>
      </c>
      <c r="G67" s="1036">
        <f t="shared" ref="G67:J67" si="27">SUM(G68:G69)</f>
        <v>5854</v>
      </c>
      <c r="H67" s="1036">
        <f t="shared" si="27"/>
        <v>5001.5</v>
      </c>
      <c r="I67" s="1036">
        <f t="shared" si="27"/>
        <v>5001.5</v>
      </c>
      <c r="J67" s="1036">
        <f t="shared" si="27"/>
        <v>314.20000000000005</v>
      </c>
    </row>
    <row r="68" spans="1:10" ht="45" x14ac:dyDescent="0.25">
      <c r="A68" s="1502" t="s">
        <v>1628</v>
      </c>
      <c r="B68" s="1502" t="s">
        <v>1657</v>
      </c>
      <c r="C68" s="1502" t="s">
        <v>955</v>
      </c>
      <c r="D68" s="1033">
        <v>1</v>
      </c>
      <c r="E68" s="1004" t="s">
        <v>1658</v>
      </c>
      <c r="F68" s="1034">
        <v>753</v>
      </c>
      <c r="G68" s="1034">
        <v>603</v>
      </c>
      <c r="H68" s="1034">
        <v>301.5</v>
      </c>
      <c r="I68" s="1034">
        <v>301.5</v>
      </c>
      <c r="J68" s="1034">
        <v>241.20000000000005</v>
      </c>
    </row>
    <row r="69" spans="1:10" ht="30" x14ac:dyDescent="0.25">
      <c r="D69" s="1033"/>
      <c r="E69" s="1004" t="s">
        <v>1949</v>
      </c>
      <c r="F69" s="1034">
        <v>5251</v>
      </c>
      <c r="G69" s="1034">
        <v>5251</v>
      </c>
      <c r="H69" s="1034">
        <v>4700</v>
      </c>
      <c r="I69" s="1034">
        <v>4700</v>
      </c>
      <c r="J69" s="1034">
        <v>73</v>
      </c>
    </row>
    <row r="70" spans="1:10" s="1503" customFormat="1" ht="28.5" x14ac:dyDescent="0.25">
      <c r="D70" s="999"/>
      <c r="E70" s="1035" t="s">
        <v>1621</v>
      </c>
      <c r="F70" s="1036">
        <f>SUM(F71:F72)</f>
        <v>13788</v>
      </c>
      <c r="G70" s="1036">
        <f t="shared" ref="G70:J70" si="28">SUM(G71:G72)</f>
        <v>4000</v>
      </c>
      <c r="H70" s="1036">
        <f t="shared" si="28"/>
        <v>1400</v>
      </c>
      <c r="I70" s="1036">
        <f t="shared" si="28"/>
        <v>1400</v>
      </c>
      <c r="J70" s="1036">
        <f t="shared" si="28"/>
        <v>2200</v>
      </c>
    </row>
    <row r="71" spans="1:10" ht="31.5" x14ac:dyDescent="0.25">
      <c r="A71" s="1502" t="s">
        <v>1628</v>
      </c>
      <c r="B71" s="1502" t="s">
        <v>1659</v>
      </c>
      <c r="C71" s="1502" t="s">
        <v>1651</v>
      </c>
      <c r="D71" s="1030">
        <v>1</v>
      </c>
      <c r="E71" s="98" t="s">
        <v>968</v>
      </c>
      <c r="F71" s="1034">
        <v>7189</v>
      </c>
      <c r="G71" s="1034">
        <v>2000</v>
      </c>
      <c r="H71" s="1034">
        <v>700</v>
      </c>
      <c r="I71" s="1034">
        <v>700</v>
      </c>
      <c r="J71" s="1034">
        <v>1100</v>
      </c>
    </row>
    <row r="72" spans="1:10" ht="31.5" x14ac:dyDescent="0.25">
      <c r="A72" s="1502" t="s">
        <v>1628</v>
      </c>
      <c r="B72" s="1502" t="s">
        <v>1659</v>
      </c>
      <c r="C72" s="1502" t="s">
        <v>1651</v>
      </c>
      <c r="D72" s="1030">
        <v>2</v>
      </c>
      <c r="E72" s="98" t="s">
        <v>969</v>
      </c>
      <c r="F72" s="1034">
        <v>6599</v>
      </c>
      <c r="G72" s="1034">
        <v>2000</v>
      </c>
      <c r="H72" s="1034">
        <v>700</v>
      </c>
      <c r="I72" s="1034">
        <v>700</v>
      </c>
      <c r="J72" s="1034">
        <v>1100</v>
      </c>
    </row>
    <row r="73" spans="1:10" s="1503" customFormat="1" x14ac:dyDescent="0.25">
      <c r="D73" s="1037"/>
      <c r="E73" s="404" t="s">
        <v>1635</v>
      </c>
      <c r="F73" s="1036">
        <f>F74</f>
        <v>8535</v>
      </c>
      <c r="G73" s="1036">
        <f t="shared" ref="G73:J73" si="29">G74</f>
        <v>3341</v>
      </c>
      <c r="H73" s="1036">
        <f t="shared" si="29"/>
        <v>2000</v>
      </c>
      <c r="I73" s="1036">
        <f t="shared" si="29"/>
        <v>2000</v>
      </c>
      <c r="J73" s="1036">
        <f t="shared" si="29"/>
        <v>1006.9000000000001</v>
      </c>
    </row>
    <row r="74" spans="1:10" ht="45" x14ac:dyDescent="0.25">
      <c r="A74" s="1502" t="s">
        <v>1628</v>
      </c>
      <c r="B74" s="1502" t="s">
        <v>1659</v>
      </c>
      <c r="C74" s="1502" t="s">
        <v>1636</v>
      </c>
      <c r="D74" s="1033">
        <v>1</v>
      </c>
      <c r="E74" s="1004" t="s">
        <v>1660</v>
      </c>
      <c r="F74" s="1034">
        <v>8535</v>
      </c>
      <c r="G74" s="1034">
        <v>3341</v>
      </c>
      <c r="H74" s="1034">
        <v>2000</v>
      </c>
      <c r="I74" s="1034">
        <v>2000</v>
      </c>
      <c r="J74" s="1034">
        <v>1006.9000000000001</v>
      </c>
    </row>
    <row r="75" spans="1:10" s="1503" customFormat="1" x14ac:dyDescent="0.25">
      <c r="D75" s="999">
        <v>8</v>
      </c>
      <c r="E75" s="1035" t="s">
        <v>424</v>
      </c>
      <c r="F75" s="1036">
        <f>F76+F79</f>
        <v>11986</v>
      </c>
      <c r="G75" s="1036">
        <f t="shared" ref="G75:J75" si="30">G76+G79</f>
        <v>11289.4</v>
      </c>
      <c r="H75" s="1036">
        <f t="shared" si="30"/>
        <v>5348</v>
      </c>
      <c r="I75" s="1036">
        <f t="shared" si="30"/>
        <v>5348</v>
      </c>
      <c r="J75" s="1036">
        <f t="shared" si="30"/>
        <v>4958</v>
      </c>
    </row>
    <row r="76" spans="1:10" s="1503" customFormat="1" ht="28.5" x14ac:dyDescent="0.25">
      <c r="D76" s="999"/>
      <c r="E76" s="1035" t="s">
        <v>1621</v>
      </c>
      <c r="F76" s="1036">
        <f>SUM(F77:F78)</f>
        <v>3246</v>
      </c>
      <c r="G76" s="1036">
        <f t="shared" ref="G76:J76" si="31">SUM(G77:G78)</f>
        <v>3167</v>
      </c>
      <c r="H76" s="1036">
        <f t="shared" si="31"/>
        <v>1100</v>
      </c>
      <c r="I76" s="1036">
        <f t="shared" si="31"/>
        <v>1100</v>
      </c>
      <c r="J76" s="1036">
        <f t="shared" si="31"/>
        <v>1887</v>
      </c>
    </row>
    <row r="77" spans="1:10" ht="30" x14ac:dyDescent="0.25">
      <c r="A77" s="1502" t="s">
        <v>1628</v>
      </c>
      <c r="B77" s="1502" t="s">
        <v>1661</v>
      </c>
      <c r="C77" s="1502" t="s">
        <v>1647</v>
      </c>
      <c r="D77" s="1030">
        <v>1</v>
      </c>
      <c r="E77" s="415" t="s">
        <v>971</v>
      </c>
      <c r="F77" s="1034">
        <v>1446</v>
      </c>
      <c r="G77" s="1034">
        <v>1367</v>
      </c>
      <c r="H77" s="1034">
        <v>500</v>
      </c>
      <c r="I77" s="1034">
        <v>500</v>
      </c>
      <c r="J77" s="1034">
        <v>867</v>
      </c>
    </row>
    <row r="78" spans="1:10" ht="31.5" x14ac:dyDescent="0.25">
      <c r="A78" s="1502" t="s">
        <v>1628</v>
      </c>
      <c r="B78" s="1502" t="s">
        <v>1661</v>
      </c>
      <c r="C78" s="1502" t="s">
        <v>1651</v>
      </c>
      <c r="D78" s="1030">
        <v>2</v>
      </c>
      <c r="E78" s="1004" t="s">
        <v>970</v>
      </c>
      <c r="F78" s="1034">
        <v>1800</v>
      </c>
      <c r="G78" s="1034">
        <v>1800</v>
      </c>
      <c r="H78" s="1034">
        <v>600</v>
      </c>
      <c r="I78" s="1034">
        <v>600</v>
      </c>
      <c r="J78" s="1034">
        <v>1020</v>
      </c>
    </row>
    <row r="79" spans="1:10" s="1503" customFormat="1" x14ac:dyDescent="0.25">
      <c r="D79" s="1037"/>
      <c r="E79" s="1035" t="s">
        <v>1635</v>
      </c>
      <c r="F79" s="1036">
        <f>SUM(F80:F81)</f>
        <v>8740</v>
      </c>
      <c r="G79" s="1036">
        <f t="shared" ref="G79:J79" si="32">SUM(G80:G81)</f>
        <v>8122.4</v>
      </c>
      <c r="H79" s="1036">
        <f t="shared" si="32"/>
        <v>4248</v>
      </c>
      <c r="I79" s="1036">
        <f t="shared" si="32"/>
        <v>4248</v>
      </c>
      <c r="J79" s="1036">
        <f t="shared" si="32"/>
        <v>3071</v>
      </c>
    </row>
    <row r="80" spans="1:10" ht="45" x14ac:dyDescent="0.25">
      <c r="A80" s="1502" t="s">
        <v>1628</v>
      </c>
      <c r="B80" s="1502" t="s">
        <v>1661</v>
      </c>
      <c r="C80" s="1502" t="s">
        <v>1636</v>
      </c>
      <c r="D80" s="1033">
        <v>1</v>
      </c>
      <c r="E80" s="1004" t="s">
        <v>1662</v>
      </c>
      <c r="F80" s="1034">
        <v>3050</v>
      </c>
      <c r="G80" s="1034">
        <v>2432.4</v>
      </c>
      <c r="H80" s="1034">
        <v>1000</v>
      </c>
      <c r="I80" s="1034">
        <v>1000</v>
      </c>
      <c r="J80" s="1034">
        <v>1189</v>
      </c>
    </row>
    <row r="81" spans="1:10" ht="31.5" x14ac:dyDescent="0.25">
      <c r="A81" s="1502" t="s">
        <v>1628</v>
      </c>
      <c r="B81" s="1502" t="s">
        <v>1661</v>
      </c>
      <c r="C81" s="1502" t="s">
        <v>1636</v>
      </c>
      <c r="D81" s="1033">
        <v>2</v>
      </c>
      <c r="E81" s="1004" t="s">
        <v>1663</v>
      </c>
      <c r="F81" s="1034">
        <v>5690</v>
      </c>
      <c r="G81" s="1034">
        <v>5690</v>
      </c>
      <c r="H81" s="1034">
        <v>3248</v>
      </c>
      <c r="I81" s="1034">
        <v>3248</v>
      </c>
      <c r="J81" s="1034">
        <v>1882</v>
      </c>
    </row>
    <row r="82" spans="1:10" s="1503" customFormat="1" x14ac:dyDescent="0.25">
      <c r="D82" s="999">
        <v>9</v>
      </c>
      <c r="E82" s="1035" t="s">
        <v>423</v>
      </c>
      <c r="F82" s="1036">
        <f>F83+F86+F88</f>
        <v>16358</v>
      </c>
      <c r="G82" s="1036">
        <f t="shared" ref="G82:J82" si="33">G83+G86+G88</f>
        <v>14442</v>
      </c>
      <c r="H82" s="1036">
        <f t="shared" si="33"/>
        <v>5820</v>
      </c>
      <c r="I82" s="1036">
        <f t="shared" si="33"/>
        <v>5820</v>
      </c>
      <c r="J82" s="1036">
        <f t="shared" si="33"/>
        <v>7114</v>
      </c>
    </row>
    <row r="83" spans="1:10" s="1503" customFormat="1" ht="28.5" x14ac:dyDescent="0.25">
      <c r="D83" s="999"/>
      <c r="E83" s="1035" t="s">
        <v>1621</v>
      </c>
      <c r="F83" s="1036">
        <f>SUM(F84:F85)</f>
        <v>8703</v>
      </c>
      <c r="G83" s="1036">
        <f t="shared" ref="G83:J83" si="34">SUM(G84:G85)</f>
        <v>8003</v>
      </c>
      <c r="H83" s="1036">
        <f t="shared" si="34"/>
        <v>3000</v>
      </c>
      <c r="I83" s="1036">
        <f t="shared" si="34"/>
        <v>3000</v>
      </c>
      <c r="J83" s="1036">
        <f t="shared" si="34"/>
        <v>4499</v>
      </c>
    </row>
    <row r="84" spans="1:10" x14ac:dyDescent="0.25">
      <c r="A84" s="1502" t="s">
        <v>1628</v>
      </c>
      <c r="B84" s="1502" t="s">
        <v>1664</v>
      </c>
      <c r="C84" s="1502" t="s">
        <v>1647</v>
      </c>
      <c r="D84" s="1030">
        <v>1</v>
      </c>
      <c r="E84" s="1041" t="s">
        <v>972</v>
      </c>
      <c r="F84" s="1034">
        <v>1800</v>
      </c>
      <c r="G84" s="1034">
        <v>1100</v>
      </c>
      <c r="H84" s="1034">
        <v>500</v>
      </c>
      <c r="I84" s="1034">
        <v>500</v>
      </c>
      <c r="J84" s="1034">
        <v>600</v>
      </c>
    </row>
    <row r="85" spans="1:10" ht="31.5" x14ac:dyDescent="0.25">
      <c r="A85" s="1502" t="s">
        <v>1628</v>
      </c>
      <c r="B85" s="1502" t="s">
        <v>1664</v>
      </c>
      <c r="C85" s="1502" t="s">
        <v>1651</v>
      </c>
      <c r="D85" s="1030">
        <v>2</v>
      </c>
      <c r="E85" s="98" t="s">
        <v>1206</v>
      </c>
      <c r="F85" s="1034">
        <v>6903</v>
      </c>
      <c r="G85" s="1034">
        <v>6903</v>
      </c>
      <c r="H85" s="1034">
        <v>2500</v>
      </c>
      <c r="I85" s="1034">
        <v>2500</v>
      </c>
      <c r="J85" s="1034">
        <v>3899</v>
      </c>
    </row>
    <row r="86" spans="1:10" s="1503" customFormat="1" x14ac:dyDescent="0.25">
      <c r="D86" s="1037"/>
      <c r="E86" s="404" t="s">
        <v>1635</v>
      </c>
      <c r="F86" s="1036">
        <f>F87</f>
        <v>5819</v>
      </c>
      <c r="G86" s="1036">
        <f t="shared" ref="G86:J86" si="35">G87</f>
        <v>4639</v>
      </c>
      <c r="H86" s="1036">
        <f t="shared" si="35"/>
        <v>2820</v>
      </c>
      <c r="I86" s="1036">
        <f t="shared" si="35"/>
        <v>2820</v>
      </c>
      <c r="J86" s="1036">
        <f t="shared" si="35"/>
        <v>1355</v>
      </c>
    </row>
    <row r="87" spans="1:10" ht="45" x14ac:dyDescent="0.25">
      <c r="A87" s="1502" t="s">
        <v>1628</v>
      </c>
      <c r="B87" s="1502" t="s">
        <v>1664</v>
      </c>
      <c r="C87" s="1502" t="s">
        <v>1636</v>
      </c>
      <c r="D87" s="1033">
        <v>1</v>
      </c>
      <c r="E87" s="1004" t="s">
        <v>1197</v>
      </c>
      <c r="F87" s="1034">
        <v>5819</v>
      </c>
      <c r="G87" s="1034">
        <v>4639</v>
      </c>
      <c r="H87" s="1034">
        <v>2820</v>
      </c>
      <c r="I87" s="1034">
        <v>2820</v>
      </c>
      <c r="J87" s="1034">
        <v>1355</v>
      </c>
    </row>
    <row r="88" spans="1:10" s="1503" customFormat="1" x14ac:dyDescent="0.25">
      <c r="D88" s="999"/>
      <c r="E88" s="1035" t="s">
        <v>1652</v>
      </c>
      <c r="F88" s="1036">
        <f>F89</f>
        <v>1836</v>
      </c>
      <c r="G88" s="1036">
        <f t="shared" ref="G88:J88" si="36">G89</f>
        <v>1800</v>
      </c>
      <c r="H88" s="1036">
        <f t="shared" si="36"/>
        <v>0</v>
      </c>
      <c r="I88" s="1036">
        <f t="shared" si="36"/>
        <v>0</v>
      </c>
      <c r="J88" s="1036">
        <f t="shared" si="36"/>
        <v>1260</v>
      </c>
    </row>
    <row r="89" spans="1:10" ht="30" x14ac:dyDescent="0.25">
      <c r="A89" s="1502" t="s">
        <v>1628</v>
      </c>
      <c r="B89" s="1502" t="s">
        <v>1664</v>
      </c>
      <c r="C89" s="1502" t="s">
        <v>1653</v>
      </c>
      <c r="D89" s="1030">
        <v>1</v>
      </c>
      <c r="E89" s="415" t="s">
        <v>1665</v>
      </c>
      <c r="F89" s="1034">
        <v>1836</v>
      </c>
      <c r="G89" s="1034">
        <v>1800</v>
      </c>
      <c r="H89" s="1034">
        <v>0</v>
      </c>
      <c r="I89" s="1034">
        <v>0</v>
      </c>
      <c r="J89" s="1034">
        <v>1260</v>
      </c>
    </row>
    <row r="90" spans="1:10" s="1503" customFormat="1" x14ac:dyDescent="0.25">
      <c r="D90" s="1037">
        <v>10</v>
      </c>
      <c r="E90" s="402" t="s">
        <v>422</v>
      </c>
      <c r="F90" s="1036">
        <f>F91+F94</f>
        <v>22760</v>
      </c>
      <c r="G90" s="1036">
        <f t="shared" ref="G90:J90" si="37">G91+G94</f>
        <v>15121</v>
      </c>
      <c r="H90" s="1036">
        <f t="shared" si="37"/>
        <v>7810.5</v>
      </c>
      <c r="I90" s="1036">
        <f t="shared" si="37"/>
        <v>7810.5</v>
      </c>
      <c r="J90" s="1036">
        <f t="shared" si="37"/>
        <v>5798.4000000000005</v>
      </c>
    </row>
    <row r="91" spans="1:10" s="1503" customFormat="1" ht="28.5" x14ac:dyDescent="0.25">
      <c r="D91" s="1037"/>
      <c r="E91" s="402" t="s">
        <v>1621</v>
      </c>
      <c r="F91" s="1036">
        <f>SUM(F92:F93)</f>
        <v>13200</v>
      </c>
      <c r="G91" s="1036">
        <f t="shared" ref="G91:J91" si="38">SUM(G92:G93)</f>
        <v>7500</v>
      </c>
      <c r="H91" s="1036">
        <f t="shared" si="38"/>
        <v>2500</v>
      </c>
      <c r="I91" s="1036">
        <f t="shared" si="38"/>
        <v>2500</v>
      </c>
      <c r="J91" s="1036">
        <f t="shared" si="38"/>
        <v>4250</v>
      </c>
    </row>
    <row r="92" spans="1:10" ht="31.5" x14ac:dyDescent="0.25">
      <c r="A92" s="1502" t="s">
        <v>1628</v>
      </c>
      <c r="B92" s="1502" t="s">
        <v>1666</v>
      </c>
      <c r="C92" s="1502" t="s">
        <v>1651</v>
      </c>
      <c r="D92" s="1030">
        <v>1</v>
      </c>
      <c r="E92" s="98" t="s">
        <v>973</v>
      </c>
      <c r="F92" s="98">
        <v>9200</v>
      </c>
      <c r="G92" s="98">
        <v>5500</v>
      </c>
      <c r="H92" s="1034">
        <v>1800</v>
      </c>
      <c r="I92" s="1034">
        <v>1800</v>
      </c>
      <c r="J92" s="1034">
        <v>3150</v>
      </c>
    </row>
    <row r="93" spans="1:10" s="1503" customFormat="1" ht="31.5" x14ac:dyDescent="0.25">
      <c r="A93" s="1502" t="s">
        <v>1628</v>
      </c>
      <c r="B93" s="1502" t="s">
        <v>1666</v>
      </c>
      <c r="C93" s="1502" t="s">
        <v>1651</v>
      </c>
      <c r="D93" s="1030">
        <v>2</v>
      </c>
      <c r="E93" s="98" t="s">
        <v>974</v>
      </c>
      <c r="F93" s="98">
        <v>4000</v>
      </c>
      <c r="G93" s="98">
        <v>2000</v>
      </c>
      <c r="H93" s="1034">
        <v>700</v>
      </c>
      <c r="I93" s="1034">
        <v>700</v>
      </c>
      <c r="J93" s="1034">
        <v>1100</v>
      </c>
    </row>
    <row r="94" spans="1:10" s="1503" customFormat="1" x14ac:dyDescent="0.25">
      <c r="D94" s="1037"/>
      <c r="E94" s="404" t="s">
        <v>1635</v>
      </c>
      <c r="F94" s="404">
        <f>F95</f>
        <v>9560</v>
      </c>
      <c r="G94" s="404">
        <f t="shared" ref="G94:J94" si="39">G95</f>
        <v>7621</v>
      </c>
      <c r="H94" s="404">
        <f t="shared" si="39"/>
        <v>5310.5</v>
      </c>
      <c r="I94" s="404">
        <f t="shared" si="39"/>
        <v>5310.5</v>
      </c>
      <c r="J94" s="404">
        <f t="shared" si="39"/>
        <v>1548.4000000000005</v>
      </c>
    </row>
    <row r="95" spans="1:10" ht="45" x14ac:dyDescent="0.25">
      <c r="A95" s="1502" t="s">
        <v>1628</v>
      </c>
      <c r="B95" s="1502" t="s">
        <v>1666</v>
      </c>
      <c r="C95" s="1502" t="s">
        <v>1636</v>
      </c>
      <c r="D95" s="1033">
        <v>1</v>
      </c>
      <c r="E95" s="1004" t="s">
        <v>1198</v>
      </c>
      <c r="F95" s="1034">
        <v>9560</v>
      </c>
      <c r="G95" s="1034">
        <v>7621</v>
      </c>
      <c r="H95" s="1034">
        <v>5310.5</v>
      </c>
      <c r="I95" s="1034">
        <v>5310.5</v>
      </c>
      <c r="J95" s="1034">
        <v>1548.4000000000005</v>
      </c>
    </row>
    <row r="96" spans="1:10" s="1503" customFormat="1" ht="21" customHeight="1" x14ac:dyDescent="0.25">
      <c r="D96" s="999">
        <v>11</v>
      </c>
      <c r="E96" s="1035" t="s">
        <v>427</v>
      </c>
      <c r="F96" s="1036">
        <f>F97+F100</f>
        <v>70151</v>
      </c>
      <c r="G96" s="1036">
        <f t="shared" ref="G96:J96" si="40">G97+G100</f>
        <v>39919</v>
      </c>
      <c r="H96" s="1036">
        <f t="shared" si="40"/>
        <v>21786</v>
      </c>
      <c r="I96" s="1036">
        <f t="shared" si="40"/>
        <v>21786</v>
      </c>
      <c r="J96" s="1036">
        <f t="shared" si="40"/>
        <v>13906.1</v>
      </c>
    </row>
    <row r="97" spans="1:10" s="1503" customFormat="1" ht="28.5" x14ac:dyDescent="0.25">
      <c r="D97" s="999"/>
      <c r="E97" s="1035" t="s">
        <v>1621</v>
      </c>
      <c r="F97" s="1036">
        <f>SUM(F98:F99)</f>
        <v>24635</v>
      </c>
      <c r="G97" s="1036">
        <f t="shared" ref="G97:J97" si="41">SUM(G98:G99)</f>
        <v>16319</v>
      </c>
      <c r="H97" s="1036">
        <f t="shared" si="41"/>
        <v>3900</v>
      </c>
      <c r="I97" s="1036">
        <f t="shared" si="41"/>
        <v>3900</v>
      </c>
      <c r="J97" s="1036">
        <f t="shared" si="41"/>
        <v>10552.1</v>
      </c>
    </row>
    <row r="98" spans="1:10" x14ac:dyDescent="0.25">
      <c r="A98" s="1502" t="s">
        <v>1628</v>
      </c>
      <c r="B98" s="1502" t="s">
        <v>1667</v>
      </c>
      <c r="C98" s="1502" t="s">
        <v>1647</v>
      </c>
      <c r="D98" s="1030">
        <v>1</v>
      </c>
      <c r="E98" s="1041" t="s">
        <v>981</v>
      </c>
      <c r="F98" s="1034">
        <v>13316</v>
      </c>
      <c r="G98" s="1034">
        <v>5000</v>
      </c>
      <c r="H98" s="1034">
        <v>500</v>
      </c>
      <c r="I98" s="1034">
        <v>500</v>
      </c>
      <c r="J98" s="1034">
        <v>3765</v>
      </c>
    </row>
    <row r="99" spans="1:10" ht="31.5" x14ac:dyDescent="0.25">
      <c r="A99" s="1502" t="s">
        <v>1628</v>
      </c>
      <c r="B99" s="1502" t="s">
        <v>1626</v>
      </c>
      <c r="C99" s="1502" t="s">
        <v>1651</v>
      </c>
      <c r="D99" s="1030">
        <v>2</v>
      </c>
      <c r="E99" s="1004" t="s">
        <v>979</v>
      </c>
      <c r="F99" s="1034">
        <v>11319</v>
      </c>
      <c r="G99" s="1034">
        <v>11319</v>
      </c>
      <c r="H99" s="1034">
        <v>3400</v>
      </c>
      <c r="I99" s="1034">
        <v>3400</v>
      </c>
      <c r="J99" s="1034">
        <v>6787.1</v>
      </c>
    </row>
    <row r="100" spans="1:10" s="1503" customFormat="1" x14ac:dyDescent="0.25">
      <c r="D100" s="1037"/>
      <c r="E100" s="1035" t="s">
        <v>1635</v>
      </c>
      <c r="F100" s="1036">
        <f>SUM(F101:F102)</f>
        <v>45516</v>
      </c>
      <c r="G100" s="1036">
        <f t="shared" ref="G100:J100" si="42">SUM(G101:G102)</f>
        <v>23600</v>
      </c>
      <c r="H100" s="1036">
        <f t="shared" si="42"/>
        <v>17886</v>
      </c>
      <c r="I100" s="1036">
        <f t="shared" si="42"/>
        <v>17886</v>
      </c>
      <c r="J100" s="1036">
        <f t="shared" si="42"/>
        <v>3354</v>
      </c>
    </row>
    <row r="101" spans="1:10" ht="31.5" x14ac:dyDescent="0.25">
      <c r="A101" s="1502" t="s">
        <v>1628</v>
      </c>
      <c r="B101" s="1502" t="s">
        <v>1626</v>
      </c>
      <c r="C101" s="1502" t="s">
        <v>1636</v>
      </c>
      <c r="D101" s="1033">
        <v>1</v>
      </c>
      <c r="E101" s="1004" t="s">
        <v>977</v>
      </c>
      <c r="F101" s="1034">
        <v>13316</v>
      </c>
      <c r="G101" s="1034">
        <v>7500</v>
      </c>
      <c r="H101" s="1034">
        <v>6138</v>
      </c>
      <c r="I101" s="1034">
        <v>6138</v>
      </c>
      <c r="J101" s="1034">
        <v>612</v>
      </c>
    </row>
    <row r="102" spans="1:10" ht="21.75" customHeight="1" x14ac:dyDescent="0.25">
      <c r="A102" s="1502" t="s">
        <v>1628</v>
      </c>
      <c r="B102" s="1502" t="s">
        <v>1626</v>
      </c>
      <c r="C102" s="1502" t="s">
        <v>1636</v>
      </c>
      <c r="D102" s="1033">
        <v>2</v>
      </c>
      <c r="E102" s="1004" t="s">
        <v>975</v>
      </c>
      <c r="F102" s="1034">
        <v>32200</v>
      </c>
      <c r="G102" s="1034">
        <v>16100</v>
      </c>
      <c r="H102" s="1034">
        <v>11748</v>
      </c>
      <c r="I102" s="1034">
        <v>11748</v>
      </c>
      <c r="J102" s="1034">
        <v>2742</v>
      </c>
    </row>
    <row r="103" spans="1:10" s="1503" customFormat="1" ht="18.75" customHeight="1" x14ac:dyDescent="0.25">
      <c r="D103" s="999" t="s">
        <v>15</v>
      </c>
      <c r="E103" s="1035" t="s">
        <v>1668</v>
      </c>
      <c r="F103" s="1036">
        <f>F104+F115+F118+F121+F124+F127+F135+F138+F141+F146+F149+F152+F157+F163+F168+F171+F181+F184+F188+F191+F194+F203+F206+F207</f>
        <v>2717567.6209999998</v>
      </c>
      <c r="G103" s="1036">
        <f>G104+G115+G118+G121+G124+G127+G135+G138+G141+G146+G149+G152+G157+G163+G168+G171+G181+G184+G188+G191+G194+G203+G206+G207</f>
        <v>519327.10788600001</v>
      </c>
      <c r="H103" s="1036">
        <f>H104+H115+H118+H121+H124+H127+H135+H138+H141+H146+H149+H152+H157+H163+H168+H171+H181+H184+H188+H191+H194+H203+H206+H207</f>
        <v>1772931.7759999998</v>
      </c>
      <c r="I103" s="1036">
        <f>I104+I115+I118+I121+I124+I127+I135+I138+I141+I146+I149+I152+I157+I163+I168+I171+I181+I184+I188+I191+I194+I203+I206+I207</f>
        <v>180522.7</v>
      </c>
      <c r="J103" s="1036">
        <f>J104+J115+J118+J121+J124+J127+J135+J138+J141+J146+J149+J152+J157+J163+J168+J171+J181+J184+J188+J191+J194+J203+J206+J207</f>
        <v>154210.95288600004</v>
      </c>
    </row>
    <row r="104" spans="1:10" s="1503" customFormat="1" x14ac:dyDescent="0.25">
      <c r="D104" s="999">
        <v>1</v>
      </c>
      <c r="E104" s="1035" t="s">
        <v>419</v>
      </c>
      <c r="F104" s="1036">
        <f>F105+F111</f>
        <v>461782.158</v>
      </c>
      <c r="G104" s="1036">
        <f t="shared" ref="G104:J104" si="43">G105+G111</f>
        <v>53940</v>
      </c>
      <c r="H104" s="1036">
        <f t="shared" si="43"/>
        <v>362462</v>
      </c>
      <c r="I104" s="1036">
        <f t="shared" si="43"/>
        <v>6035</v>
      </c>
      <c r="J104" s="1036">
        <f t="shared" si="43"/>
        <v>9384</v>
      </c>
    </row>
    <row r="105" spans="1:10" s="1503" customFormat="1" x14ac:dyDescent="0.25">
      <c r="D105" s="999"/>
      <c r="E105" s="404" t="s">
        <v>921</v>
      </c>
      <c r="F105" s="1045">
        <f>SUM(F106:F110)</f>
        <v>443074</v>
      </c>
      <c r="G105" s="1045">
        <f t="shared" ref="G105:J105" si="44">SUM(G106:G110)</f>
        <v>50485</v>
      </c>
      <c r="H105" s="1045">
        <f t="shared" si="44"/>
        <v>347209</v>
      </c>
      <c r="I105" s="1045">
        <f t="shared" si="44"/>
        <v>6035</v>
      </c>
      <c r="J105" s="1045">
        <f t="shared" si="44"/>
        <v>7058</v>
      </c>
    </row>
    <row r="106" spans="1:10" ht="45" x14ac:dyDescent="0.25">
      <c r="A106" s="1502" t="s">
        <v>1669</v>
      </c>
      <c r="B106" s="1502" t="s">
        <v>1615</v>
      </c>
      <c r="C106" s="1502" t="s">
        <v>1616</v>
      </c>
      <c r="D106" s="1033">
        <v>1</v>
      </c>
      <c r="E106" s="98" t="s">
        <v>1670</v>
      </c>
      <c r="F106" s="1034">
        <v>5420</v>
      </c>
      <c r="G106" s="1034">
        <v>64</v>
      </c>
      <c r="H106" s="1034">
        <v>4663</v>
      </c>
      <c r="I106" s="1034">
        <v>0</v>
      </c>
      <c r="J106" s="1034">
        <v>64</v>
      </c>
    </row>
    <row r="107" spans="1:10" ht="30" x14ac:dyDescent="0.25">
      <c r="A107" s="1502" t="s">
        <v>1669</v>
      </c>
      <c r="B107" s="1502" t="s">
        <v>1615</v>
      </c>
      <c r="C107" s="1502" t="s">
        <v>1616</v>
      </c>
      <c r="D107" s="1033">
        <v>2</v>
      </c>
      <c r="E107" s="1046" t="s">
        <v>1671</v>
      </c>
      <c r="F107" s="1047">
        <v>15040</v>
      </c>
      <c r="G107" s="1047">
        <v>94</v>
      </c>
      <c r="H107" s="1034">
        <v>14206</v>
      </c>
      <c r="I107" s="1034">
        <v>0</v>
      </c>
      <c r="J107" s="1034">
        <v>94</v>
      </c>
    </row>
    <row r="108" spans="1:10" ht="30" x14ac:dyDescent="0.25">
      <c r="A108" s="1502" t="s">
        <v>1669</v>
      </c>
      <c r="B108" s="1502" t="s">
        <v>1615</v>
      </c>
      <c r="C108" s="1502" t="s">
        <v>1616</v>
      </c>
      <c r="D108" s="1033">
        <v>3</v>
      </c>
      <c r="E108" s="1004" t="s">
        <v>1672</v>
      </c>
      <c r="F108" s="1034">
        <v>12920</v>
      </c>
      <c r="G108" s="1034">
        <v>1020</v>
      </c>
      <c r="H108" s="1034">
        <v>11489</v>
      </c>
      <c r="I108" s="1034">
        <v>0</v>
      </c>
      <c r="J108" s="1034">
        <v>95</v>
      </c>
    </row>
    <row r="109" spans="1:10" ht="45" x14ac:dyDescent="0.25">
      <c r="A109" s="1502" t="s">
        <v>1669</v>
      </c>
      <c r="B109" s="1502" t="s">
        <v>1615</v>
      </c>
      <c r="C109" s="1502" t="s">
        <v>1616</v>
      </c>
      <c r="D109" s="1033">
        <v>4</v>
      </c>
      <c r="E109" s="1048" t="s">
        <v>1673</v>
      </c>
      <c r="F109" s="1034">
        <v>400190</v>
      </c>
      <c r="G109" s="1034">
        <v>40874</v>
      </c>
      <c r="H109" s="1034">
        <v>311351</v>
      </c>
      <c r="I109" s="1034">
        <v>2035</v>
      </c>
      <c r="J109" s="1034">
        <v>3712</v>
      </c>
    </row>
    <row r="110" spans="1:10" s="1503" customFormat="1" ht="30" x14ac:dyDescent="0.25">
      <c r="A110" s="1502" t="s">
        <v>1669</v>
      </c>
      <c r="B110" s="1502" t="s">
        <v>1615</v>
      </c>
      <c r="C110" s="1502" t="s">
        <v>1616</v>
      </c>
      <c r="D110" s="1033">
        <v>5</v>
      </c>
      <c r="E110" s="1049" t="s">
        <v>999</v>
      </c>
      <c r="F110" s="1034">
        <v>9504</v>
      </c>
      <c r="G110" s="1034">
        <v>8433</v>
      </c>
      <c r="H110" s="1034">
        <v>5500</v>
      </c>
      <c r="I110" s="1034">
        <v>4000</v>
      </c>
      <c r="J110" s="1034">
        <v>3093</v>
      </c>
    </row>
    <row r="111" spans="1:10" s="1503" customFormat="1" ht="28.5" x14ac:dyDescent="0.25">
      <c r="D111" s="999"/>
      <c r="E111" s="1035" t="s">
        <v>1618</v>
      </c>
      <c r="F111" s="1036">
        <f>SUM(F112:F114)</f>
        <v>18708.157999999999</v>
      </c>
      <c r="G111" s="1036">
        <f t="shared" ref="G111:J111" si="45">SUM(G112:G114)</f>
        <v>3455</v>
      </c>
      <c r="H111" s="1036">
        <f t="shared" si="45"/>
        <v>15253</v>
      </c>
      <c r="I111" s="1036">
        <f t="shared" si="45"/>
        <v>0</v>
      </c>
      <c r="J111" s="1036">
        <f t="shared" si="45"/>
        <v>2326</v>
      </c>
    </row>
    <row r="112" spans="1:10" ht="30" x14ac:dyDescent="0.25">
      <c r="A112" s="1502" t="s">
        <v>1669</v>
      </c>
      <c r="B112" s="1502" t="s">
        <v>1615</v>
      </c>
      <c r="C112" s="1502" t="s">
        <v>1619</v>
      </c>
      <c r="D112" s="1033">
        <v>1</v>
      </c>
      <c r="E112" s="1004" t="s">
        <v>1674</v>
      </c>
      <c r="F112" s="98">
        <v>6950</v>
      </c>
      <c r="G112" s="98">
        <v>2138</v>
      </c>
      <c r="H112" s="1034">
        <v>4812</v>
      </c>
      <c r="I112" s="1034">
        <v>0</v>
      </c>
      <c r="J112" s="1034">
        <v>2138</v>
      </c>
    </row>
    <row r="113" spans="1:10" x14ac:dyDescent="0.25">
      <c r="A113" s="1502" t="s">
        <v>1669</v>
      </c>
      <c r="B113" s="1502" t="s">
        <v>1615</v>
      </c>
      <c r="C113" s="1502" t="s">
        <v>1619</v>
      </c>
      <c r="D113" s="1033">
        <v>2</v>
      </c>
      <c r="E113" s="1034" t="s">
        <v>1675</v>
      </c>
      <c r="F113" s="1034">
        <v>6288.1579999999994</v>
      </c>
      <c r="G113" s="1034">
        <v>1257</v>
      </c>
      <c r="H113" s="1034">
        <v>5031</v>
      </c>
      <c r="I113" s="1034">
        <v>0</v>
      </c>
      <c r="J113" s="1034">
        <v>128</v>
      </c>
    </row>
    <row r="114" spans="1:10" ht="30" x14ac:dyDescent="0.25">
      <c r="A114" s="1502" t="s">
        <v>1669</v>
      </c>
      <c r="B114" s="1502" t="s">
        <v>1615</v>
      </c>
      <c r="C114" s="1502" t="s">
        <v>1619</v>
      </c>
      <c r="D114" s="1033">
        <v>3</v>
      </c>
      <c r="E114" s="98" t="s">
        <v>1676</v>
      </c>
      <c r="F114" s="1050">
        <v>5470</v>
      </c>
      <c r="G114" s="1050">
        <v>60</v>
      </c>
      <c r="H114" s="1034">
        <v>5410</v>
      </c>
      <c r="I114" s="1034">
        <v>0</v>
      </c>
      <c r="J114" s="1034">
        <v>60</v>
      </c>
    </row>
    <row r="115" spans="1:10" s="1503" customFormat="1" x14ac:dyDescent="0.25">
      <c r="D115" s="999">
        <v>2</v>
      </c>
      <c r="E115" s="404" t="s">
        <v>434</v>
      </c>
      <c r="F115" s="1045">
        <f>F116</f>
        <v>15680</v>
      </c>
      <c r="G115" s="1045">
        <f t="shared" ref="G115:J116" si="46">G116</f>
        <v>15680</v>
      </c>
      <c r="H115" s="1045">
        <f t="shared" si="46"/>
        <v>3300</v>
      </c>
      <c r="I115" s="1045">
        <f t="shared" si="46"/>
        <v>3300</v>
      </c>
      <c r="J115" s="1045">
        <f t="shared" si="46"/>
        <v>5700</v>
      </c>
    </row>
    <row r="116" spans="1:10" s="1503" customFormat="1" x14ac:dyDescent="0.25">
      <c r="D116" s="999"/>
      <c r="E116" s="404" t="s">
        <v>1652</v>
      </c>
      <c r="F116" s="1045">
        <f>F117</f>
        <v>15680</v>
      </c>
      <c r="G116" s="1045">
        <f t="shared" si="46"/>
        <v>15680</v>
      </c>
      <c r="H116" s="1045">
        <f t="shared" si="46"/>
        <v>3300</v>
      </c>
      <c r="I116" s="1045">
        <f t="shared" si="46"/>
        <v>3300</v>
      </c>
      <c r="J116" s="1045">
        <f t="shared" si="46"/>
        <v>5700</v>
      </c>
    </row>
    <row r="117" spans="1:10" ht="30" x14ac:dyDescent="0.25">
      <c r="A117" s="1502" t="s">
        <v>1669</v>
      </c>
      <c r="B117" s="1502" t="s">
        <v>1677</v>
      </c>
      <c r="C117" s="1502" t="s">
        <v>1653</v>
      </c>
      <c r="D117" s="1030">
        <v>1</v>
      </c>
      <c r="E117" s="1004" t="s">
        <v>991</v>
      </c>
      <c r="F117" s="1034">
        <v>15680</v>
      </c>
      <c r="G117" s="1034">
        <v>15680</v>
      </c>
      <c r="H117" s="1034">
        <v>3300</v>
      </c>
      <c r="I117" s="1034">
        <v>3300</v>
      </c>
      <c r="J117" s="1034">
        <v>5700</v>
      </c>
    </row>
    <row r="118" spans="1:10" s="1503" customFormat="1" x14ac:dyDescent="0.25">
      <c r="D118" s="1037">
        <v>3</v>
      </c>
      <c r="E118" s="1035" t="s">
        <v>1597</v>
      </c>
      <c r="F118" s="1036">
        <f>F119</f>
        <v>2345</v>
      </c>
      <c r="G118" s="1036">
        <f t="shared" ref="G118:J119" si="47">G119</f>
        <v>52.954885999999988</v>
      </c>
      <c r="H118" s="1036">
        <f t="shared" si="47"/>
        <v>2052.4</v>
      </c>
      <c r="I118" s="1036">
        <f t="shared" si="47"/>
        <v>0</v>
      </c>
      <c r="J118" s="1036">
        <f t="shared" si="47"/>
        <v>52.954885999999988</v>
      </c>
    </row>
    <row r="119" spans="1:10" s="1503" customFormat="1" x14ac:dyDescent="0.25">
      <c r="D119" s="1037"/>
      <c r="E119" s="1035" t="s">
        <v>921</v>
      </c>
      <c r="F119" s="1036">
        <f>F120</f>
        <v>2345</v>
      </c>
      <c r="G119" s="1036">
        <f t="shared" si="47"/>
        <v>52.954885999999988</v>
      </c>
      <c r="H119" s="1036">
        <f t="shared" si="47"/>
        <v>2052.4</v>
      </c>
      <c r="I119" s="1036">
        <f t="shared" si="47"/>
        <v>0</v>
      </c>
      <c r="J119" s="1036">
        <f t="shared" si="47"/>
        <v>52.954885999999988</v>
      </c>
    </row>
    <row r="120" spans="1:10" ht="31.5" x14ac:dyDescent="0.25">
      <c r="A120" s="1502" t="s">
        <v>1669</v>
      </c>
      <c r="B120" s="1502" t="s">
        <v>1678</v>
      </c>
      <c r="C120" s="1502" t="s">
        <v>1616</v>
      </c>
      <c r="D120" s="1033">
        <v>1</v>
      </c>
      <c r="E120" s="415" t="s">
        <v>1679</v>
      </c>
      <c r="F120" s="1051">
        <v>2345</v>
      </c>
      <c r="G120" s="1034">
        <v>52.954885999999988</v>
      </c>
      <c r="H120" s="1034">
        <v>2052.4</v>
      </c>
      <c r="I120" s="1034">
        <v>0</v>
      </c>
      <c r="J120" s="1034">
        <v>52.954885999999988</v>
      </c>
    </row>
    <row r="121" spans="1:10" s="1503" customFormat="1" ht="28.5" x14ac:dyDescent="0.25">
      <c r="D121" s="999">
        <v>4</v>
      </c>
      <c r="E121" s="402" t="s">
        <v>1680</v>
      </c>
      <c r="F121" s="816">
        <f>F122</f>
        <v>364129</v>
      </c>
      <c r="G121" s="816">
        <f t="shared" ref="G121:J122" si="48">G122</f>
        <v>26734</v>
      </c>
      <c r="H121" s="816">
        <f t="shared" si="48"/>
        <v>7032</v>
      </c>
      <c r="I121" s="816">
        <f t="shared" si="48"/>
        <v>7032</v>
      </c>
      <c r="J121" s="816">
        <f t="shared" si="48"/>
        <v>7968</v>
      </c>
    </row>
    <row r="122" spans="1:10" s="1503" customFormat="1" x14ac:dyDescent="0.25">
      <c r="D122" s="999"/>
      <c r="E122" s="402" t="s">
        <v>1652</v>
      </c>
      <c r="F122" s="816">
        <f>F123</f>
        <v>364129</v>
      </c>
      <c r="G122" s="816">
        <f t="shared" si="48"/>
        <v>26734</v>
      </c>
      <c r="H122" s="816">
        <f t="shared" si="48"/>
        <v>7032</v>
      </c>
      <c r="I122" s="816">
        <f t="shared" si="48"/>
        <v>7032</v>
      </c>
      <c r="J122" s="816">
        <f t="shared" si="48"/>
        <v>7968</v>
      </c>
    </row>
    <row r="123" spans="1:10" ht="30" x14ac:dyDescent="0.25">
      <c r="A123" s="1502" t="s">
        <v>1669</v>
      </c>
      <c r="B123" s="1502" t="s">
        <v>1681</v>
      </c>
      <c r="C123" s="1502" t="s">
        <v>1653</v>
      </c>
      <c r="D123" s="1030">
        <v>1</v>
      </c>
      <c r="E123" s="415" t="s">
        <v>990</v>
      </c>
      <c r="F123" s="1034">
        <v>364129</v>
      </c>
      <c r="G123" s="1034">
        <v>26734</v>
      </c>
      <c r="H123" s="1034">
        <v>7032</v>
      </c>
      <c r="I123" s="1034">
        <v>7032</v>
      </c>
      <c r="J123" s="1034">
        <v>7968</v>
      </c>
    </row>
    <row r="124" spans="1:10" s="1503" customFormat="1" ht="28.5" x14ac:dyDescent="0.25">
      <c r="D124" s="1037">
        <v>5</v>
      </c>
      <c r="E124" s="402" t="s">
        <v>431</v>
      </c>
      <c r="F124" s="1036">
        <f>F125</f>
        <v>6142</v>
      </c>
      <c r="G124" s="1036">
        <f t="shared" ref="G124:J124" si="49">G125</f>
        <v>614</v>
      </c>
      <c r="H124" s="1036">
        <f t="shared" si="49"/>
        <v>5381</v>
      </c>
      <c r="I124" s="1036">
        <f t="shared" si="49"/>
        <v>145</v>
      </c>
      <c r="J124" s="1036">
        <f t="shared" si="49"/>
        <v>469</v>
      </c>
    </row>
    <row r="125" spans="1:10" s="1503" customFormat="1" ht="28.5" x14ac:dyDescent="0.25">
      <c r="D125" s="999"/>
      <c r="E125" s="402" t="s">
        <v>1618</v>
      </c>
      <c r="F125" s="816">
        <f>SUM(F126:F126)</f>
        <v>6142</v>
      </c>
      <c r="G125" s="816">
        <f t="shared" ref="G125:J125" si="50">SUM(G126:G126)</f>
        <v>614</v>
      </c>
      <c r="H125" s="816">
        <f t="shared" si="50"/>
        <v>5381</v>
      </c>
      <c r="I125" s="816">
        <f t="shared" si="50"/>
        <v>145</v>
      </c>
      <c r="J125" s="816">
        <f t="shared" si="50"/>
        <v>469</v>
      </c>
    </row>
    <row r="126" spans="1:10" ht="30" x14ac:dyDescent="0.25">
      <c r="A126" s="1502" t="s">
        <v>1669</v>
      </c>
      <c r="B126" s="1502" t="s">
        <v>1682</v>
      </c>
      <c r="C126" s="1502" t="s">
        <v>1619</v>
      </c>
      <c r="D126" s="1030">
        <v>1</v>
      </c>
      <c r="E126" s="1041" t="s">
        <v>1683</v>
      </c>
      <c r="F126" s="1034">
        <v>6142</v>
      </c>
      <c r="G126" s="1034">
        <v>614</v>
      </c>
      <c r="H126" s="1034">
        <v>5381</v>
      </c>
      <c r="I126" s="1034">
        <v>145</v>
      </c>
      <c r="J126" s="1034">
        <v>469</v>
      </c>
    </row>
    <row r="127" spans="1:10" s="1503" customFormat="1" x14ac:dyDescent="0.25">
      <c r="D127" s="1037">
        <v>6</v>
      </c>
      <c r="E127" s="1042" t="s">
        <v>1684</v>
      </c>
      <c r="F127" s="1036">
        <f>F128+F132</f>
        <v>1039067</v>
      </c>
      <c r="G127" s="1036">
        <f t="shared" ref="G127:J127" si="51">G128+G132</f>
        <v>165114.85800000001</v>
      </c>
      <c r="H127" s="1036">
        <f t="shared" si="51"/>
        <v>855698.05099999998</v>
      </c>
      <c r="I127" s="1036">
        <f t="shared" si="51"/>
        <v>48979</v>
      </c>
      <c r="J127" s="1036">
        <f t="shared" si="51"/>
        <v>36474.558000000012</v>
      </c>
    </row>
    <row r="128" spans="1:10" s="1503" customFormat="1" x14ac:dyDescent="0.25">
      <c r="D128" s="999"/>
      <c r="E128" s="404" t="s">
        <v>921</v>
      </c>
      <c r="F128" s="1036">
        <f>SUM(F129:F131)</f>
        <v>817117</v>
      </c>
      <c r="G128" s="1036">
        <f t="shared" ref="G128:J128" si="52">SUM(G129:G131)</f>
        <v>123164.85800000001</v>
      </c>
      <c r="H128" s="1036">
        <f t="shared" si="52"/>
        <v>706416.05099999998</v>
      </c>
      <c r="I128" s="1036">
        <f t="shared" si="52"/>
        <v>17287</v>
      </c>
      <c r="J128" s="1036">
        <f t="shared" si="52"/>
        <v>16744.858000000007</v>
      </c>
    </row>
    <row r="129" spans="1:10" x14ac:dyDescent="0.25">
      <c r="A129" s="1502" t="s">
        <v>1669</v>
      </c>
      <c r="B129" s="1502" t="s">
        <v>1685</v>
      </c>
      <c r="C129" s="1502" t="s">
        <v>1616</v>
      </c>
      <c r="D129" s="1033">
        <v>1</v>
      </c>
      <c r="E129" s="415" t="s">
        <v>1686</v>
      </c>
      <c r="F129" s="1051">
        <v>40713</v>
      </c>
      <c r="G129" s="1034">
        <v>310.85800000000745</v>
      </c>
      <c r="H129" s="1034">
        <v>36044.050999999999</v>
      </c>
      <c r="I129" s="1034">
        <v>0</v>
      </c>
      <c r="J129" s="1034">
        <v>310.85800000000745</v>
      </c>
    </row>
    <row r="130" spans="1:10" ht="30" x14ac:dyDescent="0.25">
      <c r="A130" s="1502" t="s">
        <v>1669</v>
      </c>
      <c r="B130" s="1502" t="s">
        <v>1685</v>
      </c>
      <c r="C130" s="1502" t="s">
        <v>1616</v>
      </c>
      <c r="D130" s="1033">
        <v>2</v>
      </c>
      <c r="E130" s="1049" t="s">
        <v>1214</v>
      </c>
      <c r="F130" s="1034">
        <v>1281</v>
      </c>
      <c r="G130" s="1034">
        <v>1281</v>
      </c>
      <c r="H130" s="1034">
        <v>1000</v>
      </c>
      <c r="I130" s="1034">
        <v>1000</v>
      </c>
      <c r="J130" s="1034">
        <v>161</v>
      </c>
    </row>
    <row r="131" spans="1:10" ht="30" x14ac:dyDescent="0.25">
      <c r="A131" s="1502" t="s">
        <v>1669</v>
      </c>
      <c r="B131" s="1502" t="s">
        <v>1685</v>
      </c>
      <c r="C131" s="1502" t="s">
        <v>1616</v>
      </c>
      <c r="D131" s="1033">
        <v>3</v>
      </c>
      <c r="E131" s="98" t="s">
        <v>1687</v>
      </c>
      <c r="F131" s="98">
        <v>775123</v>
      </c>
      <c r="G131" s="98">
        <v>121573</v>
      </c>
      <c r="H131" s="1034">
        <v>669372</v>
      </c>
      <c r="I131" s="1034">
        <v>16287</v>
      </c>
      <c r="J131" s="1034">
        <v>16273</v>
      </c>
    </row>
    <row r="132" spans="1:10" s="1503" customFormat="1" ht="28.5" x14ac:dyDescent="0.25">
      <c r="D132" s="1037"/>
      <c r="E132" s="1042" t="s">
        <v>1618</v>
      </c>
      <c r="F132" s="1036">
        <f>SUM(F133:F134)</f>
        <v>221950</v>
      </c>
      <c r="G132" s="1036">
        <f t="shared" ref="G132:J132" si="53">SUM(G133:G134)</f>
        <v>41950</v>
      </c>
      <c r="H132" s="1036">
        <f t="shared" si="53"/>
        <v>149282</v>
      </c>
      <c r="I132" s="1036">
        <f t="shared" si="53"/>
        <v>31692</v>
      </c>
      <c r="J132" s="1036">
        <f t="shared" si="53"/>
        <v>19729.700000000004</v>
      </c>
    </row>
    <row r="133" spans="1:10" ht="30" x14ac:dyDescent="0.25">
      <c r="A133" s="1502" t="s">
        <v>1669</v>
      </c>
      <c r="B133" s="1502" t="s">
        <v>1688</v>
      </c>
      <c r="C133" s="1502" t="s">
        <v>1619</v>
      </c>
      <c r="D133" s="1030">
        <v>1</v>
      </c>
      <c r="E133" s="415" t="s">
        <v>987</v>
      </c>
      <c r="F133" s="1034">
        <v>168267</v>
      </c>
      <c r="G133" s="1034">
        <v>16827</v>
      </c>
      <c r="H133" s="1034">
        <v>110030</v>
      </c>
      <c r="I133" s="1034">
        <v>21000</v>
      </c>
      <c r="J133" s="1034">
        <v>10667</v>
      </c>
    </row>
    <row r="134" spans="1:10" ht="60" x14ac:dyDescent="0.25">
      <c r="A134" s="1502" t="s">
        <v>1669</v>
      </c>
      <c r="B134" s="1502" t="s">
        <v>1685</v>
      </c>
      <c r="C134" s="1502" t="s">
        <v>1619</v>
      </c>
      <c r="D134" s="1033">
        <v>2</v>
      </c>
      <c r="E134" s="98" t="s">
        <v>985</v>
      </c>
      <c r="F134" s="1034">
        <v>53683</v>
      </c>
      <c r="G134" s="1034">
        <v>25123</v>
      </c>
      <c r="H134" s="1034">
        <v>39252</v>
      </c>
      <c r="I134" s="1034">
        <v>10692</v>
      </c>
      <c r="J134" s="1034">
        <v>9062.7000000000044</v>
      </c>
    </row>
    <row r="135" spans="1:10" s="1503" customFormat="1" x14ac:dyDescent="0.25">
      <c r="D135" s="999">
        <v>7</v>
      </c>
      <c r="E135" s="404" t="s">
        <v>164</v>
      </c>
      <c r="F135" s="1036">
        <f>F136</f>
        <v>13400</v>
      </c>
      <c r="G135" s="1036">
        <f t="shared" ref="G135:J136" si="54">G136</f>
        <v>13400</v>
      </c>
      <c r="H135" s="1036">
        <f t="shared" si="54"/>
        <v>2371</v>
      </c>
      <c r="I135" s="1036">
        <f t="shared" si="54"/>
        <v>2371</v>
      </c>
      <c r="J135" s="1036">
        <f t="shared" si="54"/>
        <v>11029</v>
      </c>
    </row>
    <row r="136" spans="1:10" s="1503" customFormat="1" ht="28.5" x14ac:dyDescent="0.25">
      <c r="D136" s="999"/>
      <c r="E136" s="404" t="s">
        <v>1621</v>
      </c>
      <c r="F136" s="1036">
        <f>F137</f>
        <v>13400</v>
      </c>
      <c r="G136" s="1036">
        <f t="shared" si="54"/>
        <v>13400</v>
      </c>
      <c r="H136" s="1036">
        <f t="shared" si="54"/>
        <v>2371</v>
      </c>
      <c r="I136" s="1036">
        <f t="shared" si="54"/>
        <v>2371</v>
      </c>
      <c r="J136" s="1036">
        <f t="shared" si="54"/>
        <v>11029</v>
      </c>
    </row>
    <row r="137" spans="1:10" ht="31.5" x14ac:dyDescent="0.25">
      <c r="A137" s="1502" t="s">
        <v>1669</v>
      </c>
      <c r="B137" s="1502" t="s">
        <v>1689</v>
      </c>
      <c r="C137" s="1502" t="s">
        <v>1690</v>
      </c>
      <c r="D137" s="1030">
        <v>1</v>
      </c>
      <c r="E137" s="1004" t="s">
        <v>992</v>
      </c>
      <c r="F137" s="1034">
        <v>13400</v>
      </c>
      <c r="G137" s="1034">
        <v>13400</v>
      </c>
      <c r="H137" s="1034">
        <v>2371</v>
      </c>
      <c r="I137" s="1034">
        <v>2371</v>
      </c>
      <c r="J137" s="1034">
        <v>11029</v>
      </c>
    </row>
    <row r="138" spans="1:10" s="1503" customFormat="1" x14ac:dyDescent="0.25">
      <c r="D138" s="1037">
        <v>8</v>
      </c>
      <c r="E138" s="1035" t="s">
        <v>1691</v>
      </c>
      <c r="F138" s="1036">
        <f>F139</f>
        <v>130695</v>
      </c>
      <c r="G138" s="1036">
        <f t="shared" ref="G138:J139" si="55">G139</f>
        <v>26193</v>
      </c>
      <c r="H138" s="1036">
        <f t="shared" si="55"/>
        <v>5868</v>
      </c>
      <c r="I138" s="1036">
        <f t="shared" si="55"/>
        <v>5868</v>
      </c>
      <c r="J138" s="1036">
        <f t="shared" si="55"/>
        <v>3132</v>
      </c>
    </row>
    <row r="139" spans="1:10" s="1503" customFormat="1" x14ac:dyDescent="0.25">
      <c r="D139" s="1037"/>
      <c r="E139" s="1035" t="s">
        <v>1652</v>
      </c>
      <c r="F139" s="1036">
        <f>F140</f>
        <v>130695</v>
      </c>
      <c r="G139" s="1036">
        <f t="shared" si="55"/>
        <v>26193</v>
      </c>
      <c r="H139" s="1036">
        <f t="shared" si="55"/>
        <v>5868</v>
      </c>
      <c r="I139" s="1036">
        <f t="shared" si="55"/>
        <v>5868</v>
      </c>
      <c r="J139" s="1036">
        <f t="shared" si="55"/>
        <v>3132</v>
      </c>
    </row>
    <row r="140" spans="1:10" ht="60" x14ac:dyDescent="0.25">
      <c r="A140" s="1502" t="s">
        <v>1669</v>
      </c>
      <c r="B140" s="1502" t="s">
        <v>1692</v>
      </c>
      <c r="C140" s="1502" t="s">
        <v>1653</v>
      </c>
      <c r="D140" s="1030">
        <v>1</v>
      </c>
      <c r="E140" s="1004" t="s">
        <v>1693</v>
      </c>
      <c r="F140" s="1034">
        <v>130695</v>
      </c>
      <c r="G140" s="1034">
        <v>26193</v>
      </c>
      <c r="H140" s="1034">
        <v>5868</v>
      </c>
      <c r="I140" s="1034">
        <v>5868</v>
      </c>
      <c r="J140" s="1034">
        <v>3132</v>
      </c>
    </row>
    <row r="141" spans="1:10" s="1503" customFormat="1" x14ac:dyDescent="0.25">
      <c r="D141" s="1037">
        <v>9</v>
      </c>
      <c r="E141" s="1035" t="s">
        <v>1694</v>
      </c>
      <c r="F141" s="1036">
        <f>F142+F144</f>
        <v>35028</v>
      </c>
      <c r="G141" s="1036">
        <f t="shared" ref="G141:J141" si="56">G142+G144</f>
        <v>26571</v>
      </c>
      <c r="H141" s="1036">
        <f t="shared" si="56"/>
        <v>29671</v>
      </c>
      <c r="I141" s="1036">
        <f t="shared" si="56"/>
        <v>11910</v>
      </c>
      <c r="J141" s="1036">
        <f t="shared" si="56"/>
        <v>4022</v>
      </c>
    </row>
    <row r="142" spans="1:10" s="1503" customFormat="1" ht="28.5" x14ac:dyDescent="0.25">
      <c r="D142" s="1037"/>
      <c r="E142" s="1035" t="s">
        <v>1618</v>
      </c>
      <c r="F142" s="1036">
        <f>F143</f>
        <v>30523</v>
      </c>
      <c r="G142" s="1036">
        <f t="shared" ref="G142:J142" si="57">G143</f>
        <v>22066</v>
      </c>
      <c r="H142" s="1036">
        <f t="shared" si="57"/>
        <v>29171</v>
      </c>
      <c r="I142" s="1036">
        <f t="shared" si="57"/>
        <v>11410</v>
      </c>
      <c r="J142" s="1036">
        <f t="shared" si="57"/>
        <v>17</v>
      </c>
    </row>
    <row r="143" spans="1:10" ht="30" x14ac:dyDescent="0.25">
      <c r="A143" s="1502" t="s">
        <v>1669</v>
      </c>
      <c r="B143" s="1502" t="s">
        <v>1695</v>
      </c>
      <c r="C143" s="1502" t="s">
        <v>1619</v>
      </c>
      <c r="D143" s="1030">
        <v>1</v>
      </c>
      <c r="E143" s="415" t="s">
        <v>993</v>
      </c>
      <c r="F143" s="1034">
        <v>30523</v>
      </c>
      <c r="G143" s="1034">
        <v>22066</v>
      </c>
      <c r="H143" s="1034">
        <v>29171</v>
      </c>
      <c r="I143" s="1034">
        <v>11410</v>
      </c>
      <c r="J143" s="1034">
        <v>17</v>
      </c>
    </row>
    <row r="144" spans="1:10" s="1503" customFormat="1" x14ac:dyDescent="0.25">
      <c r="D144" s="1037"/>
      <c r="E144" s="402" t="s">
        <v>1652</v>
      </c>
      <c r="F144" s="1036">
        <f>F145</f>
        <v>4505</v>
      </c>
      <c r="G144" s="1036">
        <f t="shared" ref="G144:J144" si="58">G145</f>
        <v>4505</v>
      </c>
      <c r="H144" s="1036">
        <f t="shared" si="58"/>
        <v>500</v>
      </c>
      <c r="I144" s="1036">
        <f t="shared" si="58"/>
        <v>500</v>
      </c>
      <c r="J144" s="1036">
        <f t="shared" si="58"/>
        <v>4005</v>
      </c>
    </row>
    <row r="145" spans="1:10" x14ac:dyDescent="0.25">
      <c r="A145" s="1502" t="s">
        <v>1669</v>
      </c>
      <c r="B145" s="1502" t="s">
        <v>1696</v>
      </c>
      <c r="C145" s="1502" t="s">
        <v>1653</v>
      </c>
      <c r="D145" s="1030">
        <v>1</v>
      </c>
      <c r="E145" s="1004" t="s">
        <v>994</v>
      </c>
      <c r="F145" s="1034">
        <v>4505</v>
      </c>
      <c r="G145" s="1034">
        <v>4505</v>
      </c>
      <c r="H145" s="1034">
        <v>500</v>
      </c>
      <c r="I145" s="1034">
        <v>500</v>
      </c>
      <c r="J145" s="1034">
        <v>4005</v>
      </c>
    </row>
    <row r="146" spans="1:10" s="1503" customFormat="1" x14ac:dyDescent="0.25">
      <c r="D146" s="1037">
        <v>10</v>
      </c>
      <c r="E146" s="1035" t="s">
        <v>165</v>
      </c>
      <c r="F146" s="1036">
        <f>F147</f>
        <v>76556</v>
      </c>
      <c r="G146" s="1036">
        <f t="shared" ref="G146:J147" si="59">G147</f>
        <v>26741</v>
      </c>
      <c r="H146" s="1036">
        <f t="shared" si="59"/>
        <v>143578</v>
      </c>
      <c r="I146" s="1036">
        <f t="shared" si="59"/>
        <v>15606</v>
      </c>
      <c r="J146" s="1036">
        <f t="shared" si="59"/>
        <v>11135</v>
      </c>
    </row>
    <row r="147" spans="1:10" s="1503" customFormat="1" ht="28.5" x14ac:dyDescent="0.25">
      <c r="D147" s="1037"/>
      <c r="E147" s="1035" t="s">
        <v>1618</v>
      </c>
      <c r="F147" s="1036">
        <f>F148</f>
        <v>76556</v>
      </c>
      <c r="G147" s="1036">
        <f t="shared" si="59"/>
        <v>26741</v>
      </c>
      <c r="H147" s="1036">
        <f t="shared" si="59"/>
        <v>143578</v>
      </c>
      <c r="I147" s="1036">
        <f t="shared" si="59"/>
        <v>15606</v>
      </c>
      <c r="J147" s="1036">
        <f t="shared" si="59"/>
        <v>11135</v>
      </c>
    </row>
    <row r="148" spans="1:10" ht="30" x14ac:dyDescent="0.25">
      <c r="A148" s="1502" t="s">
        <v>1669</v>
      </c>
      <c r="B148" s="1502" t="s">
        <v>1697</v>
      </c>
      <c r="C148" s="1502" t="s">
        <v>1619</v>
      </c>
      <c r="D148" s="1030">
        <v>1</v>
      </c>
      <c r="E148" s="1049" t="s">
        <v>995</v>
      </c>
      <c r="F148" s="1034">
        <v>76556</v>
      </c>
      <c r="G148" s="1034">
        <v>26741</v>
      </c>
      <c r="H148" s="1034">
        <v>143578</v>
      </c>
      <c r="I148" s="1034">
        <v>15606</v>
      </c>
      <c r="J148" s="1034">
        <v>11135</v>
      </c>
    </row>
    <row r="149" spans="1:10" s="1503" customFormat="1" x14ac:dyDescent="0.25">
      <c r="D149" s="1037">
        <v>11</v>
      </c>
      <c r="E149" s="1052" t="s">
        <v>1698</v>
      </c>
      <c r="F149" s="1036">
        <f>F150</f>
        <v>13730.9</v>
      </c>
      <c r="G149" s="1036">
        <f t="shared" ref="G149:J150" si="60">G150</f>
        <v>1399</v>
      </c>
      <c r="H149" s="1036">
        <f t="shared" si="60"/>
        <v>12332</v>
      </c>
      <c r="I149" s="1036">
        <f t="shared" si="60"/>
        <v>0</v>
      </c>
      <c r="J149" s="1036">
        <f t="shared" si="60"/>
        <v>25.809999999999491</v>
      </c>
    </row>
    <row r="150" spans="1:10" s="1503" customFormat="1" ht="28.5" x14ac:dyDescent="0.25">
      <c r="D150" s="1037"/>
      <c r="E150" s="1052" t="s">
        <v>1618</v>
      </c>
      <c r="F150" s="1036">
        <f>F151</f>
        <v>13730.9</v>
      </c>
      <c r="G150" s="1036">
        <f t="shared" si="60"/>
        <v>1399</v>
      </c>
      <c r="H150" s="1036">
        <f t="shared" si="60"/>
        <v>12332</v>
      </c>
      <c r="I150" s="1036">
        <f t="shared" si="60"/>
        <v>0</v>
      </c>
      <c r="J150" s="1036">
        <f t="shared" si="60"/>
        <v>25.809999999999491</v>
      </c>
    </row>
    <row r="151" spans="1:10" ht="45" x14ac:dyDescent="0.25">
      <c r="A151" s="1502" t="s">
        <v>1669</v>
      </c>
      <c r="B151" s="1502" t="s">
        <v>1699</v>
      </c>
      <c r="C151" s="1502" t="s">
        <v>1619</v>
      </c>
      <c r="D151" s="1033">
        <v>1</v>
      </c>
      <c r="E151" s="1048" t="s">
        <v>1700</v>
      </c>
      <c r="F151" s="1050">
        <v>13730.9</v>
      </c>
      <c r="G151" s="1050">
        <v>1399</v>
      </c>
      <c r="H151" s="1034">
        <v>12332</v>
      </c>
      <c r="I151" s="1034">
        <v>0</v>
      </c>
      <c r="J151" s="1034">
        <v>25.809999999999491</v>
      </c>
    </row>
    <row r="152" spans="1:10" s="1503" customFormat="1" x14ac:dyDescent="0.25">
      <c r="D152" s="999">
        <v>12</v>
      </c>
      <c r="E152" s="1053" t="s">
        <v>432</v>
      </c>
      <c r="F152" s="1045">
        <f>F153+F155</f>
        <v>17796</v>
      </c>
      <c r="G152" s="1045">
        <f t="shared" ref="G152:J152" si="61">G153+G155</f>
        <v>17711</v>
      </c>
      <c r="H152" s="1045">
        <f t="shared" si="61"/>
        <v>2109</v>
      </c>
      <c r="I152" s="1045">
        <f t="shared" si="61"/>
        <v>1500</v>
      </c>
      <c r="J152" s="1045">
        <f t="shared" si="61"/>
        <v>3656</v>
      </c>
    </row>
    <row r="153" spans="1:10" s="1503" customFormat="1" ht="28.5" x14ac:dyDescent="0.25">
      <c r="D153" s="999"/>
      <c r="E153" s="1053" t="s">
        <v>1618</v>
      </c>
      <c r="F153" s="1045">
        <f>F154</f>
        <v>850</v>
      </c>
      <c r="G153" s="1045">
        <f t="shared" ref="G153:J153" si="62">G154</f>
        <v>765</v>
      </c>
      <c r="H153" s="1045">
        <f t="shared" si="62"/>
        <v>609</v>
      </c>
      <c r="I153" s="1045">
        <f t="shared" si="62"/>
        <v>0</v>
      </c>
      <c r="J153" s="1045">
        <f t="shared" si="62"/>
        <v>156</v>
      </c>
    </row>
    <row r="154" spans="1:10" ht="30" x14ac:dyDescent="0.25">
      <c r="A154" s="1502" t="s">
        <v>1669</v>
      </c>
      <c r="B154" s="1502" t="s">
        <v>1701</v>
      </c>
      <c r="C154" s="1502" t="s">
        <v>1619</v>
      </c>
      <c r="D154" s="1033">
        <v>1</v>
      </c>
      <c r="E154" s="1046" t="s">
        <v>1702</v>
      </c>
      <c r="F154" s="1047">
        <v>850</v>
      </c>
      <c r="G154" s="1047">
        <v>765</v>
      </c>
      <c r="H154" s="1034">
        <v>609</v>
      </c>
      <c r="I154" s="1034">
        <v>0</v>
      </c>
      <c r="J154" s="1034">
        <v>156</v>
      </c>
    </row>
    <row r="155" spans="1:10" s="1503" customFormat="1" ht="28.5" x14ac:dyDescent="0.25">
      <c r="D155" s="999"/>
      <c r="E155" s="1054" t="s">
        <v>1621</v>
      </c>
      <c r="F155" s="1055">
        <f>F156</f>
        <v>16946</v>
      </c>
      <c r="G155" s="1055">
        <f t="shared" ref="G155:J155" si="63">G156</f>
        <v>16946</v>
      </c>
      <c r="H155" s="1055">
        <f t="shared" si="63"/>
        <v>1500</v>
      </c>
      <c r="I155" s="1055">
        <f t="shared" si="63"/>
        <v>1500</v>
      </c>
      <c r="J155" s="1055">
        <f t="shared" si="63"/>
        <v>3500</v>
      </c>
    </row>
    <row r="156" spans="1:10" ht="31.5" x14ac:dyDescent="0.25">
      <c r="A156" s="1502" t="s">
        <v>1669</v>
      </c>
      <c r="B156" s="1502" t="s">
        <v>1703</v>
      </c>
      <c r="C156" s="1502" t="s">
        <v>1704</v>
      </c>
      <c r="D156" s="1030">
        <v>1</v>
      </c>
      <c r="E156" s="1004" t="s">
        <v>996</v>
      </c>
      <c r="F156" s="1034">
        <v>16946</v>
      </c>
      <c r="G156" s="1034">
        <v>16946</v>
      </c>
      <c r="H156" s="1034">
        <v>1500</v>
      </c>
      <c r="I156" s="1034">
        <v>1500</v>
      </c>
      <c r="J156" s="1034">
        <v>3500</v>
      </c>
    </row>
    <row r="157" spans="1:10" s="1503" customFormat="1" x14ac:dyDescent="0.25">
      <c r="A157" s="1503">
        <v>13</v>
      </c>
      <c r="D157" s="1037">
        <v>13</v>
      </c>
      <c r="E157" s="1035" t="s">
        <v>420</v>
      </c>
      <c r="F157" s="1036">
        <f>F158</f>
        <v>55709.163</v>
      </c>
      <c r="G157" s="1036">
        <f t="shared" ref="G157:J157" si="64">G158</f>
        <v>20813.262999999999</v>
      </c>
      <c r="H157" s="1036">
        <f t="shared" si="64"/>
        <v>44303.418000000005</v>
      </c>
      <c r="I157" s="1036">
        <f t="shared" si="64"/>
        <v>12776</v>
      </c>
      <c r="J157" s="1036">
        <f t="shared" si="64"/>
        <v>4548.0999999999985</v>
      </c>
    </row>
    <row r="158" spans="1:10" s="1503" customFormat="1" x14ac:dyDescent="0.25">
      <c r="D158" s="1037"/>
      <c r="E158" s="1035" t="s">
        <v>921</v>
      </c>
      <c r="F158" s="1036">
        <f>SUM(F159:F162)</f>
        <v>55709.163</v>
      </c>
      <c r="G158" s="1036">
        <f t="shared" ref="G158:J158" si="65">SUM(G159:G162)</f>
        <v>20813.262999999999</v>
      </c>
      <c r="H158" s="1036">
        <f t="shared" si="65"/>
        <v>44303.418000000005</v>
      </c>
      <c r="I158" s="1036">
        <f t="shared" si="65"/>
        <v>12776</v>
      </c>
      <c r="J158" s="1036">
        <f t="shared" si="65"/>
        <v>4548.0999999999985</v>
      </c>
    </row>
    <row r="159" spans="1:10" ht="45" x14ac:dyDescent="0.25">
      <c r="A159" s="1502" t="s">
        <v>1669</v>
      </c>
      <c r="B159" s="1502" t="s">
        <v>1646</v>
      </c>
      <c r="C159" s="1502" t="s">
        <v>1616</v>
      </c>
      <c r="D159" s="1033">
        <v>1</v>
      </c>
      <c r="E159" s="1034" t="s">
        <v>1705</v>
      </c>
      <c r="F159" s="1040">
        <v>8748.1630000000005</v>
      </c>
      <c r="G159" s="1040">
        <v>8748.1630000000005</v>
      </c>
      <c r="H159" s="1034">
        <v>7873</v>
      </c>
      <c r="I159" s="1034">
        <v>7873</v>
      </c>
      <c r="J159" s="1034">
        <v>706</v>
      </c>
    </row>
    <row r="160" spans="1:10" ht="30" x14ac:dyDescent="0.25">
      <c r="A160" s="1502" t="s">
        <v>1669</v>
      </c>
      <c r="B160" s="1502" t="s">
        <v>1646</v>
      </c>
      <c r="C160" s="1502" t="s">
        <v>1616</v>
      </c>
      <c r="D160" s="1033">
        <v>2</v>
      </c>
      <c r="E160" s="1034" t="s">
        <v>1706</v>
      </c>
      <c r="F160" s="1040">
        <v>9322</v>
      </c>
      <c r="G160" s="1040">
        <v>9322</v>
      </c>
      <c r="H160" s="1034">
        <v>4903</v>
      </c>
      <c r="I160" s="1034">
        <v>4903</v>
      </c>
      <c r="J160" s="1034">
        <v>1099</v>
      </c>
    </row>
    <row r="161" spans="1:10" ht="45" x14ac:dyDescent="0.25">
      <c r="A161" s="1502" t="s">
        <v>1669</v>
      </c>
      <c r="B161" s="1502" t="s">
        <v>1646</v>
      </c>
      <c r="C161" s="1502" t="s">
        <v>1616</v>
      </c>
      <c r="D161" s="1033">
        <v>3</v>
      </c>
      <c r="E161" s="1034" t="s">
        <v>1707</v>
      </c>
      <c r="F161" s="1040">
        <v>2001</v>
      </c>
      <c r="G161" s="1040">
        <v>88</v>
      </c>
      <c r="H161" s="1034">
        <v>761</v>
      </c>
      <c r="I161" s="1034">
        <v>0</v>
      </c>
      <c r="J161" s="1034">
        <v>88</v>
      </c>
    </row>
    <row r="162" spans="1:10" ht="45" x14ac:dyDescent="0.25">
      <c r="A162" s="1502" t="s">
        <v>1669</v>
      </c>
      <c r="B162" s="1502" t="s">
        <v>1646</v>
      </c>
      <c r="C162" s="1502" t="s">
        <v>1616</v>
      </c>
      <c r="D162" s="1033">
        <v>4</v>
      </c>
      <c r="E162" s="415" t="s">
        <v>1708</v>
      </c>
      <c r="F162" s="1051">
        <v>35638</v>
      </c>
      <c r="G162" s="1034">
        <v>2655.0999999999985</v>
      </c>
      <c r="H162" s="1034">
        <v>30766.418000000001</v>
      </c>
      <c r="I162" s="1034">
        <v>0</v>
      </c>
      <c r="J162" s="1034">
        <v>2655.0999999999985</v>
      </c>
    </row>
    <row r="163" spans="1:10" s="1503" customFormat="1" x14ac:dyDescent="0.25">
      <c r="D163" s="999">
        <v>14</v>
      </c>
      <c r="E163" s="402" t="s">
        <v>421</v>
      </c>
      <c r="F163" s="816">
        <f>F164+F166</f>
        <v>35697</v>
      </c>
      <c r="G163" s="816">
        <f t="shared" ref="G163:J163" si="66">G164+G166</f>
        <v>6197</v>
      </c>
      <c r="H163" s="816">
        <f t="shared" si="66"/>
        <v>30767</v>
      </c>
      <c r="I163" s="816">
        <f t="shared" si="66"/>
        <v>1566</v>
      </c>
      <c r="J163" s="816">
        <f t="shared" si="66"/>
        <v>5042</v>
      </c>
    </row>
    <row r="164" spans="1:10" s="1503" customFormat="1" x14ac:dyDescent="0.25">
      <c r="D164" s="999"/>
      <c r="E164" s="1053" t="s">
        <v>921</v>
      </c>
      <c r="F164" s="404">
        <f>F165</f>
        <v>8757</v>
      </c>
      <c r="G164" s="404">
        <f t="shared" ref="G164:J164" si="67">G165</f>
        <v>1566</v>
      </c>
      <c r="H164" s="404">
        <f t="shared" si="67"/>
        <v>10323</v>
      </c>
      <c r="I164" s="404">
        <f t="shared" si="67"/>
        <v>1566</v>
      </c>
      <c r="J164" s="404">
        <f t="shared" si="67"/>
        <v>411</v>
      </c>
    </row>
    <row r="165" spans="1:10" ht="45" x14ac:dyDescent="0.25">
      <c r="A165" s="1502" t="s">
        <v>1669</v>
      </c>
      <c r="B165" s="1502" t="s">
        <v>1650</v>
      </c>
      <c r="C165" s="1502" t="s">
        <v>1616</v>
      </c>
      <c r="D165" s="1033">
        <v>1</v>
      </c>
      <c r="E165" s="1004" t="s">
        <v>1709</v>
      </c>
      <c r="F165" s="1034">
        <v>8757</v>
      </c>
      <c r="G165" s="1034">
        <v>1566</v>
      </c>
      <c r="H165" s="1034">
        <v>10323</v>
      </c>
      <c r="I165" s="1034">
        <v>1566</v>
      </c>
      <c r="J165" s="1034">
        <v>411</v>
      </c>
    </row>
    <row r="166" spans="1:10" s="1503" customFormat="1" ht="28.5" x14ac:dyDescent="0.25">
      <c r="D166" s="999"/>
      <c r="E166" s="402" t="s">
        <v>1618</v>
      </c>
      <c r="F166" s="816">
        <f>F167</f>
        <v>26940</v>
      </c>
      <c r="G166" s="816">
        <f t="shared" ref="G166:J166" si="68">G167</f>
        <v>4631</v>
      </c>
      <c r="H166" s="816">
        <f t="shared" si="68"/>
        <v>20444</v>
      </c>
      <c r="I166" s="816">
        <f t="shared" si="68"/>
        <v>0</v>
      </c>
      <c r="J166" s="816">
        <f t="shared" si="68"/>
        <v>4631</v>
      </c>
    </row>
    <row r="167" spans="1:10" x14ac:dyDescent="0.25">
      <c r="A167" s="1502" t="s">
        <v>1669</v>
      </c>
      <c r="B167" s="1502" t="s">
        <v>1650</v>
      </c>
      <c r="C167" s="1502" t="s">
        <v>1619</v>
      </c>
      <c r="D167" s="1033">
        <v>1</v>
      </c>
      <c r="E167" s="1048" t="s">
        <v>1710</v>
      </c>
      <c r="F167" s="98">
        <v>26940</v>
      </c>
      <c r="G167" s="98">
        <v>4631</v>
      </c>
      <c r="H167" s="1034">
        <v>20444</v>
      </c>
      <c r="I167" s="1034">
        <v>0</v>
      </c>
      <c r="J167" s="1034">
        <v>4631</v>
      </c>
    </row>
    <row r="168" spans="1:10" s="1503" customFormat="1" x14ac:dyDescent="0.25">
      <c r="D168" s="999">
        <v>15</v>
      </c>
      <c r="E168" s="1053" t="s">
        <v>426</v>
      </c>
      <c r="F168" s="404">
        <f>F169</f>
        <v>39869</v>
      </c>
      <c r="G168" s="404">
        <f t="shared" ref="G168:J169" si="69">G169</f>
        <v>9308</v>
      </c>
      <c r="H168" s="404">
        <f t="shared" si="69"/>
        <v>30561</v>
      </c>
      <c r="I168" s="404">
        <f t="shared" si="69"/>
        <v>0</v>
      </c>
      <c r="J168" s="404">
        <f t="shared" si="69"/>
        <v>5321.0999999999985</v>
      </c>
    </row>
    <row r="169" spans="1:10" s="1503" customFormat="1" x14ac:dyDescent="0.25">
      <c r="D169" s="999"/>
      <c r="E169" s="1053" t="s">
        <v>1635</v>
      </c>
      <c r="F169" s="404">
        <f>F170</f>
        <v>39869</v>
      </c>
      <c r="G169" s="404">
        <f t="shared" si="69"/>
        <v>9308</v>
      </c>
      <c r="H169" s="404">
        <f t="shared" si="69"/>
        <v>30561</v>
      </c>
      <c r="I169" s="404">
        <f t="shared" si="69"/>
        <v>0</v>
      </c>
      <c r="J169" s="404">
        <f t="shared" si="69"/>
        <v>5321.0999999999985</v>
      </c>
    </row>
    <row r="170" spans="1:10" ht="30" x14ac:dyDescent="0.25">
      <c r="A170" s="1502" t="s">
        <v>1669</v>
      </c>
      <c r="B170" s="1502" t="s">
        <v>1655</v>
      </c>
      <c r="C170" s="1502" t="s">
        <v>1711</v>
      </c>
      <c r="D170" s="1033">
        <v>1</v>
      </c>
      <c r="E170" s="1004" t="s">
        <v>1712</v>
      </c>
      <c r="F170" s="1034">
        <v>39869</v>
      </c>
      <c r="G170" s="1034">
        <v>9308</v>
      </c>
      <c r="H170" s="1034">
        <v>30561</v>
      </c>
      <c r="I170" s="1034">
        <v>0</v>
      </c>
      <c r="J170" s="1034">
        <v>5321.0999999999985</v>
      </c>
    </row>
    <row r="171" spans="1:10" s="1503" customFormat="1" x14ac:dyDescent="0.25">
      <c r="D171" s="999">
        <v>16</v>
      </c>
      <c r="E171" s="1035" t="s">
        <v>425</v>
      </c>
      <c r="F171" s="1036">
        <f>F174+F177+F172</f>
        <v>52790.5</v>
      </c>
      <c r="G171" s="1036">
        <f t="shared" ref="G171:J171" si="70">G174+G177+G172</f>
        <v>31993.5</v>
      </c>
      <c r="H171" s="1036">
        <f t="shared" si="70"/>
        <v>35336</v>
      </c>
      <c r="I171" s="1036">
        <f t="shared" si="70"/>
        <v>17261.7</v>
      </c>
      <c r="J171" s="1036">
        <f t="shared" si="70"/>
        <v>9601.0500000000011</v>
      </c>
    </row>
    <row r="172" spans="1:10" s="1503" customFormat="1" x14ac:dyDescent="0.25">
      <c r="D172" s="999"/>
      <c r="E172" s="1052" t="s">
        <v>921</v>
      </c>
      <c r="F172" s="1036">
        <f>F173</f>
        <v>21127</v>
      </c>
      <c r="G172" s="1036">
        <f t="shared" ref="G172:J172" si="71">G173</f>
        <v>330</v>
      </c>
      <c r="H172" s="1036">
        <f t="shared" si="71"/>
        <v>18375</v>
      </c>
      <c r="I172" s="1036">
        <f t="shared" si="71"/>
        <v>301</v>
      </c>
      <c r="J172" s="1036">
        <f t="shared" si="71"/>
        <v>29</v>
      </c>
    </row>
    <row r="173" spans="1:10" x14ac:dyDescent="0.25">
      <c r="A173" s="1502" t="s">
        <v>1669</v>
      </c>
      <c r="B173" s="1502" t="s">
        <v>1664</v>
      </c>
      <c r="C173" s="1502" t="s">
        <v>1616</v>
      </c>
      <c r="D173" s="1033">
        <v>1</v>
      </c>
      <c r="E173" s="1057" t="s">
        <v>1950</v>
      </c>
      <c r="F173" s="1034">
        <v>21127</v>
      </c>
      <c r="G173" s="1034">
        <v>330</v>
      </c>
      <c r="H173" s="1034">
        <v>18375</v>
      </c>
      <c r="I173" s="1034">
        <v>301</v>
      </c>
      <c r="J173" s="1034">
        <v>29</v>
      </c>
    </row>
    <row r="174" spans="1:10" s="1503" customFormat="1" x14ac:dyDescent="0.25">
      <c r="D174" s="999"/>
      <c r="E174" s="1035" t="s">
        <v>1635</v>
      </c>
      <c r="F174" s="1036">
        <f>SUM(F175:F176)</f>
        <v>17706.5</v>
      </c>
      <c r="G174" s="1036">
        <f t="shared" ref="G174:J174" si="72">SUM(G175:G176)</f>
        <v>17706.5</v>
      </c>
      <c r="H174" s="1036">
        <f t="shared" si="72"/>
        <v>6500</v>
      </c>
      <c r="I174" s="1036">
        <f t="shared" si="72"/>
        <v>6500</v>
      </c>
      <c r="J174" s="1036">
        <f t="shared" si="72"/>
        <v>6796.05</v>
      </c>
    </row>
    <row r="175" spans="1:10" ht="30" x14ac:dyDescent="0.25">
      <c r="A175" s="1502" t="s">
        <v>1669</v>
      </c>
      <c r="B175" s="1502" t="s">
        <v>1659</v>
      </c>
      <c r="C175" s="1502" t="s">
        <v>1713</v>
      </c>
      <c r="D175" s="1033">
        <v>1</v>
      </c>
      <c r="E175" s="1056" t="s">
        <v>1714</v>
      </c>
      <c r="F175" s="1038">
        <v>9852</v>
      </c>
      <c r="G175" s="1038">
        <v>9852</v>
      </c>
      <c r="H175" s="1034">
        <v>3500</v>
      </c>
      <c r="I175" s="1034">
        <v>3500</v>
      </c>
      <c r="J175" s="1034">
        <v>2727</v>
      </c>
    </row>
    <row r="176" spans="1:10" ht="30" x14ac:dyDescent="0.25">
      <c r="A176" s="1502" t="s">
        <v>1669</v>
      </c>
      <c r="B176" s="1502" t="s">
        <v>1659</v>
      </c>
      <c r="C176" s="1502" t="s">
        <v>1715</v>
      </c>
      <c r="D176" s="1033">
        <v>2</v>
      </c>
      <c r="E176" s="1004" t="s">
        <v>1716</v>
      </c>
      <c r="F176" s="98">
        <v>7854.5</v>
      </c>
      <c r="G176" s="98">
        <v>7854.5</v>
      </c>
      <c r="H176" s="1034">
        <v>3000</v>
      </c>
      <c r="I176" s="1034">
        <v>3000</v>
      </c>
      <c r="J176" s="1034">
        <v>4069.05</v>
      </c>
    </row>
    <row r="177" spans="1:10" s="1503" customFormat="1" ht="28.5" x14ac:dyDescent="0.25">
      <c r="D177" s="999"/>
      <c r="E177" s="1035" t="s">
        <v>1618</v>
      </c>
      <c r="F177" s="404">
        <f>SUM(F178:F180)</f>
        <v>13957</v>
      </c>
      <c r="G177" s="404">
        <f t="shared" ref="G177:J177" si="73">SUM(G178:G180)</f>
        <v>13957</v>
      </c>
      <c r="H177" s="404">
        <f t="shared" si="73"/>
        <v>10461</v>
      </c>
      <c r="I177" s="404">
        <f t="shared" si="73"/>
        <v>10460.700000000001</v>
      </c>
      <c r="J177" s="404">
        <f t="shared" si="73"/>
        <v>2776.0000000000005</v>
      </c>
    </row>
    <row r="178" spans="1:10" x14ac:dyDescent="0.25">
      <c r="A178" s="1502" t="s">
        <v>1669</v>
      </c>
      <c r="B178" s="1502" t="s">
        <v>1659</v>
      </c>
      <c r="C178" s="1502" t="s">
        <v>1619</v>
      </c>
      <c r="D178" s="1033">
        <v>1</v>
      </c>
      <c r="E178" s="1004" t="s">
        <v>1717</v>
      </c>
      <c r="F178" s="1034">
        <v>6757</v>
      </c>
      <c r="G178" s="1034">
        <v>6757</v>
      </c>
      <c r="H178" s="1034">
        <v>5461</v>
      </c>
      <c r="I178" s="1034">
        <v>5461</v>
      </c>
      <c r="J178" s="1034">
        <v>1296</v>
      </c>
    </row>
    <row r="179" spans="1:10" ht="30" x14ac:dyDescent="0.25">
      <c r="A179" s="1502" t="s">
        <v>1669</v>
      </c>
      <c r="B179" s="1502" t="s">
        <v>1659</v>
      </c>
      <c r="C179" s="1502" t="s">
        <v>1619</v>
      </c>
      <c r="D179" s="1033">
        <v>2</v>
      </c>
      <c r="E179" s="1056" t="s">
        <v>1718</v>
      </c>
      <c r="F179" s="1038">
        <v>4313</v>
      </c>
      <c r="G179" s="1038">
        <v>4313</v>
      </c>
      <c r="H179" s="1034">
        <v>3000</v>
      </c>
      <c r="I179" s="1034">
        <v>2999.7000000000003</v>
      </c>
      <c r="J179" s="1034">
        <v>881.70000000000027</v>
      </c>
    </row>
    <row r="180" spans="1:10" ht="30" x14ac:dyDescent="0.25">
      <c r="A180" s="1502" t="s">
        <v>1669</v>
      </c>
      <c r="B180" s="1502" t="s">
        <v>1659</v>
      </c>
      <c r="C180" s="1502" t="s">
        <v>1619</v>
      </c>
      <c r="D180" s="1033">
        <v>3</v>
      </c>
      <c r="E180" s="98" t="s">
        <v>1719</v>
      </c>
      <c r="F180" s="98">
        <v>2887</v>
      </c>
      <c r="G180" s="98">
        <v>2887</v>
      </c>
      <c r="H180" s="1034">
        <v>2000</v>
      </c>
      <c r="I180" s="1034">
        <v>2000</v>
      </c>
      <c r="J180" s="1034">
        <v>598.30000000000018</v>
      </c>
    </row>
    <row r="181" spans="1:10" s="1503" customFormat="1" x14ac:dyDescent="0.25">
      <c r="D181" s="999">
        <v>17</v>
      </c>
      <c r="E181" s="404" t="s">
        <v>423</v>
      </c>
      <c r="F181" s="404">
        <f>F182</f>
        <v>3454.9</v>
      </c>
      <c r="G181" s="404">
        <f t="shared" ref="G181:J182" si="74">G182</f>
        <v>2600</v>
      </c>
      <c r="H181" s="404">
        <f t="shared" si="74"/>
        <v>1200</v>
      </c>
      <c r="I181" s="404">
        <f t="shared" si="74"/>
        <v>1200</v>
      </c>
      <c r="J181" s="404">
        <f t="shared" si="74"/>
        <v>1140</v>
      </c>
    </row>
    <row r="182" spans="1:10" s="1503" customFormat="1" x14ac:dyDescent="0.25">
      <c r="D182" s="999"/>
      <c r="E182" s="404" t="s">
        <v>1635</v>
      </c>
      <c r="F182" s="404">
        <f>F183</f>
        <v>3454.9</v>
      </c>
      <c r="G182" s="404">
        <f t="shared" si="74"/>
        <v>2600</v>
      </c>
      <c r="H182" s="404">
        <f t="shared" si="74"/>
        <v>1200</v>
      </c>
      <c r="I182" s="404">
        <f t="shared" si="74"/>
        <v>1200</v>
      </c>
      <c r="J182" s="404">
        <f t="shared" si="74"/>
        <v>1140</v>
      </c>
    </row>
    <row r="183" spans="1:10" ht="30" x14ac:dyDescent="0.25">
      <c r="A183" s="1502" t="s">
        <v>1669</v>
      </c>
      <c r="B183" s="1502" t="s">
        <v>1664</v>
      </c>
      <c r="C183" s="1502" t="s">
        <v>1721</v>
      </c>
      <c r="D183" s="1033">
        <v>1</v>
      </c>
      <c r="E183" s="1049" t="s">
        <v>1722</v>
      </c>
      <c r="F183" s="1034">
        <v>3454.9</v>
      </c>
      <c r="G183" s="1034">
        <v>2600</v>
      </c>
      <c r="H183" s="1034">
        <v>1200</v>
      </c>
      <c r="I183" s="1034">
        <v>1200</v>
      </c>
      <c r="J183" s="1034">
        <v>1140</v>
      </c>
    </row>
    <row r="184" spans="1:10" s="1503" customFormat="1" x14ac:dyDescent="0.25">
      <c r="D184" s="999">
        <v>18</v>
      </c>
      <c r="E184" s="1058" t="s">
        <v>424</v>
      </c>
      <c r="F184" s="1036">
        <f>F185</f>
        <v>49813</v>
      </c>
      <c r="G184" s="1036">
        <f t="shared" ref="G184:J184" si="75">G185</f>
        <v>17750</v>
      </c>
      <c r="H184" s="1036">
        <f t="shared" si="75"/>
        <v>35501</v>
      </c>
      <c r="I184" s="1036">
        <f t="shared" si="75"/>
        <v>11878</v>
      </c>
      <c r="J184" s="1036">
        <f t="shared" si="75"/>
        <v>334</v>
      </c>
    </row>
    <row r="185" spans="1:10" s="1503" customFormat="1" x14ac:dyDescent="0.25">
      <c r="D185" s="999"/>
      <c r="E185" s="1058" t="s">
        <v>921</v>
      </c>
      <c r="F185" s="1036">
        <f>SUM(F186:F187)</f>
        <v>49813</v>
      </c>
      <c r="G185" s="1036">
        <f t="shared" ref="G185:J185" si="76">SUM(G186:G187)</f>
        <v>17750</v>
      </c>
      <c r="H185" s="1036">
        <f t="shared" si="76"/>
        <v>35501</v>
      </c>
      <c r="I185" s="1036">
        <f t="shared" si="76"/>
        <v>11878</v>
      </c>
      <c r="J185" s="1036">
        <f t="shared" si="76"/>
        <v>334</v>
      </c>
    </row>
    <row r="186" spans="1:10" ht="45" x14ac:dyDescent="0.25">
      <c r="A186" s="1502" t="s">
        <v>1669</v>
      </c>
      <c r="B186" s="1502" t="s">
        <v>1666</v>
      </c>
      <c r="C186" s="1502" t="s">
        <v>1616</v>
      </c>
      <c r="D186" s="1033">
        <v>1</v>
      </c>
      <c r="E186" s="1004" t="s">
        <v>1951</v>
      </c>
      <c r="F186" s="98">
        <v>40237</v>
      </c>
      <c r="G186" s="1034">
        <v>15652</v>
      </c>
      <c r="H186" s="1034">
        <v>29033</v>
      </c>
      <c r="I186" s="1034">
        <v>10009</v>
      </c>
      <c r="J186" s="1034">
        <v>105</v>
      </c>
    </row>
    <row r="187" spans="1:10" ht="45" x14ac:dyDescent="0.25">
      <c r="D187" s="1033">
        <v>2</v>
      </c>
      <c r="E187" s="1004" t="s">
        <v>1952</v>
      </c>
      <c r="F187" s="98">
        <v>9576</v>
      </c>
      <c r="G187" s="1034">
        <v>2098</v>
      </c>
      <c r="H187" s="1034">
        <v>6468</v>
      </c>
      <c r="I187" s="1034">
        <v>1869</v>
      </c>
      <c r="J187" s="1034">
        <v>229</v>
      </c>
    </row>
    <row r="188" spans="1:10" s="1503" customFormat="1" x14ac:dyDescent="0.25">
      <c r="D188" s="999">
        <v>19</v>
      </c>
      <c r="E188" s="1058" t="s">
        <v>422</v>
      </c>
      <c r="F188" s="1036">
        <f>F189</f>
        <v>22241</v>
      </c>
      <c r="G188" s="1036">
        <f t="shared" ref="G188:J188" si="77">G189</f>
        <v>123.2510000000002</v>
      </c>
      <c r="H188" s="1036">
        <f t="shared" si="77"/>
        <v>16849.263999999999</v>
      </c>
      <c r="I188" s="1036">
        <f t="shared" si="77"/>
        <v>0</v>
      </c>
      <c r="J188" s="1036">
        <f t="shared" si="77"/>
        <v>123.2510000000002</v>
      </c>
    </row>
    <row r="189" spans="1:10" s="1503" customFormat="1" x14ac:dyDescent="0.25">
      <c r="D189" s="999"/>
      <c r="E189" s="1058" t="s">
        <v>921</v>
      </c>
      <c r="F189" s="1036">
        <f>SUM(F190:F190)</f>
        <v>22241</v>
      </c>
      <c r="G189" s="1036">
        <f>SUM(G190:G190)</f>
        <v>123.2510000000002</v>
      </c>
      <c r="H189" s="1036">
        <f>SUM(H190:H190)</f>
        <v>16849.263999999999</v>
      </c>
      <c r="I189" s="1036">
        <f>SUM(I190:I190)</f>
        <v>0</v>
      </c>
      <c r="J189" s="1036">
        <f>SUM(J190:J190)</f>
        <v>123.2510000000002</v>
      </c>
    </row>
    <row r="190" spans="1:10" ht="30" x14ac:dyDescent="0.25">
      <c r="A190" s="1502" t="s">
        <v>1669</v>
      </c>
      <c r="B190" s="1502" t="s">
        <v>1666</v>
      </c>
      <c r="C190" s="1502" t="s">
        <v>1616</v>
      </c>
      <c r="D190" s="1033">
        <v>1</v>
      </c>
      <c r="E190" s="1004" t="s">
        <v>1723</v>
      </c>
      <c r="F190" s="98">
        <v>22241</v>
      </c>
      <c r="G190" s="1034">
        <v>123.2510000000002</v>
      </c>
      <c r="H190" s="1034">
        <v>16849.263999999999</v>
      </c>
      <c r="I190" s="1034">
        <v>0</v>
      </c>
      <c r="J190" s="1034">
        <v>123.2510000000002</v>
      </c>
    </row>
    <row r="191" spans="1:10" s="1503" customFormat="1" x14ac:dyDescent="0.25">
      <c r="D191" s="999">
        <v>20</v>
      </c>
      <c r="E191" s="402" t="s">
        <v>1725</v>
      </c>
      <c r="F191" s="816">
        <f>F192</f>
        <v>5324</v>
      </c>
      <c r="G191" s="816">
        <f t="shared" ref="G191:J192" si="78">G192</f>
        <v>532</v>
      </c>
      <c r="H191" s="816">
        <f t="shared" si="78"/>
        <v>2720</v>
      </c>
      <c r="I191" s="816">
        <f t="shared" si="78"/>
        <v>0</v>
      </c>
      <c r="J191" s="816">
        <f t="shared" si="78"/>
        <v>220</v>
      </c>
    </row>
    <row r="192" spans="1:10" s="1503" customFormat="1" ht="28.5" x14ac:dyDescent="0.25">
      <c r="D192" s="999"/>
      <c r="E192" s="402" t="s">
        <v>1618</v>
      </c>
      <c r="F192" s="816">
        <f>F193</f>
        <v>5324</v>
      </c>
      <c r="G192" s="816">
        <f t="shared" si="78"/>
        <v>532</v>
      </c>
      <c r="H192" s="816">
        <f t="shared" si="78"/>
        <v>2720</v>
      </c>
      <c r="I192" s="816">
        <f t="shared" si="78"/>
        <v>0</v>
      </c>
      <c r="J192" s="816">
        <f t="shared" si="78"/>
        <v>220</v>
      </c>
    </row>
    <row r="193" spans="1:10" ht="45" x14ac:dyDescent="0.25">
      <c r="A193" s="1502" t="s">
        <v>1669</v>
      </c>
      <c r="B193" s="1502" t="s">
        <v>1726</v>
      </c>
      <c r="C193" s="1502" t="s">
        <v>1619</v>
      </c>
      <c r="D193" s="1030">
        <v>1</v>
      </c>
      <c r="E193" s="1049" t="s">
        <v>1727</v>
      </c>
      <c r="F193" s="1034">
        <v>5324</v>
      </c>
      <c r="G193" s="1034">
        <v>532</v>
      </c>
      <c r="H193" s="1034">
        <v>2720</v>
      </c>
      <c r="I193" s="1034">
        <v>0</v>
      </c>
      <c r="J193" s="1034">
        <v>220</v>
      </c>
    </row>
    <row r="194" spans="1:10" s="1503" customFormat="1" x14ac:dyDescent="0.25">
      <c r="D194" s="1037">
        <v>21</v>
      </c>
      <c r="E194" s="1052" t="s">
        <v>427</v>
      </c>
      <c r="F194" s="1036">
        <f>F195+F197+F199+F201</f>
        <v>275920</v>
      </c>
      <c r="G194" s="1036">
        <f t="shared" ref="G194:J194" si="79">G195+G197+G199+G201</f>
        <v>55847.129000000001</v>
      </c>
      <c r="H194" s="1036">
        <f t="shared" si="79"/>
        <v>143496.26799999998</v>
      </c>
      <c r="I194" s="1036">
        <f t="shared" si="79"/>
        <v>33095</v>
      </c>
      <c r="J194" s="1036">
        <f t="shared" si="79"/>
        <v>19802.129000000001</v>
      </c>
    </row>
    <row r="195" spans="1:10" s="1503" customFormat="1" x14ac:dyDescent="0.25">
      <c r="D195" s="1037"/>
      <c r="E195" s="1035" t="s">
        <v>921</v>
      </c>
      <c r="F195" s="1036">
        <f>F196</f>
        <v>6641</v>
      </c>
      <c r="G195" s="1036">
        <f t="shared" ref="G195:J195" si="80">G196</f>
        <v>119.12899999999991</v>
      </c>
      <c r="H195" s="1036">
        <f t="shared" si="80"/>
        <v>5437.268</v>
      </c>
      <c r="I195" s="1036">
        <f t="shared" si="80"/>
        <v>0</v>
      </c>
      <c r="J195" s="1036">
        <f t="shared" si="80"/>
        <v>119.12899999999991</v>
      </c>
    </row>
    <row r="196" spans="1:10" ht="30" x14ac:dyDescent="0.25">
      <c r="A196" s="1502" t="s">
        <v>1669</v>
      </c>
      <c r="B196" s="1502" t="s">
        <v>1626</v>
      </c>
      <c r="C196" s="1502" t="s">
        <v>1616</v>
      </c>
      <c r="D196" s="1033">
        <v>1</v>
      </c>
      <c r="E196" s="415" t="s">
        <v>1728</v>
      </c>
      <c r="F196" s="1051">
        <v>6641</v>
      </c>
      <c r="G196" s="1034">
        <v>119.12899999999991</v>
      </c>
      <c r="H196" s="1034">
        <v>5437.268</v>
      </c>
      <c r="I196" s="1034">
        <v>0</v>
      </c>
      <c r="J196" s="1034">
        <v>119.12899999999991</v>
      </c>
    </row>
    <row r="197" spans="1:10" s="1503" customFormat="1" ht="28.5" x14ac:dyDescent="0.25">
      <c r="D197" s="1037"/>
      <c r="E197" s="1052" t="s">
        <v>1621</v>
      </c>
      <c r="F197" s="1036">
        <f>F198</f>
        <v>217499</v>
      </c>
      <c r="G197" s="1036">
        <f t="shared" ref="G197:J197" si="81">G198</f>
        <v>21750</v>
      </c>
      <c r="H197" s="1036">
        <f t="shared" si="81"/>
        <v>52576</v>
      </c>
      <c r="I197" s="1036">
        <f t="shared" si="81"/>
        <v>5232</v>
      </c>
      <c r="J197" s="1036">
        <f t="shared" si="81"/>
        <v>9768</v>
      </c>
    </row>
    <row r="198" spans="1:10" ht="31.5" x14ac:dyDescent="0.25">
      <c r="A198" s="1502" t="s">
        <v>1669</v>
      </c>
      <c r="B198" s="1502" t="s">
        <v>1667</v>
      </c>
      <c r="C198" s="1502" t="s">
        <v>1729</v>
      </c>
      <c r="D198" s="1030">
        <v>1</v>
      </c>
      <c r="E198" s="1004" t="s">
        <v>1002</v>
      </c>
      <c r="F198" s="1034">
        <v>217499</v>
      </c>
      <c r="G198" s="1034">
        <v>21750</v>
      </c>
      <c r="H198" s="1034">
        <v>52576</v>
      </c>
      <c r="I198" s="1034">
        <v>5232</v>
      </c>
      <c r="J198" s="1034">
        <v>9768</v>
      </c>
    </row>
    <row r="199" spans="1:10" s="1503" customFormat="1" x14ac:dyDescent="0.25">
      <c r="D199" s="1037"/>
      <c r="E199" s="1035" t="s">
        <v>1635</v>
      </c>
      <c r="F199" s="1036">
        <f>F200</f>
        <v>32000</v>
      </c>
      <c r="G199" s="1036">
        <f t="shared" ref="G199:J199" si="82">G200</f>
        <v>32000</v>
      </c>
      <c r="H199" s="1036">
        <f t="shared" si="82"/>
        <v>23263</v>
      </c>
      <c r="I199" s="1036">
        <f t="shared" si="82"/>
        <v>23263</v>
      </c>
      <c r="J199" s="1036">
        <f t="shared" si="82"/>
        <v>5537</v>
      </c>
    </row>
    <row r="200" spans="1:10" ht="30" x14ac:dyDescent="0.25">
      <c r="A200" s="1502" t="s">
        <v>1669</v>
      </c>
      <c r="B200" s="1502" t="s">
        <v>1626</v>
      </c>
      <c r="C200" s="1502" t="s">
        <v>1730</v>
      </c>
      <c r="D200" s="1033">
        <v>1</v>
      </c>
      <c r="E200" s="1034" t="s">
        <v>1001</v>
      </c>
      <c r="F200" s="1034">
        <v>32000</v>
      </c>
      <c r="G200" s="1034">
        <v>32000</v>
      </c>
      <c r="H200" s="1034">
        <v>23263</v>
      </c>
      <c r="I200" s="1034">
        <v>23263</v>
      </c>
      <c r="J200" s="1034">
        <v>5537</v>
      </c>
    </row>
    <row r="201" spans="1:10" s="1503" customFormat="1" ht="28.5" x14ac:dyDescent="0.25">
      <c r="D201" s="999"/>
      <c r="E201" s="1036" t="s">
        <v>1618</v>
      </c>
      <c r="F201" s="1036">
        <f>F202</f>
        <v>19780</v>
      </c>
      <c r="G201" s="1036">
        <f t="shared" ref="G201:J201" si="83">G202</f>
        <v>1978</v>
      </c>
      <c r="H201" s="1036">
        <f t="shared" si="83"/>
        <v>62220</v>
      </c>
      <c r="I201" s="1036">
        <f t="shared" si="83"/>
        <v>4600</v>
      </c>
      <c r="J201" s="1036">
        <f t="shared" si="83"/>
        <v>4378</v>
      </c>
    </row>
    <row r="202" spans="1:10" ht="30" x14ac:dyDescent="0.25">
      <c r="A202" s="1502" t="s">
        <v>1669</v>
      </c>
      <c r="B202" s="1502" t="s">
        <v>1667</v>
      </c>
      <c r="C202" s="1502" t="s">
        <v>1619</v>
      </c>
      <c r="D202" s="1030">
        <v>1</v>
      </c>
      <c r="E202" s="1004" t="s">
        <v>1731</v>
      </c>
      <c r="F202" s="1034">
        <v>19780</v>
      </c>
      <c r="G202" s="1034">
        <v>1978</v>
      </c>
      <c r="H202" s="1034">
        <v>62220</v>
      </c>
      <c r="I202" s="1034">
        <v>4600</v>
      </c>
      <c r="J202" s="1034">
        <v>4378</v>
      </c>
    </row>
    <row r="203" spans="1:10" s="1503" customFormat="1" x14ac:dyDescent="0.25">
      <c r="D203" s="999">
        <v>22</v>
      </c>
      <c r="E203" s="402" t="s">
        <v>604</v>
      </c>
      <c r="F203" s="816">
        <f>F204</f>
        <v>398</v>
      </c>
      <c r="G203" s="816">
        <f t="shared" ref="G203:J204" si="84">G204</f>
        <v>12.151999999999987</v>
      </c>
      <c r="H203" s="816">
        <f t="shared" si="84"/>
        <v>343.375</v>
      </c>
      <c r="I203" s="816">
        <f t="shared" si="84"/>
        <v>0</v>
      </c>
      <c r="J203" s="816">
        <f t="shared" si="84"/>
        <v>12</v>
      </c>
    </row>
    <row r="204" spans="1:10" s="1503" customFormat="1" x14ac:dyDescent="0.25">
      <c r="D204" s="999"/>
      <c r="E204" s="402" t="s">
        <v>921</v>
      </c>
      <c r="F204" s="816">
        <f>F205</f>
        <v>398</v>
      </c>
      <c r="G204" s="816">
        <f t="shared" si="84"/>
        <v>12.151999999999987</v>
      </c>
      <c r="H204" s="816">
        <f t="shared" si="84"/>
        <v>343.375</v>
      </c>
      <c r="I204" s="816">
        <f t="shared" si="84"/>
        <v>0</v>
      </c>
      <c r="J204" s="816">
        <f t="shared" si="84"/>
        <v>12</v>
      </c>
    </row>
    <row r="205" spans="1:10" ht="30" x14ac:dyDescent="0.25">
      <c r="A205" s="1502" t="s">
        <v>1669</v>
      </c>
      <c r="B205" s="1502" t="s">
        <v>1732</v>
      </c>
      <c r="C205" s="1502" t="s">
        <v>1616</v>
      </c>
      <c r="D205" s="1033">
        <v>1</v>
      </c>
      <c r="E205" s="415" t="s">
        <v>1733</v>
      </c>
      <c r="F205" s="1051">
        <v>398</v>
      </c>
      <c r="G205" s="1034">
        <v>12.151999999999987</v>
      </c>
      <c r="H205" s="1034">
        <v>343.375</v>
      </c>
      <c r="I205" s="1034">
        <v>0</v>
      </c>
      <c r="J205" s="1034">
        <v>12</v>
      </c>
    </row>
    <row r="206" spans="1:10" ht="46.5" customHeight="1" x14ac:dyDescent="0.25">
      <c r="A206" s="1503" t="s">
        <v>1669</v>
      </c>
      <c r="B206" s="1503"/>
      <c r="C206" s="1503"/>
      <c r="D206" s="1031">
        <v>23</v>
      </c>
      <c r="E206" s="1052" t="s">
        <v>1947</v>
      </c>
      <c r="F206" s="1032"/>
      <c r="G206" s="1032"/>
      <c r="H206" s="1034"/>
      <c r="I206" s="1034"/>
      <c r="J206" s="1032">
        <v>7019</v>
      </c>
    </row>
    <row r="207" spans="1:10" ht="44.25" customHeight="1" x14ac:dyDescent="0.25">
      <c r="A207" s="1503" t="s">
        <v>1669</v>
      </c>
      <c r="B207" s="1503"/>
      <c r="C207" s="1503"/>
      <c r="D207" s="1031">
        <v>24</v>
      </c>
      <c r="E207" s="1052" t="s">
        <v>1734</v>
      </c>
      <c r="F207" s="1032"/>
      <c r="G207" s="1032"/>
      <c r="H207" s="1034"/>
      <c r="I207" s="1034"/>
      <c r="J207" s="1032">
        <v>8000</v>
      </c>
    </row>
    <row r="208" spans="1:10" s="1503" customFormat="1" x14ac:dyDescent="0.25">
      <c r="D208" s="999" t="s">
        <v>17</v>
      </c>
      <c r="E208" s="1035" t="s">
        <v>1736</v>
      </c>
      <c r="F208" s="1036">
        <f>F209+F216+F219+F222</f>
        <v>56796</v>
      </c>
      <c r="G208" s="1036">
        <f t="shared" ref="G208:J208" si="85">G209+G216+G219+G222</f>
        <v>51122</v>
      </c>
      <c r="H208" s="1036">
        <f t="shared" si="85"/>
        <v>37400</v>
      </c>
      <c r="I208" s="1036">
        <f t="shared" si="85"/>
        <v>37400</v>
      </c>
      <c r="J208" s="1036">
        <f t="shared" si="85"/>
        <v>7000</v>
      </c>
    </row>
    <row r="209" spans="1:10" s="1503" customFormat="1" x14ac:dyDescent="0.25">
      <c r="D209" s="999">
        <v>1</v>
      </c>
      <c r="E209" s="1035" t="s">
        <v>632</v>
      </c>
      <c r="F209" s="1036">
        <f>F210+F214</f>
        <v>38157</v>
      </c>
      <c r="G209" s="1036">
        <f t="shared" ref="G209:J209" si="86">G210+G214</f>
        <v>38157</v>
      </c>
      <c r="H209" s="1036">
        <f t="shared" si="86"/>
        <v>28101</v>
      </c>
      <c r="I209" s="1036">
        <f t="shared" si="86"/>
        <v>28101</v>
      </c>
      <c r="J209" s="1036">
        <f t="shared" si="86"/>
        <v>4634</v>
      </c>
    </row>
    <row r="210" spans="1:10" s="1503" customFormat="1" ht="28.5" x14ac:dyDescent="0.25">
      <c r="D210" s="999"/>
      <c r="E210" s="1035" t="s">
        <v>1618</v>
      </c>
      <c r="F210" s="1036">
        <f>SUM(F211:F213)</f>
        <v>33452</v>
      </c>
      <c r="G210" s="1036">
        <f t="shared" ref="G210:J210" si="87">SUM(G211:G213)</f>
        <v>33452</v>
      </c>
      <c r="H210" s="1036">
        <f t="shared" si="87"/>
        <v>27601</v>
      </c>
      <c r="I210" s="1036">
        <f t="shared" si="87"/>
        <v>27601</v>
      </c>
      <c r="J210" s="1036">
        <f t="shared" si="87"/>
        <v>2500</v>
      </c>
    </row>
    <row r="211" spans="1:10" ht="31.5" customHeight="1" x14ac:dyDescent="0.25">
      <c r="A211" s="1503" t="s">
        <v>1737</v>
      </c>
      <c r="B211" s="1503" t="s">
        <v>1738</v>
      </c>
      <c r="C211" s="1888">
        <v>43465</v>
      </c>
      <c r="D211" s="1030">
        <v>1</v>
      </c>
      <c r="E211" s="1004" t="s">
        <v>1739</v>
      </c>
      <c r="F211" s="98">
        <v>9633</v>
      </c>
      <c r="G211" s="98">
        <v>9633</v>
      </c>
      <c r="H211" s="1034">
        <v>8039</v>
      </c>
      <c r="I211" s="1034">
        <v>8039</v>
      </c>
      <c r="J211" s="1034">
        <v>630</v>
      </c>
    </row>
    <row r="212" spans="1:10" ht="34.5" customHeight="1" x14ac:dyDescent="0.25">
      <c r="A212" s="1503" t="s">
        <v>1737</v>
      </c>
      <c r="B212" s="1503" t="s">
        <v>1738</v>
      </c>
      <c r="C212" s="1888">
        <v>43465</v>
      </c>
      <c r="D212" s="1030">
        <v>2</v>
      </c>
      <c r="E212" s="1004" t="s">
        <v>1740</v>
      </c>
      <c r="F212" s="98">
        <v>4021</v>
      </c>
      <c r="G212" s="98">
        <v>4021</v>
      </c>
      <c r="H212" s="1034">
        <v>3578</v>
      </c>
      <c r="I212" s="1034">
        <v>3578</v>
      </c>
      <c r="J212" s="1034">
        <v>40</v>
      </c>
    </row>
    <row r="213" spans="1:10" ht="33" customHeight="1" x14ac:dyDescent="0.25">
      <c r="A213" s="1503" t="s">
        <v>1737</v>
      </c>
      <c r="B213" s="1503" t="s">
        <v>1738</v>
      </c>
      <c r="C213" s="1888">
        <v>43465</v>
      </c>
      <c r="D213" s="1030">
        <v>3</v>
      </c>
      <c r="E213" s="1004" t="s">
        <v>1741</v>
      </c>
      <c r="F213" s="1034">
        <v>19798</v>
      </c>
      <c r="G213" s="1034">
        <v>19798</v>
      </c>
      <c r="H213" s="1034">
        <v>15984</v>
      </c>
      <c r="I213" s="1034">
        <v>15984</v>
      </c>
      <c r="J213" s="1034">
        <v>1830</v>
      </c>
    </row>
    <row r="214" spans="1:10" s="1503" customFormat="1" x14ac:dyDescent="0.25">
      <c r="C214" s="1888"/>
      <c r="D214" s="1037"/>
      <c r="E214" s="1035" t="s">
        <v>1652</v>
      </c>
      <c r="F214" s="1036">
        <f>F215</f>
        <v>4705</v>
      </c>
      <c r="G214" s="1036">
        <f t="shared" ref="G214:J214" si="88">G215</f>
        <v>4705</v>
      </c>
      <c r="H214" s="1036">
        <f t="shared" si="88"/>
        <v>500</v>
      </c>
      <c r="I214" s="1036">
        <f t="shared" si="88"/>
        <v>500</v>
      </c>
      <c r="J214" s="1036">
        <f t="shared" si="88"/>
        <v>2134</v>
      </c>
    </row>
    <row r="215" spans="1:10" ht="63" customHeight="1" x14ac:dyDescent="0.25">
      <c r="A215" s="1503" t="s">
        <v>1004</v>
      </c>
      <c r="B215" s="1503" t="s">
        <v>1738</v>
      </c>
      <c r="C215" s="1503" t="s">
        <v>1742</v>
      </c>
      <c r="D215" s="1030">
        <v>1</v>
      </c>
      <c r="E215" s="1004" t="s">
        <v>1006</v>
      </c>
      <c r="F215" s="1050">
        <v>4705</v>
      </c>
      <c r="G215" s="1050">
        <v>4705</v>
      </c>
      <c r="H215" s="1034">
        <v>500</v>
      </c>
      <c r="I215" s="1034">
        <v>500</v>
      </c>
      <c r="J215" s="1034">
        <v>2134</v>
      </c>
    </row>
    <row r="216" spans="1:10" s="1503" customFormat="1" ht="20.25" customHeight="1" x14ac:dyDescent="0.25">
      <c r="D216" s="1037">
        <v>2</v>
      </c>
      <c r="E216" s="1035" t="s">
        <v>1399</v>
      </c>
      <c r="F216" s="1045">
        <f>F217</f>
        <v>2563</v>
      </c>
      <c r="G216" s="1045">
        <f t="shared" ref="G216:J217" si="89">G217</f>
        <v>2563</v>
      </c>
      <c r="H216" s="1045">
        <f t="shared" si="89"/>
        <v>1800</v>
      </c>
      <c r="I216" s="1045">
        <f t="shared" si="89"/>
        <v>1800</v>
      </c>
      <c r="J216" s="1045">
        <f t="shared" si="89"/>
        <v>500</v>
      </c>
    </row>
    <row r="217" spans="1:10" s="1503" customFormat="1" x14ac:dyDescent="0.25">
      <c r="D217" s="1037"/>
      <c r="E217" s="1035" t="s">
        <v>1635</v>
      </c>
      <c r="F217" s="1045">
        <f>F218</f>
        <v>2563</v>
      </c>
      <c r="G217" s="1045">
        <f t="shared" si="89"/>
        <v>2563</v>
      </c>
      <c r="H217" s="1045">
        <f t="shared" si="89"/>
        <v>1800</v>
      </c>
      <c r="I217" s="1045">
        <f t="shared" si="89"/>
        <v>1800</v>
      </c>
      <c r="J217" s="1045">
        <f t="shared" si="89"/>
        <v>500</v>
      </c>
    </row>
    <row r="218" spans="1:10" ht="75" x14ac:dyDescent="0.25">
      <c r="A218" s="1503" t="s">
        <v>1737</v>
      </c>
      <c r="B218" s="1502" t="s">
        <v>1743</v>
      </c>
      <c r="C218" s="1503" t="s">
        <v>1636</v>
      </c>
      <c r="D218" s="1030">
        <v>1</v>
      </c>
      <c r="E218" s="1004" t="s">
        <v>1008</v>
      </c>
      <c r="F218" s="1050">
        <v>2563</v>
      </c>
      <c r="G218" s="1050">
        <v>2563</v>
      </c>
      <c r="H218" s="1034">
        <v>1800</v>
      </c>
      <c r="I218" s="1034">
        <v>1800</v>
      </c>
      <c r="J218" s="1034">
        <v>500</v>
      </c>
    </row>
    <row r="219" spans="1:10" s="1503" customFormat="1" x14ac:dyDescent="0.25">
      <c r="D219" s="1037">
        <v>3</v>
      </c>
      <c r="E219" s="1035" t="s">
        <v>427</v>
      </c>
      <c r="F219" s="1045">
        <f>F220</f>
        <v>7718</v>
      </c>
      <c r="G219" s="1045">
        <f t="shared" ref="G219:J220" si="90">G220</f>
        <v>2044</v>
      </c>
      <c r="H219" s="1045">
        <f t="shared" si="90"/>
        <v>1203</v>
      </c>
      <c r="I219" s="1045">
        <f t="shared" si="90"/>
        <v>1203</v>
      </c>
      <c r="J219" s="1045">
        <f t="shared" si="90"/>
        <v>640</v>
      </c>
    </row>
    <row r="220" spans="1:10" s="1503" customFormat="1" x14ac:dyDescent="0.25">
      <c r="D220" s="1037"/>
      <c r="E220" s="1035" t="s">
        <v>1635</v>
      </c>
      <c r="F220" s="1045">
        <f>F221</f>
        <v>7718</v>
      </c>
      <c r="G220" s="1045">
        <f t="shared" si="90"/>
        <v>2044</v>
      </c>
      <c r="H220" s="1045">
        <f t="shared" si="90"/>
        <v>1203</v>
      </c>
      <c r="I220" s="1045">
        <f t="shared" si="90"/>
        <v>1203</v>
      </c>
      <c r="J220" s="1045">
        <f t="shared" si="90"/>
        <v>640</v>
      </c>
    </row>
    <row r="221" spans="1:10" ht="45" x14ac:dyDescent="0.25">
      <c r="A221" s="1503" t="s">
        <v>1737</v>
      </c>
      <c r="B221" s="1503" t="s">
        <v>1626</v>
      </c>
      <c r="C221" s="1503" t="s">
        <v>1636</v>
      </c>
      <c r="D221" s="1030">
        <v>1</v>
      </c>
      <c r="E221" s="1004" t="s">
        <v>1744</v>
      </c>
      <c r="F221" s="1050">
        <v>7718</v>
      </c>
      <c r="G221" s="1050">
        <v>2044</v>
      </c>
      <c r="H221" s="1034">
        <v>1203</v>
      </c>
      <c r="I221" s="1034">
        <v>1203</v>
      </c>
      <c r="J221" s="1034">
        <v>640</v>
      </c>
    </row>
    <row r="222" spans="1:10" s="1503" customFormat="1" x14ac:dyDescent="0.25">
      <c r="D222" s="1037">
        <v>4</v>
      </c>
      <c r="E222" s="1035" t="s">
        <v>185</v>
      </c>
      <c r="F222" s="1045">
        <f>F223</f>
        <v>8358</v>
      </c>
      <c r="G222" s="1045">
        <f t="shared" ref="G222:J223" si="91">G223</f>
        <v>8358</v>
      </c>
      <c r="H222" s="1045">
        <f t="shared" si="91"/>
        <v>6296</v>
      </c>
      <c r="I222" s="1045">
        <f t="shared" si="91"/>
        <v>6296</v>
      </c>
      <c r="J222" s="1045">
        <f t="shared" si="91"/>
        <v>1226</v>
      </c>
    </row>
    <row r="223" spans="1:10" s="1503" customFormat="1" x14ac:dyDescent="0.25">
      <c r="D223" s="1037"/>
      <c r="E223" s="1035" t="s">
        <v>1635</v>
      </c>
      <c r="F223" s="1045">
        <f>F224</f>
        <v>8358</v>
      </c>
      <c r="G223" s="1045">
        <f t="shared" si="91"/>
        <v>8358</v>
      </c>
      <c r="H223" s="1045">
        <f t="shared" si="91"/>
        <v>6296</v>
      </c>
      <c r="I223" s="1045">
        <f t="shared" si="91"/>
        <v>6296</v>
      </c>
      <c r="J223" s="1045">
        <f t="shared" si="91"/>
        <v>1226</v>
      </c>
    </row>
    <row r="224" spans="1:10" s="1503" customFormat="1" ht="45" x14ac:dyDescent="0.25">
      <c r="A224" s="1503" t="s">
        <v>1737</v>
      </c>
      <c r="B224" s="1503" t="s">
        <v>1745</v>
      </c>
      <c r="C224" s="1503" t="s">
        <v>1636</v>
      </c>
      <c r="D224" s="1030">
        <v>1</v>
      </c>
      <c r="E224" s="1004" t="s">
        <v>1010</v>
      </c>
      <c r="F224" s="1050">
        <v>8358</v>
      </c>
      <c r="G224" s="1050">
        <v>8358</v>
      </c>
      <c r="H224" s="1034">
        <v>6296</v>
      </c>
      <c r="I224" s="1034">
        <v>6296</v>
      </c>
      <c r="J224" s="1034">
        <v>1226</v>
      </c>
    </row>
    <row r="225" spans="1:10" s="1503" customFormat="1" x14ac:dyDescent="0.25">
      <c r="D225" s="1037" t="s">
        <v>48</v>
      </c>
      <c r="E225" s="1035" t="s">
        <v>1746</v>
      </c>
      <c r="F225" s="1045">
        <f>F226+F231+F234+F242+F245+F248+F251+F254</f>
        <v>254952.61245199997</v>
      </c>
      <c r="G225" s="1045">
        <f t="shared" ref="G225:J225" si="92">G226+G231+G234+G242+G245+G248+G251+G254</f>
        <v>91514.812451999998</v>
      </c>
      <c r="H225" s="1045">
        <f t="shared" si="92"/>
        <v>132759.79999999999</v>
      </c>
      <c r="I225" s="1045">
        <f t="shared" si="92"/>
        <v>49616</v>
      </c>
      <c r="J225" s="1045">
        <f t="shared" si="92"/>
        <v>16245.4</v>
      </c>
    </row>
    <row r="226" spans="1:10" s="1503" customFormat="1" x14ac:dyDescent="0.25">
      <c r="D226" s="1037">
        <v>1</v>
      </c>
      <c r="E226" s="1035" t="s">
        <v>419</v>
      </c>
      <c r="F226" s="1045">
        <f>F227+F229</f>
        <v>36926</v>
      </c>
      <c r="G226" s="1045">
        <f t="shared" ref="G226:J226" si="93">G227+G229</f>
        <v>10926</v>
      </c>
      <c r="H226" s="1045">
        <f t="shared" si="93"/>
        <v>2000</v>
      </c>
      <c r="I226" s="1045">
        <f t="shared" si="93"/>
        <v>2000</v>
      </c>
      <c r="J226" s="1045">
        <f t="shared" si="93"/>
        <v>5233.3999999999996</v>
      </c>
    </row>
    <row r="227" spans="1:10" s="1503" customFormat="1" x14ac:dyDescent="0.25">
      <c r="D227" s="999"/>
      <c r="E227" s="1059" t="s">
        <v>921</v>
      </c>
      <c r="F227" s="404">
        <f>F228</f>
        <v>2926</v>
      </c>
      <c r="G227" s="404">
        <f t="shared" ref="G227:J227" si="94">G228</f>
        <v>2926</v>
      </c>
      <c r="H227" s="404">
        <f t="shared" si="94"/>
        <v>2000</v>
      </c>
      <c r="I227" s="404">
        <f t="shared" si="94"/>
        <v>2000</v>
      </c>
      <c r="J227" s="404">
        <f t="shared" si="94"/>
        <v>633.40000000000009</v>
      </c>
    </row>
    <row r="228" spans="1:10" ht="30" x14ac:dyDescent="0.25">
      <c r="A228" s="1502" t="s">
        <v>1747</v>
      </c>
      <c r="B228" s="1502" t="s">
        <v>1615</v>
      </c>
      <c r="C228" s="1502" t="s">
        <v>1616</v>
      </c>
      <c r="D228" s="1033">
        <v>1</v>
      </c>
      <c r="E228" s="1049" t="s">
        <v>1014</v>
      </c>
      <c r="F228" s="1034">
        <v>2926</v>
      </c>
      <c r="G228" s="1034">
        <v>2926</v>
      </c>
      <c r="H228" s="1034">
        <v>2000</v>
      </c>
      <c r="I228" s="1034">
        <v>2000</v>
      </c>
      <c r="J228" s="1034">
        <v>633.40000000000009</v>
      </c>
    </row>
    <row r="229" spans="1:10" s="1503" customFormat="1" x14ac:dyDescent="0.25">
      <c r="D229" s="1037"/>
      <c r="E229" s="1035" t="s">
        <v>1635</v>
      </c>
      <c r="F229" s="1045">
        <f>F230</f>
        <v>34000</v>
      </c>
      <c r="G229" s="1045">
        <f t="shared" ref="G229:J229" si="95">G230</f>
        <v>8000</v>
      </c>
      <c r="H229" s="1045">
        <f t="shared" si="95"/>
        <v>0</v>
      </c>
      <c r="I229" s="1045">
        <f t="shared" si="95"/>
        <v>0</v>
      </c>
      <c r="J229" s="1045">
        <f t="shared" si="95"/>
        <v>4600</v>
      </c>
    </row>
    <row r="230" spans="1:10" x14ac:dyDescent="0.25">
      <c r="A230" s="1502" t="s">
        <v>1747</v>
      </c>
      <c r="B230" s="1502" t="s">
        <v>1615</v>
      </c>
      <c r="C230" s="1502" t="s">
        <v>1748</v>
      </c>
      <c r="D230" s="1033">
        <v>1</v>
      </c>
      <c r="E230" s="1056" t="s">
        <v>1749</v>
      </c>
      <c r="F230" s="98">
        <v>34000</v>
      </c>
      <c r="G230" s="98">
        <v>8000</v>
      </c>
      <c r="H230" s="1034">
        <v>0</v>
      </c>
      <c r="I230" s="1034">
        <v>0</v>
      </c>
      <c r="J230" s="1034">
        <v>4600</v>
      </c>
    </row>
    <row r="231" spans="1:10" s="1503" customFormat="1" x14ac:dyDescent="0.25">
      <c r="D231" s="999">
        <v>2</v>
      </c>
      <c r="E231" s="1059" t="s">
        <v>434</v>
      </c>
      <c r="F231" s="404">
        <f>F232</f>
        <v>9158</v>
      </c>
      <c r="G231" s="404">
        <f t="shared" ref="G231:J232" si="96">G232</f>
        <v>9158</v>
      </c>
      <c r="H231" s="404">
        <f t="shared" si="96"/>
        <v>7607</v>
      </c>
      <c r="I231" s="404">
        <f t="shared" si="96"/>
        <v>7607</v>
      </c>
      <c r="J231" s="404">
        <f t="shared" si="96"/>
        <v>1045</v>
      </c>
    </row>
    <row r="232" spans="1:10" s="1503" customFormat="1" ht="28.5" x14ac:dyDescent="0.25">
      <c r="D232" s="999"/>
      <c r="E232" s="1059" t="s">
        <v>1618</v>
      </c>
      <c r="F232" s="404">
        <f>F233</f>
        <v>9158</v>
      </c>
      <c r="G232" s="404">
        <f t="shared" si="96"/>
        <v>9158</v>
      </c>
      <c r="H232" s="404">
        <f t="shared" si="96"/>
        <v>7607</v>
      </c>
      <c r="I232" s="404">
        <f t="shared" si="96"/>
        <v>7607</v>
      </c>
      <c r="J232" s="404">
        <f t="shared" si="96"/>
        <v>1045</v>
      </c>
    </row>
    <row r="233" spans="1:10" ht="45" x14ac:dyDescent="0.25">
      <c r="A233" s="1502" t="s">
        <v>1747</v>
      </c>
      <c r="B233" s="1502" t="s">
        <v>1677</v>
      </c>
      <c r="C233" s="1502" t="s">
        <v>1619</v>
      </c>
      <c r="D233" s="1033">
        <v>1</v>
      </c>
      <c r="E233" s="1034" t="s">
        <v>1016</v>
      </c>
      <c r="F233" s="1034">
        <v>9158</v>
      </c>
      <c r="G233" s="1034">
        <v>9158</v>
      </c>
      <c r="H233" s="1034">
        <v>7607</v>
      </c>
      <c r="I233" s="1034">
        <v>7607</v>
      </c>
      <c r="J233" s="1034">
        <v>1045</v>
      </c>
    </row>
    <row r="234" spans="1:10" s="1503" customFormat="1" x14ac:dyDescent="0.25">
      <c r="D234" s="999">
        <v>3</v>
      </c>
      <c r="E234" s="1036" t="s">
        <v>420</v>
      </c>
      <c r="F234" s="1036">
        <f>F235+F238+F240</f>
        <v>33032</v>
      </c>
      <c r="G234" s="1036">
        <f t="shared" ref="G234:J234" si="97">G235+G238+G240</f>
        <v>15185</v>
      </c>
      <c r="H234" s="1036">
        <f t="shared" si="97"/>
        <v>22232</v>
      </c>
      <c r="I234" s="1036">
        <f t="shared" si="97"/>
        <v>7835</v>
      </c>
      <c r="J234" s="1036">
        <f t="shared" si="97"/>
        <v>3615</v>
      </c>
    </row>
    <row r="235" spans="1:10" s="1503" customFormat="1" x14ac:dyDescent="0.25">
      <c r="D235" s="999"/>
      <c r="E235" s="1035" t="s">
        <v>921</v>
      </c>
      <c r="F235" s="1036">
        <f>SUM(F236:F237)</f>
        <v>12325</v>
      </c>
      <c r="G235" s="1036">
        <f t="shared" ref="G235:J235" si="98">SUM(G236:G237)</f>
        <v>8011</v>
      </c>
      <c r="H235" s="1036">
        <f t="shared" si="98"/>
        <v>7599</v>
      </c>
      <c r="I235" s="1036">
        <f t="shared" si="98"/>
        <v>3285</v>
      </c>
      <c r="J235" s="1036">
        <f t="shared" si="98"/>
        <v>1541</v>
      </c>
    </row>
    <row r="236" spans="1:10" x14ac:dyDescent="0.25">
      <c r="A236" s="1502" t="s">
        <v>1747</v>
      </c>
      <c r="B236" s="1502" t="s">
        <v>1646</v>
      </c>
      <c r="C236" s="1502" t="s">
        <v>1616</v>
      </c>
      <c r="D236" s="1033">
        <v>1</v>
      </c>
      <c r="E236" s="1034" t="s">
        <v>1750</v>
      </c>
      <c r="F236" s="1040">
        <v>7022</v>
      </c>
      <c r="G236" s="1040">
        <v>7022</v>
      </c>
      <c r="H236" s="1034">
        <v>3285</v>
      </c>
      <c r="I236" s="1034">
        <v>3285</v>
      </c>
      <c r="J236" s="1034">
        <v>1361</v>
      </c>
    </row>
    <row r="237" spans="1:10" x14ac:dyDescent="0.25">
      <c r="A237" s="1502" t="s">
        <v>1747</v>
      </c>
      <c r="B237" s="1502" t="s">
        <v>1646</v>
      </c>
      <c r="C237" s="1502" t="s">
        <v>1616</v>
      </c>
      <c r="D237" s="1033">
        <v>2</v>
      </c>
      <c r="E237" s="1004" t="s">
        <v>1751</v>
      </c>
      <c r="F237" s="1034">
        <v>5303</v>
      </c>
      <c r="G237" s="1034">
        <v>989</v>
      </c>
      <c r="H237" s="1034">
        <v>4314</v>
      </c>
      <c r="I237" s="1034">
        <v>0</v>
      </c>
      <c r="J237" s="1034">
        <v>180</v>
      </c>
    </row>
    <row r="238" spans="1:10" s="1503" customFormat="1" x14ac:dyDescent="0.25">
      <c r="D238" s="999"/>
      <c r="E238" s="1036" t="s">
        <v>1635</v>
      </c>
      <c r="F238" s="1036">
        <f>F239</f>
        <v>8800</v>
      </c>
      <c r="G238" s="1036">
        <f t="shared" ref="G238:J238" si="99">G239</f>
        <v>5400</v>
      </c>
      <c r="H238" s="1036">
        <f t="shared" si="99"/>
        <v>4000</v>
      </c>
      <c r="I238" s="1036">
        <f t="shared" si="99"/>
        <v>4000</v>
      </c>
      <c r="J238" s="1036">
        <f t="shared" si="99"/>
        <v>1400</v>
      </c>
    </row>
    <row r="239" spans="1:10" x14ac:dyDescent="0.25">
      <c r="A239" s="1502" t="s">
        <v>1747</v>
      </c>
      <c r="B239" s="1502" t="s">
        <v>1646</v>
      </c>
      <c r="C239" s="1502" t="s">
        <v>1752</v>
      </c>
      <c r="D239" s="1033">
        <v>1</v>
      </c>
      <c r="E239" s="1056" t="s">
        <v>1753</v>
      </c>
      <c r="F239" s="98">
        <v>8800</v>
      </c>
      <c r="G239" s="1034">
        <v>5400</v>
      </c>
      <c r="H239" s="1034">
        <v>4000</v>
      </c>
      <c r="I239" s="1034">
        <v>4000</v>
      </c>
      <c r="J239" s="1034">
        <v>1400</v>
      </c>
    </row>
    <row r="240" spans="1:10" s="1503" customFormat="1" ht="28.5" x14ac:dyDescent="0.25">
      <c r="D240" s="999"/>
      <c r="E240" s="1059" t="s">
        <v>1618</v>
      </c>
      <c r="F240" s="404">
        <f>F241</f>
        <v>11907</v>
      </c>
      <c r="G240" s="404">
        <f t="shared" ref="G240:J240" si="100">G241</f>
        <v>1774</v>
      </c>
      <c r="H240" s="404">
        <f t="shared" si="100"/>
        <v>10633</v>
      </c>
      <c r="I240" s="404">
        <f t="shared" si="100"/>
        <v>550</v>
      </c>
      <c r="J240" s="404">
        <f t="shared" si="100"/>
        <v>674</v>
      </c>
    </row>
    <row r="241" spans="1:10" x14ac:dyDescent="0.25">
      <c r="A241" s="1502" t="s">
        <v>1747</v>
      </c>
      <c r="B241" s="1502" t="s">
        <v>1646</v>
      </c>
      <c r="C241" s="1502" t="s">
        <v>1619</v>
      </c>
      <c r="D241" s="1033">
        <v>1</v>
      </c>
      <c r="E241" s="1004" t="s">
        <v>1754</v>
      </c>
      <c r="F241" s="1034">
        <v>11907</v>
      </c>
      <c r="G241" s="1034">
        <v>1774</v>
      </c>
      <c r="H241" s="1034">
        <v>10633</v>
      </c>
      <c r="I241" s="1034">
        <v>550</v>
      </c>
      <c r="J241" s="1034">
        <v>674</v>
      </c>
    </row>
    <row r="242" spans="1:10" s="1503" customFormat="1" x14ac:dyDescent="0.25">
      <c r="D242" s="999">
        <v>4</v>
      </c>
      <c r="E242" s="1035" t="s">
        <v>421</v>
      </c>
      <c r="F242" s="1036">
        <f>F243</f>
        <v>4721.3124520000001</v>
      </c>
      <c r="G242" s="1036">
        <f t="shared" ref="G242:J243" si="101">G243</f>
        <v>4721.3124520000001</v>
      </c>
      <c r="H242" s="1036">
        <f t="shared" si="101"/>
        <v>2518</v>
      </c>
      <c r="I242" s="1036">
        <f t="shared" si="101"/>
        <v>2518</v>
      </c>
      <c r="J242" s="1036">
        <f t="shared" si="101"/>
        <v>156</v>
      </c>
    </row>
    <row r="243" spans="1:10" s="1503" customFormat="1" x14ac:dyDescent="0.25">
      <c r="D243" s="999"/>
      <c r="E243" s="1035" t="s">
        <v>921</v>
      </c>
      <c r="F243" s="1036">
        <f>F244</f>
        <v>4721.3124520000001</v>
      </c>
      <c r="G243" s="1036">
        <f t="shared" si="101"/>
        <v>4721.3124520000001</v>
      </c>
      <c r="H243" s="1036">
        <f t="shared" si="101"/>
        <v>2518</v>
      </c>
      <c r="I243" s="1036">
        <f t="shared" si="101"/>
        <v>2518</v>
      </c>
      <c r="J243" s="1036">
        <f t="shared" si="101"/>
        <v>156</v>
      </c>
    </row>
    <row r="244" spans="1:10" ht="30" x14ac:dyDescent="0.25">
      <c r="A244" s="1502" t="s">
        <v>1747</v>
      </c>
      <c r="B244" s="1502" t="s">
        <v>1650</v>
      </c>
      <c r="C244" s="1502" t="s">
        <v>1616</v>
      </c>
      <c r="D244" s="1033">
        <v>1</v>
      </c>
      <c r="E244" s="1034" t="s">
        <v>1755</v>
      </c>
      <c r="F244" s="1050">
        <v>4721.3124520000001</v>
      </c>
      <c r="G244" s="1050">
        <v>4721.3124520000001</v>
      </c>
      <c r="H244" s="1034">
        <v>2518</v>
      </c>
      <c r="I244" s="1034">
        <v>2518</v>
      </c>
      <c r="J244" s="1034">
        <v>156</v>
      </c>
    </row>
    <row r="245" spans="1:10" s="1503" customFormat="1" x14ac:dyDescent="0.25">
      <c r="D245" s="999">
        <v>5</v>
      </c>
      <c r="E245" s="1036" t="s">
        <v>426</v>
      </c>
      <c r="F245" s="1045">
        <f>F246</f>
        <v>7341</v>
      </c>
      <c r="G245" s="1045">
        <f t="shared" ref="G245:J246" si="102">G246</f>
        <v>169.5</v>
      </c>
      <c r="H245" s="1045">
        <f t="shared" si="102"/>
        <v>6819.8</v>
      </c>
      <c r="I245" s="1045">
        <f t="shared" si="102"/>
        <v>0</v>
      </c>
      <c r="J245" s="1045">
        <f t="shared" si="102"/>
        <v>169</v>
      </c>
    </row>
    <row r="246" spans="1:10" s="1503" customFormat="1" x14ac:dyDescent="0.25">
      <c r="D246" s="999"/>
      <c r="E246" s="1036" t="s">
        <v>921</v>
      </c>
      <c r="F246" s="1045">
        <f>F247</f>
        <v>7341</v>
      </c>
      <c r="G246" s="1045">
        <f t="shared" si="102"/>
        <v>169.5</v>
      </c>
      <c r="H246" s="1045">
        <f t="shared" si="102"/>
        <v>6819.8</v>
      </c>
      <c r="I246" s="1045">
        <f t="shared" si="102"/>
        <v>0</v>
      </c>
      <c r="J246" s="1045">
        <f t="shared" si="102"/>
        <v>169</v>
      </c>
    </row>
    <row r="247" spans="1:10" x14ac:dyDescent="0.25">
      <c r="A247" s="1502" t="s">
        <v>1747</v>
      </c>
      <c r="B247" s="1502" t="s">
        <v>1655</v>
      </c>
      <c r="C247" s="1502" t="s">
        <v>1616</v>
      </c>
      <c r="D247" s="1033">
        <v>1</v>
      </c>
      <c r="E247" s="415" t="s">
        <v>1756</v>
      </c>
      <c r="F247" s="1051">
        <v>7341</v>
      </c>
      <c r="G247" s="1034">
        <v>169.5</v>
      </c>
      <c r="H247" s="1034">
        <v>6819.8</v>
      </c>
      <c r="I247" s="1034">
        <v>0</v>
      </c>
      <c r="J247" s="1034">
        <v>169</v>
      </c>
    </row>
    <row r="248" spans="1:10" s="1503" customFormat="1" x14ac:dyDescent="0.25">
      <c r="D248" s="999">
        <v>6</v>
      </c>
      <c r="E248" s="402" t="s">
        <v>427</v>
      </c>
      <c r="F248" s="816">
        <f>F249</f>
        <v>154886</v>
      </c>
      <c r="G248" s="816">
        <f t="shared" ref="G248:J249" si="103">G249</f>
        <v>46000</v>
      </c>
      <c r="H248" s="816">
        <f t="shared" si="103"/>
        <v>86912</v>
      </c>
      <c r="I248" s="816">
        <f t="shared" si="103"/>
        <v>24985</v>
      </c>
      <c r="J248" s="816">
        <f t="shared" si="103"/>
        <v>5352</v>
      </c>
    </row>
    <row r="249" spans="1:10" s="1503" customFormat="1" x14ac:dyDescent="0.25">
      <c r="D249" s="999"/>
      <c r="E249" s="402" t="s">
        <v>921</v>
      </c>
      <c r="F249" s="816">
        <f>F250</f>
        <v>154886</v>
      </c>
      <c r="G249" s="816">
        <f t="shared" si="103"/>
        <v>46000</v>
      </c>
      <c r="H249" s="816">
        <f t="shared" si="103"/>
        <v>86912</v>
      </c>
      <c r="I249" s="816">
        <f t="shared" si="103"/>
        <v>24985</v>
      </c>
      <c r="J249" s="816">
        <f t="shared" si="103"/>
        <v>5352</v>
      </c>
    </row>
    <row r="250" spans="1:10" ht="30" x14ac:dyDescent="0.25">
      <c r="A250" s="1502" t="s">
        <v>1747</v>
      </c>
      <c r="B250" s="1502" t="s">
        <v>1626</v>
      </c>
      <c r="C250" s="1502" t="s">
        <v>1616</v>
      </c>
      <c r="D250" s="1033">
        <v>1</v>
      </c>
      <c r="E250" s="1034" t="s">
        <v>1018</v>
      </c>
      <c r="F250" s="98">
        <v>154886</v>
      </c>
      <c r="G250" s="98">
        <v>46000</v>
      </c>
      <c r="H250" s="1034">
        <v>86912</v>
      </c>
      <c r="I250" s="1034">
        <v>24985</v>
      </c>
      <c r="J250" s="1034">
        <v>5352</v>
      </c>
    </row>
    <row r="251" spans="1:10" s="1503" customFormat="1" x14ac:dyDescent="0.25">
      <c r="D251" s="999">
        <v>7</v>
      </c>
      <c r="E251" s="402" t="s">
        <v>185</v>
      </c>
      <c r="F251" s="816">
        <f>F252</f>
        <v>6533.3</v>
      </c>
      <c r="G251" s="816">
        <f t="shared" ref="G251:J252" si="104">G252</f>
        <v>3000</v>
      </c>
      <c r="H251" s="816">
        <f t="shared" si="104"/>
        <v>2971</v>
      </c>
      <c r="I251" s="816">
        <f t="shared" si="104"/>
        <v>2971</v>
      </c>
      <c r="J251" s="816">
        <f t="shared" si="104"/>
        <v>20</v>
      </c>
    </row>
    <row r="252" spans="1:10" s="1503" customFormat="1" x14ac:dyDescent="0.25">
      <c r="D252" s="999"/>
      <c r="E252" s="402" t="s">
        <v>921</v>
      </c>
      <c r="F252" s="816">
        <f>F253</f>
        <v>6533.3</v>
      </c>
      <c r="G252" s="816">
        <f t="shared" si="104"/>
        <v>3000</v>
      </c>
      <c r="H252" s="816">
        <f t="shared" si="104"/>
        <v>2971</v>
      </c>
      <c r="I252" s="816">
        <f t="shared" si="104"/>
        <v>2971</v>
      </c>
      <c r="J252" s="816">
        <f t="shared" si="104"/>
        <v>20</v>
      </c>
    </row>
    <row r="253" spans="1:10" ht="30" x14ac:dyDescent="0.25">
      <c r="A253" s="1502" t="s">
        <v>1747</v>
      </c>
      <c r="B253" s="1502" t="s">
        <v>1745</v>
      </c>
      <c r="C253" s="1502" t="s">
        <v>1616</v>
      </c>
      <c r="D253" s="1033">
        <v>1</v>
      </c>
      <c r="E253" s="1004" t="s">
        <v>1757</v>
      </c>
      <c r="F253" s="1034">
        <v>6533.3</v>
      </c>
      <c r="G253" s="1034">
        <v>3000</v>
      </c>
      <c r="H253" s="1034">
        <v>2971</v>
      </c>
      <c r="I253" s="1034">
        <v>2971</v>
      </c>
      <c r="J253" s="1034">
        <v>20</v>
      </c>
    </row>
    <row r="254" spans="1:10" s="1503" customFormat="1" x14ac:dyDescent="0.25">
      <c r="D254" s="999">
        <v>8</v>
      </c>
      <c r="E254" s="402" t="s">
        <v>756</v>
      </c>
      <c r="F254" s="816">
        <f>F255</f>
        <v>2355</v>
      </c>
      <c r="G254" s="816">
        <f t="shared" ref="G254:J255" si="105">G255</f>
        <v>2355</v>
      </c>
      <c r="H254" s="816">
        <f t="shared" si="105"/>
        <v>1700</v>
      </c>
      <c r="I254" s="816">
        <f t="shared" si="105"/>
        <v>1700</v>
      </c>
      <c r="J254" s="816">
        <f t="shared" si="105"/>
        <v>655</v>
      </c>
    </row>
    <row r="255" spans="1:10" s="1503" customFormat="1" ht="28.5" x14ac:dyDescent="0.25">
      <c r="D255" s="999"/>
      <c r="E255" s="402" t="s">
        <v>1618</v>
      </c>
      <c r="F255" s="816">
        <f>F256</f>
        <v>2355</v>
      </c>
      <c r="G255" s="816">
        <f t="shared" si="105"/>
        <v>2355</v>
      </c>
      <c r="H255" s="816">
        <f t="shared" si="105"/>
        <v>1700</v>
      </c>
      <c r="I255" s="816">
        <f t="shared" si="105"/>
        <v>1700</v>
      </c>
      <c r="J255" s="816">
        <f t="shared" si="105"/>
        <v>655</v>
      </c>
    </row>
    <row r="256" spans="1:10" ht="30" x14ac:dyDescent="0.25">
      <c r="A256" s="1502" t="s">
        <v>1747</v>
      </c>
      <c r="B256" s="1502" t="s">
        <v>1758</v>
      </c>
      <c r="C256" s="1502" t="s">
        <v>1619</v>
      </c>
      <c r="D256" s="1033">
        <v>1</v>
      </c>
      <c r="E256" s="1034" t="s">
        <v>1759</v>
      </c>
      <c r="F256" s="1034">
        <v>2355</v>
      </c>
      <c r="G256" s="1034">
        <v>2355</v>
      </c>
      <c r="H256" s="1034">
        <v>1700</v>
      </c>
      <c r="I256" s="1034">
        <v>1700</v>
      </c>
      <c r="J256" s="1034">
        <v>655</v>
      </c>
    </row>
    <row r="257" spans="1:10" s="1503" customFormat="1" x14ac:dyDescent="0.25">
      <c r="D257" s="999" t="s">
        <v>108</v>
      </c>
      <c r="E257" s="1036" t="s">
        <v>2325</v>
      </c>
      <c r="F257" s="1036">
        <f>F258</f>
        <v>39900</v>
      </c>
      <c r="G257" s="1036">
        <f t="shared" ref="G257:J259" si="106">G258</f>
        <v>39900</v>
      </c>
      <c r="H257" s="1036">
        <f t="shared" si="106"/>
        <v>39598</v>
      </c>
      <c r="I257" s="1036">
        <f t="shared" si="106"/>
        <v>39598</v>
      </c>
      <c r="J257" s="1036">
        <f t="shared" si="106"/>
        <v>196</v>
      </c>
    </row>
    <row r="258" spans="1:10" s="1503" customFormat="1" x14ac:dyDescent="0.25">
      <c r="D258" s="999">
        <v>1</v>
      </c>
      <c r="E258" s="1036" t="s">
        <v>2326</v>
      </c>
      <c r="F258" s="1036">
        <f>F259</f>
        <v>39900</v>
      </c>
      <c r="G258" s="1036">
        <f t="shared" si="106"/>
        <v>39900</v>
      </c>
      <c r="H258" s="1036">
        <f t="shared" si="106"/>
        <v>39598</v>
      </c>
      <c r="I258" s="1036">
        <f t="shared" si="106"/>
        <v>39598</v>
      </c>
      <c r="J258" s="1036">
        <f t="shared" si="106"/>
        <v>196</v>
      </c>
    </row>
    <row r="259" spans="1:10" s="1503" customFormat="1" x14ac:dyDescent="0.25">
      <c r="D259" s="999"/>
      <c r="E259" s="1035" t="s">
        <v>921</v>
      </c>
      <c r="F259" s="1036">
        <f>F260</f>
        <v>39900</v>
      </c>
      <c r="G259" s="1036">
        <f t="shared" si="106"/>
        <v>39900</v>
      </c>
      <c r="H259" s="1036">
        <f t="shared" si="106"/>
        <v>39598</v>
      </c>
      <c r="I259" s="1036">
        <f t="shared" si="106"/>
        <v>39598</v>
      </c>
      <c r="J259" s="1036">
        <f t="shared" si="106"/>
        <v>196</v>
      </c>
    </row>
    <row r="260" spans="1:10" ht="30" x14ac:dyDescent="0.25">
      <c r="A260" s="1502" t="s">
        <v>1761</v>
      </c>
      <c r="B260" s="1502" t="s">
        <v>1615</v>
      </c>
      <c r="C260" s="1502" t="s">
        <v>1616</v>
      </c>
      <c r="D260" s="1033">
        <v>1</v>
      </c>
      <c r="E260" s="1034" t="s">
        <v>2327</v>
      </c>
      <c r="F260" s="1667">
        <v>39900</v>
      </c>
      <c r="G260" s="1666">
        <v>39900</v>
      </c>
      <c r="H260" s="1665">
        <v>39598</v>
      </c>
      <c r="I260" s="1665">
        <v>39598</v>
      </c>
      <c r="J260" s="1665">
        <v>196</v>
      </c>
    </row>
    <row r="261" spans="1:10" s="1503" customFormat="1" x14ac:dyDescent="0.25">
      <c r="D261" s="999" t="s">
        <v>108</v>
      </c>
      <c r="E261" s="1036" t="s">
        <v>1953</v>
      </c>
      <c r="F261" s="1036">
        <f>F262</f>
        <v>41399</v>
      </c>
      <c r="G261" s="1036">
        <f t="shared" ref="G261:J263" si="107">G262</f>
        <v>6043</v>
      </c>
      <c r="H261" s="1036">
        <f t="shared" si="107"/>
        <v>38200</v>
      </c>
      <c r="I261" s="1036">
        <f t="shared" si="107"/>
        <v>2844</v>
      </c>
      <c r="J261" s="1036">
        <f t="shared" si="107"/>
        <v>165</v>
      </c>
    </row>
    <row r="262" spans="1:10" s="1503" customFormat="1" x14ac:dyDescent="0.25">
      <c r="D262" s="999">
        <v>1</v>
      </c>
      <c r="E262" s="1036" t="s">
        <v>1954</v>
      </c>
      <c r="F262" s="1036">
        <f>F263</f>
        <v>41399</v>
      </c>
      <c r="G262" s="1036">
        <f t="shared" si="107"/>
        <v>6043</v>
      </c>
      <c r="H262" s="1036">
        <f t="shared" si="107"/>
        <v>38200</v>
      </c>
      <c r="I262" s="1036">
        <f t="shared" si="107"/>
        <v>2844</v>
      </c>
      <c r="J262" s="1036">
        <f t="shared" si="107"/>
        <v>165</v>
      </c>
    </row>
    <row r="263" spans="1:10" s="1503" customFormat="1" x14ac:dyDescent="0.25">
      <c r="D263" s="999"/>
      <c r="E263" s="1035" t="s">
        <v>921</v>
      </c>
      <c r="F263" s="1036">
        <f>F264</f>
        <v>41399</v>
      </c>
      <c r="G263" s="1036">
        <f t="shared" si="107"/>
        <v>6043</v>
      </c>
      <c r="H263" s="1036">
        <f t="shared" si="107"/>
        <v>38200</v>
      </c>
      <c r="I263" s="1036">
        <f t="shared" si="107"/>
        <v>2844</v>
      </c>
      <c r="J263" s="1036">
        <f t="shared" si="107"/>
        <v>165</v>
      </c>
    </row>
    <row r="264" spans="1:10" x14ac:dyDescent="0.25">
      <c r="A264" s="1502" t="s">
        <v>1761</v>
      </c>
      <c r="B264" s="1502" t="s">
        <v>1615</v>
      </c>
      <c r="C264" s="1502" t="s">
        <v>1616</v>
      </c>
      <c r="D264" s="1033">
        <v>1</v>
      </c>
      <c r="E264" s="98" t="s">
        <v>1955</v>
      </c>
      <c r="F264" s="1040">
        <v>41399</v>
      </c>
      <c r="G264" s="98">
        <v>6043</v>
      </c>
      <c r="H264" s="1034">
        <v>38200</v>
      </c>
      <c r="I264" s="1034">
        <v>2844</v>
      </c>
      <c r="J264" s="1034">
        <v>165</v>
      </c>
    </row>
    <row r="265" spans="1:10" s="1503" customFormat="1" x14ac:dyDescent="0.25">
      <c r="D265" s="999" t="s">
        <v>998</v>
      </c>
      <c r="E265" s="1036" t="s">
        <v>1760</v>
      </c>
      <c r="F265" s="1036">
        <f>F266</f>
        <v>86948</v>
      </c>
      <c r="G265" s="1036">
        <f t="shared" ref="G265:J265" si="108">G266</f>
        <v>16697</v>
      </c>
      <c r="H265" s="1036">
        <f t="shared" si="108"/>
        <v>74262</v>
      </c>
      <c r="I265" s="1036">
        <f t="shared" si="108"/>
        <v>12812</v>
      </c>
      <c r="J265" s="1036">
        <f t="shared" si="108"/>
        <v>4224</v>
      </c>
    </row>
    <row r="266" spans="1:10" s="1503" customFormat="1" x14ac:dyDescent="0.25">
      <c r="D266" s="999">
        <v>1</v>
      </c>
      <c r="E266" s="1036" t="s">
        <v>419</v>
      </c>
      <c r="F266" s="1036">
        <f>F267+F269</f>
        <v>86948</v>
      </c>
      <c r="G266" s="1036">
        <f t="shared" ref="G266:J266" si="109">G267+G269</f>
        <v>16697</v>
      </c>
      <c r="H266" s="1036">
        <f t="shared" si="109"/>
        <v>74262</v>
      </c>
      <c r="I266" s="1036">
        <f t="shared" si="109"/>
        <v>12812</v>
      </c>
      <c r="J266" s="1036">
        <f t="shared" si="109"/>
        <v>4224</v>
      </c>
    </row>
    <row r="267" spans="1:10" s="1503" customFormat="1" x14ac:dyDescent="0.25">
      <c r="D267" s="999"/>
      <c r="E267" s="1035" t="s">
        <v>921</v>
      </c>
      <c r="F267" s="1036">
        <f>F268</f>
        <v>79998</v>
      </c>
      <c r="G267" s="1036">
        <f t="shared" ref="G267:J267" si="110">G268</f>
        <v>9747</v>
      </c>
      <c r="H267" s="1036">
        <f t="shared" si="110"/>
        <v>69450</v>
      </c>
      <c r="I267" s="1036">
        <f t="shared" si="110"/>
        <v>8000</v>
      </c>
      <c r="J267" s="1036">
        <f t="shared" si="110"/>
        <v>2086</v>
      </c>
    </row>
    <row r="268" spans="1:10" x14ac:dyDescent="0.25">
      <c r="A268" s="1502" t="s">
        <v>1761</v>
      </c>
      <c r="B268" s="1502" t="s">
        <v>1615</v>
      </c>
      <c r="C268" s="1502" t="s">
        <v>1616</v>
      </c>
      <c r="D268" s="1033">
        <v>1</v>
      </c>
      <c r="E268" s="98" t="s">
        <v>1762</v>
      </c>
      <c r="F268" s="1040">
        <v>79998</v>
      </c>
      <c r="G268" s="98">
        <v>9747</v>
      </c>
      <c r="H268" s="1034">
        <v>69450</v>
      </c>
      <c r="I268" s="1034">
        <v>8000</v>
      </c>
      <c r="J268" s="1034">
        <v>2086</v>
      </c>
    </row>
    <row r="269" spans="1:10" s="1503" customFormat="1" ht="28.5" x14ac:dyDescent="0.25">
      <c r="D269" s="999"/>
      <c r="E269" s="1036" t="s">
        <v>1618</v>
      </c>
      <c r="F269" s="1036">
        <f>F270</f>
        <v>6950</v>
      </c>
      <c r="G269" s="1036">
        <f t="shared" ref="G269:J269" si="111">G270</f>
        <v>6950</v>
      </c>
      <c r="H269" s="1036">
        <f t="shared" si="111"/>
        <v>4812</v>
      </c>
      <c r="I269" s="1036">
        <f t="shared" si="111"/>
        <v>4812</v>
      </c>
      <c r="J269" s="1036">
        <f t="shared" si="111"/>
        <v>2138</v>
      </c>
    </row>
    <row r="270" spans="1:10" ht="30" x14ac:dyDescent="0.25">
      <c r="A270" s="1502" t="s">
        <v>1761</v>
      </c>
      <c r="B270" s="1502" t="s">
        <v>1615</v>
      </c>
      <c r="C270" s="1502" t="s">
        <v>1619</v>
      </c>
      <c r="D270" s="1033">
        <v>1</v>
      </c>
      <c r="E270" s="1004" t="s">
        <v>1763</v>
      </c>
      <c r="F270" s="1034">
        <v>6950</v>
      </c>
      <c r="G270" s="1034">
        <v>6950</v>
      </c>
      <c r="H270" s="1034">
        <v>4812</v>
      </c>
      <c r="I270" s="1034">
        <v>4812</v>
      </c>
      <c r="J270" s="1034">
        <v>2138</v>
      </c>
    </row>
    <row r="271" spans="1:10" s="1503" customFormat="1" x14ac:dyDescent="0.25">
      <c r="D271" s="999" t="s">
        <v>1003</v>
      </c>
      <c r="E271" s="1035" t="s">
        <v>1764</v>
      </c>
      <c r="F271" s="1036">
        <f>F272+F275+F278+F285</f>
        <v>7395</v>
      </c>
      <c r="G271" s="1036">
        <f t="shared" ref="G271:J271" si="112">G272+G275+G278+G285</f>
        <v>6284</v>
      </c>
      <c r="H271" s="1036">
        <f t="shared" si="112"/>
        <v>3900</v>
      </c>
      <c r="I271" s="1036">
        <f t="shared" si="112"/>
        <v>3900</v>
      </c>
      <c r="J271" s="1036">
        <f t="shared" si="112"/>
        <v>2106</v>
      </c>
    </row>
    <row r="272" spans="1:10" s="1503" customFormat="1" x14ac:dyDescent="0.25">
      <c r="D272" s="999">
        <v>1</v>
      </c>
      <c r="E272" s="1035" t="s">
        <v>420</v>
      </c>
      <c r="F272" s="1036">
        <f>F273</f>
        <v>1150</v>
      </c>
      <c r="G272" s="1036">
        <f t="shared" ref="G272:J273" si="113">G273</f>
        <v>900</v>
      </c>
      <c r="H272" s="1036">
        <f t="shared" si="113"/>
        <v>800</v>
      </c>
      <c r="I272" s="1036">
        <f t="shared" si="113"/>
        <v>800</v>
      </c>
      <c r="J272" s="1036">
        <f t="shared" si="113"/>
        <v>100</v>
      </c>
    </row>
    <row r="273" spans="1:10" s="1503" customFormat="1" ht="28.5" x14ac:dyDescent="0.25">
      <c r="D273" s="999"/>
      <c r="E273" s="1035" t="s">
        <v>1621</v>
      </c>
      <c r="F273" s="1036">
        <f>F274</f>
        <v>1150</v>
      </c>
      <c r="G273" s="1036">
        <f t="shared" si="113"/>
        <v>900</v>
      </c>
      <c r="H273" s="1036">
        <f t="shared" si="113"/>
        <v>800</v>
      </c>
      <c r="I273" s="1036">
        <f t="shared" si="113"/>
        <v>800</v>
      </c>
      <c r="J273" s="1036">
        <f t="shared" si="113"/>
        <v>100</v>
      </c>
    </row>
    <row r="274" spans="1:10" x14ac:dyDescent="0.25">
      <c r="A274" s="1502" t="s">
        <v>1765</v>
      </c>
      <c r="B274" s="1502" t="s">
        <v>1646</v>
      </c>
      <c r="C274" s="1502" t="s">
        <v>1647</v>
      </c>
      <c r="D274" s="1030">
        <v>1</v>
      </c>
      <c r="E274" s="415" t="s">
        <v>1022</v>
      </c>
      <c r="F274" s="1034">
        <v>1150</v>
      </c>
      <c r="G274" s="1034">
        <v>900</v>
      </c>
      <c r="H274" s="1034">
        <v>800</v>
      </c>
      <c r="I274" s="1034">
        <v>800</v>
      </c>
      <c r="J274" s="1034">
        <v>100</v>
      </c>
    </row>
    <row r="275" spans="1:10" s="1503" customFormat="1" x14ac:dyDescent="0.25">
      <c r="D275" s="999">
        <v>2</v>
      </c>
      <c r="E275" s="1035" t="s">
        <v>421</v>
      </c>
      <c r="F275" s="1036">
        <f>F276</f>
        <v>1100</v>
      </c>
      <c r="G275" s="1036">
        <f t="shared" ref="G275:J276" si="114">G276</f>
        <v>900</v>
      </c>
      <c r="H275" s="1036">
        <f t="shared" si="114"/>
        <v>800</v>
      </c>
      <c r="I275" s="1036">
        <f t="shared" si="114"/>
        <v>800</v>
      </c>
      <c r="J275" s="1036">
        <f t="shared" si="114"/>
        <v>100</v>
      </c>
    </row>
    <row r="276" spans="1:10" s="1503" customFormat="1" ht="28.5" x14ac:dyDescent="0.25">
      <c r="D276" s="999"/>
      <c r="E276" s="1035" t="s">
        <v>1621</v>
      </c>
      <c r="F276" s="1036">
        <f>F277</f>
        <v>1100</v>
      </c>
      <c r="G276" s="1036">
        <f t="shared" si="114"/>
        <v>900</v>
      </c>
      <c r="H276" s="1036">
        <f t="shared" si="114"/>
        <v>800</v>
      </c>
      <c r="I276" s="1036">
        <f t="shared" si="114"/>
        <v>800</v>
      </c>
      <c r="J276" s="1036">
        <f t="shared" si="114"/>
        <v>100</v>
      </c>
    </row>
    <row r="277" spans="1:10" x14ac:dyDescent="0.25">
      <c r="A277" s="1502" t="s">
        <v>1765</v>
      </c>
      <c r="B277" s="1502" t="s">
        <v>1650</v>
      </c>
      <c r="C277" s="1502" t="s">
        <v>1647</v>
      </c>
      <c r="D277" s="1030"/>
      <c r="E277" s="1060" t="s">
        <v>1039</v>
      </c>
      <c r="F277" s="1034">
        <v>1100</v>
      </c>
      <c r="G277" s="1034">
        <v>900</v>
      </c>
      <c r="H277" s="1034">
        <v>800</v>
      </c>
      <c r="I277" s="1034">
        <v>800</v>
      </c>
      <c r="J277" s="1034">
        <v>100</v>
      </c>
    </row>
    <row r="278" spans="1:10" s="1503" customFormat="1" x14ac:dyDescent="0.25">
      <c r="D278" s="999">
        <v>3</v>
      </c>
      <c r="E278" s="1035" t="s">
        <v>425</v>
      </c>
      <c r="F278" s="1036">
        <f>F279+F283</f>
        <v>4246</v>
      </c>
      <c r="G278" s="1036">
        <f t="shared" ref="G278:J278" si="115">G279+G283</f>
        <v>3628</v>
      </c>
      <c r="H278" s="1036">
        <f t="shared" si="115"/>
        <v>1800</v>
      </c>
      <c r="I278" s="1036">
        <f t="shared" si="115"/>
        <v>1800</v>
      </c>
      <c r="J278" s="1036">
        <f t="shared" si="115"/>
        <v>1550</v>
      </c>
    </row>
    <row r="279" spans="1:10" s="1503" customFormat="1" ht="28.5" x14ac:dyDescent="0.25">
      <c r="D279" s="999"/>
      <c r="E279" s="1035" t="s">
        <v>1621</v>
      </c>
      <c r="F279" s="1036">
        <f>SUM(F280:F282)</f>
        <v>3113</v>
      </c>
      <c r="G279" s="1036">
        <f t="shared" ref="G279:J279" si="116">SUM(G280:G282)</f>
        <v>2721</v>
      </c>
      <c r="H279" s="1036">
        <f t="shared" si="116"/>
        <v>1800</v>
      </c>
      <c r="I279" s="1036">
        <f t="shared" si="116"/>
        <v>1800</v>
      </c>
      <c r="J279" s="1036">
        <f t="shared" si="116"/>
        <v>900</v>
      </c>
    </row>
    <row r="280" spans="1:10" x14ac:dyDescent="0.25">
      <c r="A280" s="1502" t="s">
        <v>1765</v>
      </c>
      <c r="B280" s="1502" t="s">
        <v>1659</v>
      </c>
      <c r="C280" s="1502" t="s">
        <v>1647</v>
      </c>
      <c r="D280" s="1030">
        <v>1</v>
      </c>
      <c r="E280" s="415" t="s">
        <v>1024</v>
      </c>
      <c r="F280" s="1034">
        <v>938</v>
      </c>
      <c r="G280" s="1034">
        <v>907</v>
      </c>
      <c r="H280" s="1034">
        <v>800</v>
      </c>
      <c r="I280" s="1034">
        <v>800</v>
      </c>
      <c r="J280" s="1034">
        <v>100</v>
      </c>
    </row>
    <row r="281" spans="1:10" x14ac:dyDescent="0.25">
      <c r="A281" s="1502" t="s">
        <v>1765</v>
      </c>
      <c r="B281" s="1502" t="s">
        <v>1659</v>
      </c>
      <c r="C281" s="1502" t="s">
        <v>1647</v>
      </c>
      <c r="D281" s="1030">
        <v>2</v>
      </c>
      <c r="E281" s="415" t="s">
        <v>1025</v>
      </c>
      <c r="F281" s="1034">
        <v>1066</v>
      </c>
      <c r="G281" s="1034">
        <v>907</v>
      </c>
      <c r="H281" s="1034">
        <v>500</v>
      </c>
      <c r="I281" s="1034">
        <v>500</v>
      </c>
      <c r="J281" s="1034">
        <v>400</v>
      </c>
    </row>
    <row r="282" spans="1:10" x14ac:dyDescent="0.25">
      <c r="A282" s="1502" t="s">
        <v>1765</v>
      </c>
      <c r="B282" s="1502" t="s">
        <v>1659</v>
      </c>
      <c r="C282" s="1502" t="s">
        <v>1647</v>
      </c>
      <c r="D282" s="1030">
        <v>3</v>
      </c>
      <c r="E282" s="415" t="s">
        <v>1026</v>
      </c>
      <c r="F282" s="1034">
        <v>1109</v>
      </c>
      <c r="G282" s="1034">
        <v>907</v>
      </c>
      <c r="H282" s="1034">
        <v>500</v>
      </c>
      <c r="I282" s="1034">
        <v>500</v>
      </c>
      <c r="J282" s="1034">
        <v>400</v>
      </c>
    </row>
    <row r="283" spans="1:10" s="1503" customFormat="1" x14ac:dyDescent="0.25">
      <c r="D283" s="1037"/>
      <c r="E283" s="402" t="s">
        <v>1652</v>
      </c>
      <c r="F283" s="1036">
        <f>F284</f>
        <v>1133</v>
      </c>
      <c r="G283" s="1036">
        <f t="shared" ref="G283:J283" si="117">G284</f>
        <v>907</v>
      </c>
      <c r="H283" s="1036">
        <f t="shared" si="117"/>
        <v>0</v>
      </c>
      <c r="I283" s="1036">
        <f t="shared" si="117"/>
        <v>0</v>
      </c>
      <c r="J283" s="1036">
        <f t="shared" si="117"/>
        <v>650</v>
      </c>
    </row>
    <row r="284" spans="1:10" x14ac:dyDescent="0.25">
      <c r="A284" s="1502" t="s">
        <v>1765</v>
      </c>
      <c r="B284" s="1502" t="s">
        <v>1659</v>
      </c>
      <c r="C284" s="1502" t="s">
        <v>1653</v>
      </c>
      <c r="D284" s="1030">
        <v>1</v>
      </c>
      <c r="E284" s="415" t="s">
        <v>1766</v>
      </c>
      <c r="F284" s="1034">
        <v>1133</v>
      </c>
      <c r="G284" s="1034">
        <v>907</v>
      </c>
      <c r="H284" s="1034">
        <v>0</v>
      </c>
      <c r="I284" s="1034">
        <v>0</v>
      </c>
      <c r="J284" s="1034">
        <v>650</v>
      </c>
    </row>
    <row r="285" spans="1:10" s="1503" customFormat="1" x14ac:dyDescent="0.25">
      <c r="D285" s="1037">
        <v>4</v>
      </c>
      <c r="E285" s="402" t="s">
        <v>424</v>
      </c>
      <c r="F285" s="1036">
        <f>F286</f>
        <v>899</v>
      </c>
      <c r="G285" s="1036">
        <f t="shared" ref="G285:J286" si="118">G286</f>
        <v>856</v>
      </c>
      <c r="H285" s="1036">
        <f t="shared" si="118"/>
        <v>500</v>
      </c>
      <c r="I285" s="1036">
        <f t="shared" si="118"/>
        <v>500</v>
      </c>
      <c r="J285" s="1036">
        <f t="shared" si="118"/>
        <v>356</v>
      </c>
    </row>
    <row r="286" spans="1:10" s="1503" customFormat="1" ht="28.5" x14ac:dyDescent="0.25">
      <c r="D286" s="1037"/>
      <c r="E286" s="402" t="s">
        <v>1621</v>
      </c>
      <c r="F286" s="1036">
        <f>F287</f>
        <v>899</v>
      </c>
      <c r="G286" s="1036">
        <f t="shared" si="118"/>
        <v>856</v>
      </c>
      <c r="H286" s="1036">
        <f t="shared" si="118"/>
        <v>500</v>
      </c>
      <c r="I286" s="1036">
        <f t="shared" si="118"/>
        <v>500</v>
      </c>
      <c r="J286" s="1036">
        <f t="shared" si="118"/>
        <v>356</v>
      </c>
    </row>
    <row r="287" spans="1:10" x14ac:dyDescent="0.25">
      <c r="A287" s="1502" t="s">
        <v>1765</v>
      </c>
      <c r="B287" s="1502" t="s">
        <v>1661</v>
      </c>
      <c r="C287" s="1502" t="s">
        <v>1647</v>
      </c>
      <c r="D287" s="1030">
        <v>1</v>
      </c>
      <c r="E287" s="415" t="s">
        <v>1027</v>
      </c>
      <c r="F287" s="1034">
        <v>899</v>
      </c>
      <c r="G287" s="1034">
        <v>856</v>
      </c>
      <c r="H287" s="1034">
        <v>500</v>
      </c>
      <c r="I287" s="1034">
        <v>500</v>
      </c>
      <c r="J287" s="1034">
        <v>356</v>
      </c>
    </row>
    <row r="288" spans="1:10" s="1503" customFormat="1" x14ac:dyDescent="0.25">
      <c r="D288" s="1037" t="s">
        <v>1012</v>
      </c>
      <c r="E288" s="402" t="s">
        <v>1767</v>
      </c>
      <c r="F288" s="1036">
        <f>F289+F294+F299+F302</f>
        <v>1118604</v>
      </c>
      <c r="G288" s="1036">
        <f t="shared" ref="G288:J288" si="119">G289+G294+G299+G302</f>
        <v>130677</v>
      </c>
      <c r="H288" s="1036">
        <f t="shared" si="119"/>
        <v>992602</v>
      </c>
      <c r="I288" s="1036">
        <f t="shared" si="119"/>
        <v>41613</v>
      </c>
      <c r="J288" s="1036">
        <f t="shared" si="119"/>
        <v>18383</v>
      </c>
    </row>
    <row r="289" spans="1:10" s="1503" customFormat="1" x14ac:dyDescent="0.25">
      <c r="D289" s="1037">
        <v>1</v>
      </c>
      <c r="E289" s="402" t="s">
        <v>419</v>
      </c>
      <c r="F289" s="1036">
        <f>F290+F292</f>
        <v>997781</v>
      </c>
      <c r="G289" s="1036">
        <f t="shared" ref="G289:J289" si="120">G290+G292</f>
        <v>101670</v>
      </c>
      <c r="H289" s="1036">
        <f t="shared" si="120"/>
        <v>900423</v>
      </c>
      <c r="I289" s="1036">
        <f t="shared" si="120"/>
        <v>6312</v>
      </c>
      <c r="J289" s="1036">
        <f t="shared" si="120"/>
        <v>8280</v>
      </c>
    </row>
    <row r="290" spans="1:10" s="1503" customFormat="1" x14ac:dyDescent="0.25">
      <c r="D290" s="1037"/>
      <c r="E290" s="402" t="s">
        <v>1635</v>
      </c>
      <c r="F290" s="1036">
        <f>F291</f>
        <v>14911</v>
      </c>
      <c r="G290" s="1036">
        <f t="shared" ref="G290:J290" si="121">G291</f>
        <v>3506</v>
      </c>
      <c r="H290" s="1036">
        <f t="shared" si="121"/>
        <v>11405</v>
      </c>
      <c r="I290" s="1036">
        <f t="shared" si="121"/>
        <v>0</v>
      </c>
      <c r="J290" s="1036">
        <f t="shared" si="121"/>
        <v>656</v>
      </c>
    </row>
    <row r="291" spans="1:10" ht="30" x14ac:dyDescent="0.25">
      <c r="A291" s="1502" t="s">
        <v>1768</v>
      </c>
      <c r="B291" s="1502" t="s">
        <v>1615</v>
      </c>
      <c r="C291" s="1502" t="s">
        <v>1769</v>
      </c>
      <c r="D291" s="1033">
        <v>1</v>
      </c>
      <c r="E291" s="1034" t="s">
        <v>1770</v>
      </c>
      <c r="F291" s="1034">
        <v>14911</v>
      </c>
      <c r="G291" s="1034">
        <v>3506</v>
      </c>
      <c r="H291" s="1034">
        <v>11405</v>
      </c>
      <c r="I291" s="1034">
        <v>0</v>
      </c>
      <c r="J291" s="1034">
        <v>656</v>
      </c>
    </row>
    <row r="292" spans="1:10" s="1503" customFormat="1" ht="28.5" x14ac:dyDescent="0.25">
      <c r="D292" s="999"/>
      <c r="E292" s="1036" t="s">
        <v>1618</v>
      </c>
      <c r="F292" s="1036">
        <f>F293</f>
        <v>982870</v>
      </c>
      <c r="G292" s="1036">
        <f t="shared" ref="G292:J292" si="122">G293</f>
        <v>98164</v>
      </c>
      <c r="H292" s="1036">
        <f t="shared" si="122"/>
        <v>889018</v>
      </c>
      <c r="I292" s="1036">
        <f t="shared" si="122"/>
        <v>6312</v>
      </c>
      <c r="J292" s="1036">
        <f t="shared" si="122"/>
        <v>7624</v>
      </c>
    </row>
    <row r="293" spans="1:10" x14ac:dyDescent="0.25">
      <c r="A293" s="1502" t="s">
        <v>1768</v>
      </c>
      <c r="B293" s="1502" t="s">
        <v>1615</v>
      </c>
      <c r="C293" s="1502" t="s">
        <v>1619</v>
      </c>
      <c r="D293" s="1033">
        <v>1</v>
      </c>
      <c r="E293" s="98" t="s">
        <v>1029</v>
      </c>
      <c r="F293" s="98">
        <v>982870</v>
      </c>
      <c r="G293" s="1034">
        <v>98164</v>
      </c>
      <c r="H293" s="1034">
        <v>889018</v>
      </c>
      <c r="I293" s="1034">
        <v>6312</v>
      </c>
      <c r="J293" s="1034">
        <v>7624</v>
      </c>
    </row>
    <row r="294" spans="1:10" s="1503" customFormat="1" x14ac:dyDescent="0.25">
      <c r="D294" s="999">
        <v>2</v>
      </c>
      <c r="E294" s="1035" t="s">
        <v>421</v>
      </c>
      <c r="F294" s="404">
        <f>F295+F297</f>
        <v>39238</v>
      </c>
      <c r="G294" s="404">
        <f t="shared" ref="G294:J294" si="123">G295+G297</f>
        <v>4300</v>
      </c>
      <c r="H294" s="404">
        <f t="shared" si="123"/>
        <v>34206</v>
      </c>
      <c r="I294" s="404">
        <f t="shared" si="123"/>
        <v>34206</v>
      </c>
      <c r="J294" s="404">
        <f t="shared" si="123"/>
        <v>539</v>
      </c>
    </row>
    <row r="295" spans="1:10" s="1503" customFormat="1" ht="28.5" x14ac:dyDescent="0.25">
      <c r="D295" s="999"/>
      <c r="E295" s="1035" t="s">
        <v>1621</v>
      </c>
      <c r="F295" s="404">
        <f>F296</f>
        <v>5197</v>
      </c>
      <c r="G295" s="404">
        <f t="shared" ref="G295:J295" si="124">G296</f>
        <v>4300</v>
      </c>
      <c r="H295" s="404">
        <f t="shared" si="124"/>
        <v>3854</v>
      </c>
      <c r="I295" s="404">
        <f t="shared" si="124"/>
        <v>3854</v>
      </c>
      <c r="J295" s="404">
        <f t="shared" si="124"/>
        <v>100</v>
      </c>
    </row>
    <row r="296" spans="1:10" x14ac:dyDescent="0.25">
      <c r="A296" s="1502" t="s">
        <v>1768</v>
      </c>
      <c r="B296" s="1502" t="s">
        <v>1650</v>
      </c>
      <c r="C296" s="1502" t="s">
        <v>1647</v>
      </c>
      <c r="D296" s="1030">
        <v>1</v>
      </c>
      <c r="E296" s="1060" t="s">
        <v>1250</v>
      </c>
      <c r="F296" s="1034">
        <v>5197</v>
      </c>
      <c r="G296" s="1034">
        <v>4300</v>
      </c>
      <c r="H296" s="1034">
        <v>3854</v>
      </c>
      <c r="I296" s="1034">
        <v>3854</v>
      </c>
      <c r="J296" s="1034">
        <v>100</v>
      </c>
    </row>
    <row r="297" spans="1:10" s="1503" customFormat="1" x14ac:dyDescent="0.25">
      <c r="D297" s="1037"/>
      <c r="E297" s="1061" t="s">
        <v>921</v>
      </c>
      <c r="F297" s="1036">
        <f>F298</f>
        <v>34041</v>
      </c>
      <c r="G297" s="1036">
        <f t="shared" ref="G297:J297" si="125">G298</f>
        <v>0</v>
      </c>
      <c r="H297" s="1036">
        <f t="shared" si="125"/>
        <v>30352</v>
      </c>
      <c r="I297" s="1036">
        <f t="shared" si="125"/>
        <v>30352</v>
      </c>
      <c r="J297" s="1036">
        <f t="shared" si="125"/>
        <v>439</v>
      </c>
    </row>
    <row r="298" spans="1:10" x14ac:dyDescent="0.25">
      <c r="A298" s="1502" t="s">
        <v>1768</v>
      </c>
      <c r="B298" s="1502" t="s">
        <v>1650</v>
      </c>
      <c r="C298" s="1502" t="s">
        <v>1616</v>
      </c>
      <c r="D298" s="1033">
        <v>1</v>
      </c>
      <c r="E298" s="1004" t="s">
        <v>1772</v>
      </c>
      <c r="F298" s="1034">
        <v>34041</v>
      </c>
      <c r="G298" s="1034"/>
      <c r="H298" s="1034">
        <v>30352</v>
      </c>
      <c r="I298" s="1034">
        <v>30352</v>
      </c>
      <c r="J298" s="1034">
        <v>439</v>
      </c>
    </row>
    <row r="299" spans="1:10" s="1503" customFormat="1" x14ac:dyDescent="0.25">
      <c r="D299" s="999">
        <v>3</v>
      </c>
      <c r="E299" s="1035" t="s">
        <v>426</v>
      </c>
      <c r="F299" s="1036">
        <f>F300</f>
        <v>74313</v>
      </c>
      <c r="G299" s="1036">
        <f t="shared" ref="G299:J300" si="126">G300</f>
        <v>21935</v>
      </c>
      <c r="H299" s="1036">
        <f t="shared" si="126"/>
        <v>52378</v>
      </c>
      <c r="I299" s="1036">
        <f t="shared" si="126"/>
        <v>0</v>
      </c>
      <c r="J299" s="1036">
        <f t="shared" si="126"/>
        <v>8524</v>
      </c>
    </row>
    <row r="300" spans="1:10" s="1503" customFormat="1" x14ac:dyDescent="0.25">
      <c r="D300" s="999"/>
      <c r="E300" s="1035" t="s">
        <v>921</v>
      </c>
      <c r="F300" s="1036">
        <f>F301</f>
        <v>74313</v>
      </c>
      <c r="G300" s="1036">
        <f t="shared" si="126"/>
        <v>21935</v>
      </c>
      <c r="H300" s="1036">
        <f t="shared" si="126"/>
        <v>52378</v>
      </c>
      <c r="I300" s="1036">
        <f t="shared" si="126"/>
        <v>0</v>
      </c>
      <c r="J300" s="1036">
        <f t="shared" si="126"/>
        <v>8524</v>
      </c>
    </row>
    <row r="301" spans="1:10" x14ac:dyDescent="0.25">
      <c r="A301" s="1502" t="s">
        <v>1768</v>
      </c>
      <c r="B301" s="1502" t="s">
        <v>1655</v>
      </c>
      <c r="C301" s="1502" t="s">
        <v>1616</v>
      </c>
      <c r="D301" s="1033">
        <v>1</v>
      </c>
      <c r="E301" s="98" t="s">
        <v>1773</v>
      </c>
      <c r="F301" s="1040">
        <v>74313</v>
      </c>
      <c r="G301" s="98">
        <v>21935</v>
      </c>
      <c r="H301" s="1034">
        <v>52378</v>
      </c>
      <c r="I301" s="1034">
        <v>0</v>
      </c>
      <c r="J301" s="1034">
        <v>8524</v>
      </c>
    </row>
    <row r="302" spans="1:10" s="1503" customFormat="1" x14ac:dyDescent="0.25">
      <c r="D302" s="999">
        <v>4</v>
      </c>
      <c r="E302" s="402" t="s">
        <v>1041</v>
      </c>
      <c r="F302" s="816">
        <f>F303</f>
        <v>7272</v>
      </c>
      <c r="G302" s="816">
        <f t="shared" ref="G302:J303" si="127">G303</f>
        <v>2772</v>
      </c>
      <c r="H302" s="816">
        <f t="shared" si="127"/>
        <v>5595</v>
      </c>
      <c r="I302" s="816">
        <f t="shared" si="127"/>
        <v>1095</v>
      </c>
      <c r="J302" s="816">
        <f t="shared" si="127"/>
        <v>1040</v>
      </c>
    </row>
    <row r="303" spans="1:10" s="1503" customFormat="1" x14ac:dyDescent="0.25">
      <c r="D303" s="999"/>
      <c r="E303" s="402" t="s">
        <v>921</v>
      </c>
      <c r="F303" s="816">
        <f>F304</f>
        <v>7272</v>
      </c>
      <c r="G303" s="816">
        <f t="shared" si="127"/>
        <v>2772</v>
      </c>
      <c r="H303" s="816">
        <f t="shared" si="127"/>
        <v>5595</v>
      </c>
      <c r="I303" s="816">
        <f t="shared" si="127"/>
        <v>1095</v>
      </c>
      <c r="J303" s="816">
        <f t="shared" si="127"/>
        <v>1040</v>
      </c>
    </row>
    <row r="304" spans="1:10" ht="45" x14ac:dyDescent="0.25">
      <c r="A304" s="1502" t="s">
        <v>1768</v>
      </c>
      <c r="B304" s="1502" t="s">
        <v>1775</v>
      </c>
      <c r="C304" s="1502" t="s">
        <v>1616</v>
      </c>
      <c r="D304" s="1033">
        <v>1</v>
      </c>
      <c r="E304" s="1004" t="s">
        <v>1776</v>
      </c>
      <c r="F304" s="98">
        <v>7272</v>
      </c>
      <c r="G304" s="1034">
        <v>2772</v>
      </c>
      <c r="H304" s="1034">
        <v>5595</v>
      </c>
      <c r="I304" s="1034">
        <v>1095</v>
      </c>
      <c r="J304" s="1034">
        <v>1040</v>
      </c>
    </row>
    <row r="305" spans="1:10" x14ac:dyDescent="0.25">
      <c r="A305" s="1503" t="s">
        <v>1777</v>
      </c>
      <c r="B305" s="1503"/>
      <c r="C305" s="1503"/>
      <c r="D305" s="1031" t="s">
        <v>1013</v>
      </c>
      <c r="E305" s="1052" t="s">
        <v>1778</v>
      </c>
      <c r="F305" s="1032"/>
      <c r="G305" s="1032"/>
      <c r="H305" s="1034"/>
      <c r="I305" s="1034"/>
      <c r="J305" s="1036">
        <v>15000</v>
      </c>
    </row>
    <row r="306" spans="1:10" x14ac:dyDescent="0.25">
      <c r="A306" s="1502" t="s">
        <v>1777</v>
      </c>
      <c r="D306" s="1037" t="s">
        <v>1020</v>
      </c>
      <c r="E306" s="1036" t="s">
        <v>1216</v>
      </c>
      <c r="F306" s="1036">
        <f>SUM(F307:F314)</f>
        <v>0</v>
      </c>
      <c r="G306" s="1036">
        <f t="shared" ref="G306:J306" si="128">SUM(G307:G314)</f>
        <v>0</v>
      </c>
      <c r="H306" s="1036">
        <f t="shared" si="128"/>
        <v>0</v>
      </c>
      <c r="I306" s="1036">
        <f t="shared" si="128"/>
        <v>0</v>
      </c>
      <c r="J306" s="1036">
        <f t="shared" si="128"/>
        <v>84147</v>
      </c>
    </row>
    <row r="307" spans="1:10" x14ac:dyDescent="0.25">
      <c r="A307" s="1502" t="s">
        <v>1777</v>
      </c>
      <c r="D307" s="1030">
        <v>1</v>
      </c>
      <c r="E307" s="415" t="s">
        <v>148</v>
      </c>
      <c r="F307" s="412"/>
      <c r="G307" s="412"/>
      <c r="H307" s="1034"/>
      <c r="I307" s="1034"/>
      <c r="J307" s="1034">
        <f>15385-630</f>
        <v>14755</v>
      </c>
    </row>
    <row r="308" spans="1:10" x14ac:dyDescent="0.25">
      <c r="A308" s="1502" t="s">
        <v>1777</v>
      </c>
      <c r="D308" s="1030">
        <v>2</v>
      </c>
      <c r="E308" s="415" t="s">
        <v>155</v>
      </c>
      <c r="F308" s="412"/>
      <c r="G308" s="412"/>
      <c r="H308" s="1034"/>
      <c r="I308" s="1034"/>
      <c r="J308" s="1034">
        <v>9581</v>
      </c>
    </row>
    <row r="309" spans="1:10" x14ac:dyDescent="0.25">
      <c r="A309" s="1502" t="s">
        <v>1777</v>
      </c>
      <c r="D309" s="1030">
        <v>3</v>
      </c>
      <c r="E309" s="415" t="s">
        <v>154</v>
      </c>
      <c r="F309" s="412"/>
      <c r="G309" s="412"/>
      <c r="H309" s="1034"/>
      <c r="I309" s="1034"/>
      <c r="J309" s="1034">
        <v>7411</v>
      </c>
    </row>
    <row r="310" spans="1:10" x14ac:dyDescent="0.25">
      <c r="A310" s="1502" t="s">
        <v>1777</v>
      </c>
      <c r="D310" s="1030">
        <v>4</v>
      </c>
      <c r="E310" s="415" t="s">
        <v>153</v>
      </c>
      <c r="F310" s="412"/>
      <c r="G310" s="412"/>
      <c r="H310" s="1034"/>
      <c r="I310" s="1034"/>
      <c r="J310" s="1034">
        <v>9001</v>
      </c>
    </row>
    <row r="311" spans="1:10" x14ac:dyDescent="0.25">
      <c r="A311" s="1502" t="s">
        <v>1777</v>
      </c>
      <c r="D311" s="1030">
        <v>5</v>
      </c>
      <c r="E311" s="415" t="s">
        <v>149</v>
      </c>
      <c r="F311" s="412"/>
      <c r="G311" s="412"/>
      <c r="H311" s="1034"/>
      <c r="I311" s="1034"/>
      <c r="J311" s="1034">
        <v>8199</v>
      </c>
    </row>
    <row r="312" spans="1:10" x14ac:dyDescent="0.25">
      <c r="A312" s="1502" t="s">
        <v>1777</v>
      </c>
      <c r="D312" s="1030">
        <v>6</v>
      </c>
      <c r="E312" s="415" t="s">
        <v>151</v>
      </c>
      <c r="F312" s="412"/>
      <c r="G312" s="412"/>
      <c r="H312" s="1034"/>
      <c r="I312" s="1034"/>
      <c r="J312" s="1034">
        <v>14569</v>
      </c>
    </row>
    <row r="313" spans="1:10" x14ac:dyDescent="0.25">
      <c r="A313" s="1502" t="s">
        <v>1777</v>
      </c>
      <c r="D313" s="1030">
        <v>7</v>
      </c>
      <c r="E313" s="415" t="s">
        <v>385</v>
      </c>
      <c r="F313" s="412"/>
      <c r="G313" s="412"/>
      <c r="H313" s="1034"/>
      <c r="I313" s="1034"/>
      <c r="J313" s="1034">
        <v>6887</v>
      </c>
    </row>
    <row r="314" spans="1:10" x14ac:dyDescent="0.25">
      <c r="A314" s="1502" t="s">
        <v>1777</v>
      </c>
      <c r="D314" s="1030">
        <v>8</v>
      </c>
      <c r="E314" s="415" t="s">
        <v>152</v>
      </c>
      <c r="F314" s="412"/>
      <c r="G314" s="412"/>
      <c r="H314" s="1034"/>
      <c r="I314" s="1034"/>
      <c r="J314" s="1034">
        <v>13744</v>
      </c>
    </row>
    <row r="315" spans="1:10" x14ac:dyDescent="0.25">
      <c r="A315" s="1502" t="s">
        <v>1777</v>
      </c>
      <c r="D315" s="1037" t="s">
        <v>1021</v>
      </c>
      <c r="E315" s="1036" t="s">
        <v>1036</v>
      </c>
      <c r="F315" s="1036">
        <f>SUM(F317:F324)</f>
        <v>0</v>
      </c>
      <c r="G315" s="1036">
        <f t="shared" ref="G315:I315" si="129">SUM(G317:G324)</f>
        <v>0</v>
      </c>
      <c r="H315" s="1036">
        <f t="shared" si="129"/>
        <v>0</v>
      </c>
      <c r="I315" s="1036">
        <f t="shared" si="129"/>
        <v>0</v>
      </c>
      <c r="J315" s="1036">
        <f>SUM(J316:J324)</f>
        <v>78000</v>
      </c>
    </row>
    <row r="316" spans="1:10" x14ac:dyDescent="0.25">
      <c r="D316" s="1030">
        <v>1</v>
      </c>
      <c r="E316" s="415" t="s">
        <v>1037</v>
      </c>
      <c r="F316" s="412"/>
      <c r="G316" s="412"/>
      <c r="H316" s="1034"/>
      <c r="I316" s="1034"/>
      <c r="J316" s="1034">
        <v>7800</v>
      </c>
    </row>
    <row r="317" spans="1:10" x14ac:dyDescent="0.25">
      <c r="A317" s="1502" t="s">
        <v>1777</v>
      </c>
      <c r="D317" s="1030">
        <v>2</v>
      </c>
      <c r="E317" s="415" t="s">
        <v>148</v>
      </c>
      <c r="F317" s="412"/>
      <c r="G317" s="412"/>
      <c r="H317" s="1034"/>
      <c r="I317" s="1034"/>
      <c r="J317" s="1034">
        <v>47250</v>
      </c>
    </row>
    <row r="318" spans="1:10" x14ac:dyDescent="0.25">
      <c r="A318" s="1502" t="s">
        <v>1777</v>
      </c>
      <c r="D318" s="1030">
        <v>3</v>
      </c>
      <c r="E318" s="415" t="s">
        <v>155</v>
      </c>
      <c r="F318" s="412"/>
      <c r="G318" s="412"/>
      <c r="H318" s="1034"/>
      <c r="I318" s="1034"/>
      <c r="J318" s="1034">
        <v>2700</v>
      </c>
    </row>
    <row r="319" spans="1:10" x14ac:dyDescent="0.25">
      <c r="A319" s="1502" t="s">
        <v>1777</v>
      </c>
      <c r="D319" s="1030">
        <v>4</v>
      </c>
      <c r="E319" s="415" t="s">
        <v>154</v>
      </c>
      <c r="F319" s="412"/>
      <c r="G319" s="412"/>
      <c r="H319" s="1034"/>
      <c r="I319" s="1034"/>
      <c r="J319" s="1034">
        <v>9000</v>
      </c>
    </row>
    <row r="320" spans="1:10" x14ac:dyDescent="0.25">
      <c r="A320" s="1502" t="s">
        <v>1777</v>
      </c>
      <c r="D320" s="1030">
        <v>5</v>
      </c>
      <c r="E320" s="415" t="s">
        <v>153</v>
      </c>
      <c r="F320" s="412"/>
      <c r="G320" s="412"/>
      <c r="H320" s="1034"/>
      <c r="I320" s="1034"/>
      <c r="J320" s="1034">
        <v>450</v>
      </c>
    </row>
    <row r="321" spans="1:12" x14ac:dyDescent="0.25">
      <c r="A321" s="1502" t="s">
        <v>1777</v>
      </c>
      <c r="D321" s="1030">
        <v>6</v>
      </c>
      <c r="E321" s="415" t="s">
        <v>149</v>
      </c>
      <c r="F321" s="412"/>
      <c r="G321" s="412"/>
      <c r="H321" s="1034"/>
      <c r="I321" s="1034"/>
      <c r="J321" s="1034">
        <f>1800-270</f>
        <v>1530</v>
      </c>
      <c r="L321" s="1502">
        <f>450+180+270+100</f>
        <v>1000</v>
      </c>
    </row>
    <row r="322" spans="1:12" x14ac:dyDescent="0.25">
      <c r="A322" s="1502" t="s">
        <v>1777</v>
      </c>
      <c r="D322" s="1030">
        <v>7</v>
      </c>
      <c r="E322" s="415" t="s">
        <v>151</v>
      </c>
      <c r="F322" s="412"/>
      <c r="G322" s="412"/>
      <c r="H322" s="1034"/>
      <c r="I322" s="1034"/>
      <c r="J322" s="1034">
        <v>4500</v>
      </c>
    </row>
    <row r="323" spans="1:12" x14ac:dyDescent="0.25">
      <c r="A323" s="1502" t="s">
        <v>1777</v>
      </c>
      <c r="D323" s="1030">
        <v>8</v>
      </c>
      <c r="E323" s="415" t="s">
        <v>385</v>
      </c>
      <c r="F323" s="412"/>
      <c r="G323" s="412"/>
      <c r="H323" s="1034"/>
      <c r="I323" s="1034"/>
      <c r="J323" s="1034">
        <f>2250-180</f>
        <v>2070</v>
      </c>
    </row>
    <row r="324" spans="1:12" x14ac:dyDescent="0.25">
      <c r="A324" s="1502" t="s">
        <v>1777</v>
      </c>
      <c r="D324" s="1030">
        <v>9</v>
      </c>
      <c r="E324" s="415" t="s">
        <v>152</v>
      </c>
      <c r="F324" s="412"/>
      <c r="G324" s="412"/>
      <c r="H324" s="1034"/>
      <c r="I324" s="1034"/>
      <c r="J324" s="1034">
        <f>3150-450</f>
        <v>2700</v>
      </c>
    </row>
    <row r="325" spans="1:12" s="1503" customFormat="1" x14ac:dyDescent="0.2">
      <c r="D325" s="1037" t="s">
        <v>1028</v>
      </c>
      <c r="E325" s="402" t="s">
        <v>1779</v>
      </c>
      <c r="F325" s="787">
        <f>SUM(F326:F333)</f>
        <v>0</v>
      </c>
      <c r="G325" s="787">
        <f t="shared" ref="G325:J325" si="130">SUM(G326:G333)</f>
        <v>0</v>
      </c>
      <c r="H325" s="787">
        <f t="shared" si="130"/>
        <v>0</v>
      </c>
      <c r="I325" s="787">
        <f t="shared" si="130"/>
        <v>0</v>
      </c>
      <c r="J325" s="787">
        <f t="shared" si="130"/>
        <v>50000</v>
      </c>
    </row>
    <row r="326" spans="1:12" ht="30" x14ac:dyDescent="0.25">
      <c r="A326" s="1502" t="s">
        <v>1669</v>
      </c>
      <c r="B326" s="1502" t="s">
        <v>1667</v>
      </c>
      <c r="C326" s="1502" t="s">
        <v>1780</v>
      </c>
      <c r="D326" s="1030">
        <v>1</v>
      </c>
      <c r="E326" s="1034" t="s">
        <v>1580</v>
      </c>
      <c r="F326" s="1034"/>
      <c r="G326" s="1034"/>
      <c r="H326" s="1034"/>
      <c r="I326" s="1034"/>
      <c r="J326" s="1034">
        <v>3500</v>
      </c>
    </row>
    <row r="327" spans="1:12" ht="30" x14ac:dyDescent="0.25">
      <c r="A327" s="1502" t="s">
        <v>1669</v>
      </c>
      <c r="B327" s="1502" t="s">
        <v>1703</v>
      </c>
      <c r="C327" s="1502" t="s">
        <v>1780</v>
      </c>
      <c r="D327" s="1030">
        <v>2</v>
      </c>
      <c r="E327" s="1034" t="s">
        <v>996</v>
      </c>
      <c r="F327" s="1034"/>
      <c r="G327" s="1034"/>
      <c r="H327" s="1034"/>
      <c r="I327" s="1034"/>
      <c r="J327" s="1034">
        <v>3500</v>
      </c>
    </row>
    <row r="328" spans="1:12" ht="30" x14ac:dyDescent="0.25">
      <c r="A328" s="1502" t="s">
        <v>1669</v>
      </c>
      <c r="B328" s="1502" t="s">
        <v>1689</v>
      </c>
      <c r="C328" s="1502" t="s">
        <v>1780</v>
      </c>
      <c r="D328" s="1030">
        <v>3</v>
      </c>
      <c r="E328" s="1034" t="s">
        <v>1781</v>
      </c>
      <c r="F328" s="1034"/>
      <c r="G328" s="1034"/>
      <c r="H328" s="1034"/>
      <c r="I328" s="1034"/>
      <c r="J328" s="1034">
        <v>8101</v>
      </c>
    </row>
    <row r="329" spans="1:12" ht="30" x14ac:dyDescent="0.25">
      <c r="A329" s="1502" t="s">
        <v>1669</v>
      </c>
      <c r="B329" s="1502" t="s">
        <v>1681</v>
      </c>
      <c r="C329" s="1502" t="s">
        <v>1780</v>
      </c>
      <c r="D329" s="1030">
        <v>4</v>
      </c>
      <c r="E329" s="1034" t="s">
        <v>1782</v>
      </c>
      <c r="F329" s="1034"/>
      <c r="G329" s="1034"/>
      <c r="H329" s="1034"/>
      <c r="I329" s="1034"/>
      <c r="J329" s="1034">
        <v>5000</v>
      </c>
    </row>
    <row r="330" spans="1:12" ht="30" x14ac:dyDescent="0.25">
      <c r="A330" s="1502" t="s">
        <v>1669</v>
      </c>
      <c r="B330" s="1502" t="s">
        <v>1681</v>
      </c>
      <c r="C330" s="1502" t="s">
        <v>1780</v>
      </c>
      <c r="D330" s="1030">
        <v>5</v>
      </c>
      <c r="E330" s="1034" t="s">
        <v>1783</v>
      </c>
      <c r="F330" s="1034"/>
      <c r="G330" s="1034"/>
      <c r="H330" s="1034"/>
      <c r="I330" s="1034"/>
      <c r="J330" s="1034">
        <v>8400</v>
      </c>
    </row>
    <row r="331" spans="1:12" x14ac:dyDescent="0.25">
      <c r="A331" s="1502" t="s">
        <v>1669</v>
      </c>
      <c r="B331" s="1502" t="s">
        <v>1615</v>
      </c>
      <c r="C331" s="1502" t="s">
        <v>1780</v>
      </c>
      <c r="D331" s="1030">
        <v>6</v>
      </c>
      <c r="E331" s="1034" t="s">
        <v>1784</v>
      </c>
      <c r="F331" s="1034"/>
      <c r="G331" s="1034"/>
      <c r="H331" s="1034"/>
      <c r="I331" s="1034"/>
      <c r="J331" s="1034">
        <v>5976</v>
      </c>
    </row>
    <row r="332" spans="1:12" ht="30" x14ac:dyDescent="0.25">
      <c r="A332" s="1502" t="s">
        <v>1669</v>
      </c>
      <c r="B332" s="1502" t="s">
        <v>1692</v>
      </c>
      <c r="C332" s="1502" t="s">
        <v>1780</v>
      </c>
      <c r="D332" s="1030">
        <v>7</v>
      </c>
      <c r="E332" s="1034" t="s">
        <v>1785</v>
      </c>
      <c r="F332" s="1034"/>
      <c r="G332" s="1034"/>
      <c r="H332" s="1034"/>
      <c r="I332" s="1034"/>
      <c r="J332" s="1034">
        <v>3000</v>
      </c>
    </row>
    <row r="333" spans="1:12" x14ac:dyDescent="0.25">
      <c r="A333" s="1502" t="s">
        <v>1669</v>
      </c>
      <c r="C333" s="1502" t="s">
        <v>1780</v>
      </c>
      <c r="D333" s="1030">
        <v>8</v>
      </c>
      <c r="E333" s="1034" t="s">
        <v>1786</v>
      </c>
      <c r="F333" s="1034"/>
      <c r="G333" s="1034"/>
      <c r="H333" s="1034"/>
      <c r="I333" s="1034"/>
      <c r="J333" s="1034">
        <v>12523</v>
      </c>
    </row>
    <row r="334" spans="1:12" s="1503" customFormat="1" ht="28.5" x14ac:dyDescent="0.25">
      <c r="D334" s="1505" t="s">
        <v>1033</v>
      </c>
      <c r="E334" s="1019" t="s">
        <v>953</v>
      </c>
      <c r="F334" s="1062"/>
      <c r="G334" s="1062"/>
      <c r="H334" s="1062"/>
      <c r="I334" s="1062"/>
      <c r="J334" s="1062">
        <v>14700</v>
      </c>
    </row>
    <row r="335" spans="1:12" x14ac:dyDescent="0.25">
      <c r="F335" s="1502"/>
      <c r="G335" s="1502"/>
      <c r="H335" s="1502"/>
      <c r="I335" s="1502"/>
      <c r="J335" s="1502"/>
    </row>
    <row r="336" spans="1:12" x14ac:dyDescent="0.25">
      <c r="F336" s="1502"/>
      <c r="G336" s="1502"/>
      <c r="H336" s="1502"/>
      <c r="I336" s="1502"/>
      <c r="J336" s="1502"/>
    </row>
    <row r="337" spans="4:4" s="1502" customFormat="1" x14ac:dyDescent="0.25">
      <c r="D337" s="1889"/>
    </row>
    <row r="338" spans="4:4" s="1502" customFormat="1" x14ac:dyDescent="0.25">
      <c r="D338" s="1889"/>
    </row>
    <row r="339" spans="4:4" s="1502" customFormat="1" x14ac:dyDescent="0.25">
      <c r="D339" s="1889"/>
    </row>
    <row r="340" spans="4:4" s="1502" customFormat="1" x14ac:dyDescent="0.25">
      <c r="D340" s="1889"/>
    </row>
    <row r="341" spans="4:4" s="1502" customFormat="1" x14ac:dyDescent="0.25"/>
    <row r="342" spans="4:4" s="1502" customFormat="1" x14ac:dyDescent="0.25"/>
    <row r="348" spans="4:4" s="1502" customFormat="1" x14ac:dyDescent="0.25"/>
    <row r="349" spans="4:4" s="1502" customFormat="1" x14ac:dyDescent="0.25"/>
  </sheetData>
  <mergeCells count="9">
    <mergeCell ref="K2:P2"/>
    <mergeCell ref="D1:J1"/>
    <mergeCell ref="D3:J3"/>
    <mergeCell ref="D4:D5"/>
    <mergeCell ref="E4:E5"/>
    <mergeCell ref="F4:G4"/>
    <mergeCell ref="H4:I4"/>
    <mergeCell ref="J4:J5"/>
    <mergeCell ref="D2:J2"/>
  </mergeCells>
  <pageMargins left="0.7" right="0.27" top="0.63" bottom="0.75" header="0.3" footer="0.3"/>
  <pageSetup paperSize="9" firstPageNumber="68" orientation="portrait" useFirstPageNumber="1" r:id="rId1"/>
  <headerFooter>
    <oddHeader>&amp;RBiểu mẫu số 46</oddHeader>
    <oddFooter>&amp;C&amp;P</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workbookViewId="0">
      <selection activeCell="N19" sqref="N19"/>
    </sheetView>
  </sheetViews>
  <sheetFormatPr defaultRowHeight="15.75" x14ac:dyDescent="0.25"/>
  <cols>
    <col min="1" max="1" width="5" customWidth="1"/>
    <col min="2" max="2" width="15.375" customWidth="1"/>
    <col min="3" max="3" width="9.375" customWidth="1"/>
    <col min="5" max="5" width="10.375" customWidth="1"/>
    <col min="12" max="12" width="9.375" customWidth="1"/>
  </cols>
  <sheetData>
    <row r="1" spans="1:12" x14ac:dyDescent="0.25">
      <c r="L1" s="65" t="s">
        <v>335</v>
      </c>
    </row>
    <row r="2" spans="1:12" ht="48" customHeight="1" x14ac:dyDescent="0.25">
      <c r="A2" s="2023" t="s">
        <v>406</v>
      </c>
      <c r="B2" s="2023"/>
      <c r="C2" s="2023"/>
      <c r="D2" s="2023"/>
      <c r="E2" s="2023"/>
      <c r="F2" s="2023"/>
      <c r="G2" s="2023"/>
      <c r="H2" s="2023"/>
      <c r="I2" s="2023"/>
      <c r="J2" s="2023"/>
      <c r="K2" s="2023"/>
      <c r="L2" s="2023"/>
    </row>
    <row r="3" spans="1:12" x14ac:dyDescent="0.25">
      <c r="A3" s="2122" t="s">
        <v>32</v>
      </c>
      <c r="B3" s="2122"/>
      <c r="C3" s="2122"/>
      <c r="D3" s="2122"/>
      <c r="E3" s="2122"/>
      <c r="F3" s="2122"/>
      <c r="G3" s="2122"/>
      <c r="H3" s="2122"/>
      <c r="I3" s="2122"/>
      <c r="J3" s="2122"/>
      <c r="K3" s="2122"/>
      <c r="L3" s="2122"/>
    </row>
    <row r="4" spans="1:12" x14ac:dyDescent="0.25">
      <c r="L4" s="6" t="s">
        <v>6</v>
      </c>
    </row>
    <row r="5" spans="1:12" x14ac:dyDescent="0.25">
      <c r="A5" s="2022" t="s">
        <v>0</v>
      </c>
      <c r="B5" s="2022" t="s">
        <v>336</v>
      </c>
      <c r="C5" s="2022" t="s">
        <v>337</v>
      </c>
      <c r="D5" s="2022" t="s">
        <v>407</v>
      </c>
      <c r="E5" s="2022"/>
      <c r="F5" s="2022"/>
      <c r="G5" s="2022"/>
      <c r="H5" s="2022" t="s">
        <v>31</v>
      </c>
      <c r="I5" s="2022"/>
      <c r="J5" s="2022"/>
      <c r="K5" s="2022"/>
      <c r="L5" s="2022" t="s">
        <v>339</v>
      </c>
    </row>
    <row r="6" spans="1:12" x14ac:dyDescent="0.25">
      <c r="A6" s="2022"/>
      <c r="B6" s="2022"/>
      <c r="C6" s="2022"/>
      <c r="D6" s="2022" t="s">
        <v>340</v>
      </c>
      <c r="E6" s="2022"/>
      <c r="F6" s="2022" t="s">
        <v>341</v>
      </c>
      <c r="G6" s="2022" t="s">
        <v>342</v>
      </c>
      <c r="H6" s="2022" t="s">
        <v>340</v>
      </c>
      <c r="I6" s="2022"/>
      <c r="J6" s="2022" t="s">
        <v>341</v>
      </c>
      <c r="K6" s="2022" t="s">
        <v>342</v>
      </c>
      <c r="L6" s="2022"/>
    </row>
    <row r="7" spans="1:12" ht="63" x14ac:dyDescent="0.25">
      <c r="A7" s="2022"/>
      <c r="B7" s="2022"/>
      <c r="C7" s="2022"/>
      <c r="D7" s="55" t="s">
        <v>61</v>
      </c>
      <c r="E7" s="55" t="s">
        <v>343</v>
      </c>
      <c r="F7" s="2022"/>
      <c r="G7" s="2022"/>
      <c r="H7" s="55" t="s">
        <v>61</v>
      </c>
      <c r="I7" s="55" t="s">
        <v>343</v>
      </c>
      <c r="J7" s="2022"/>
      <c r="K7" s="2022"/>
      <c r="L7" s="2022"/>
    </row>
    <row r="8" spans="1:12" s="67" customFormat="1" ht="12.75" x14ac:dyDescent="0.2">
      <c r="A8" s="66" t="s">
        <v>2</v>
      </c>
      <c r="B8" s="66" t="s">
        <v>3</v>
      </c>
      <c r="C8" s="66">
        <v>1</v>
      </c>
      <c r="D8" s="66">
        <v>2</v>
      </c>
      <c r="E8" s="66">
        <v>3</v>
      </c>
      <c r="F8" s="66">
        <v>4</v>
      </c>
      <c r="G8" s="66" t="s">
        <v>344</v>
      </c>
      <c r="H8" s="66">
        <v>6</v>
      </c>
      <c r="I8" s="66">
        <v>7</v>
      </c>
      <c r="J8" s="66">
        <v>8</v>
      </c>
      <c r="K8" s="66" t="s">
        <v>345</v>
      </c>
      <c r="L8" s="66" t="s">
        <v>346</v>
      </c>
    </row>
    <row r="9" spans="1:12" x14ac:dyDescent="0.25">
      <c r="A9" s="56">
        <v>1</v>
      </c>
      <c r="B9" s="63" t="s">
        <v>347</v>
      </c>
      <c r="C9" s="63"/>
      <c r="D9" s="63"/>
      <c r="E9" s="63"/>
      <c r="F9" s="63"/>
      <c r="G9" s="63"/>
      <c r="H9" s="63"/>
      <c r="I9" s="63"/>
      <c r="J9" s="63"/>
      <c r="K9" s="63"/>
      <c r="L9" s="63"/>
    </row>
    <row r="10" spans="1:12" x14ac:dyDescent="0.25">
      <c r="A10" s="56">
        <v>2</v>
      </c>
      <c r="B10" s="63" t="s">
        <v>348</v>
      </c>
      <c r="C10" s="63"/>
      <c r="D10" s="63"/>
      <c r="E10" s="63"/>
      <c r="F10" s="63"/>
      <c r="G10" s="63"/>
      <c r="H10" s="63"/>
      <c r="I10" s="63"/>
      <c r="J10" s="63"/>
      <c r="K10" s="63"/>
      <c r="L10" s="63"/>
    </row>
    <row r="11" spans="1:12" x14ac:dyDescent="0.25">
      <c r="A11" s="56">
        <v>3</v>
      </c>
      <c r="B11" s="63" t="s">
        <v>349</v>
      </c>
      <c r="C11" s="63"/>
      <c r="D11" s="63"/>
      <c r="E11" s="63"/>
      <c r="F11" s="63"/>
      <c r="G11" s="63"/>
      <c r="H11" s="63"/>
      <c r="I11" s="63"/>
      <c r="J11" s="63"/>
      <c r="K11" s="63"/>
      <c r="L11" s="63"/>
    </row>
    <row r="12" spans="1:12" x14ac:dyDescent="0.25">
      <c r="A12" s="56">
        <v>4</v>
      </c>
      <c r="B12" s="63" t="s">
        <v>320</v>
      </c>
      <c r="C12" s="63"/>
      <c r="D12" s="63"/>
      <c r="E12" s="63"/>
      <c r="F12" s="63"/>
      <c r="G12" s="63"/>
      <c r="H12" s="63"/>
      <c r="I12" s="63"/>
      <c r="J12" s="63"/>
      <c r="K12" s="63"/>
      <c r="L12" s="63"/>
    </row>
    <row r="13" spans="1:12" x14ac:dyDescent="0.25">
      <c r="A13" s="56">
        <v>5</v>
      </c>
      <c r="B13" s="68"/>
      <c r="C13" s="63"/>
      <c r="D13" s="63"/>
      <c r="E13" s="63"/>
      <c r="F13" s="63"/>
      <c r="G13" s="63"/>
      <c r="H13" s="63"/>
      <c r="I13" s="63"/>
      <c r="J13" s="63"/>
      <c r="K13" s="63"/>
      <c r="L13" s="63"/>
    </row>
    <row r="14" spans="1:12" x14ac:dyDescent="0.25">
      <c r="A14" s="56">
        <v>6</v>
      </c>
      <c r="B14" s="68"/>
      <c r="C14" s="63"/>
      <c r="D14" s="63"/>
      <c r="E14" s="63"/>
      <c r="F14" s="63"/>
      <c r="G14" s="63"/>
      <c r="H14" s="63"/>
      <c r="I14" s="63"/>
      <c r="J14" s="63"/>
      <c r="K14" s="63"/>
      <c r="L14" s="63"/>
    </row>
    <row r="15" spans="1:12" x14ac:dyDescent="0.25">
      <c r="A15" s="56">
        <v>7</v>
      </c>
      <c r="B15" s="68"/>
      <c r="C15" s="63"/>
      <c r="D15" s="63"/>
      <c r="E15" s="63"/>
      <c r="F15" s="63"/>
      <c r="G15" s="63"/>
      <c r="H15" s="63"/>
      <c r="I15" s="63"/>
      <c r="J15" s="63"/>
      <c r="K15" s="63"/>
      <c r="L15" s="63"/>
    </row>
    <row r="16" spans="1:12" x14ac:dyDescent="0.25">
      <c r="A16" s="56">
        <v>8</v>
      </c>
      <c r="B16" s="68"/>
      <c r="C16" s="63"/>
      <c r="D16" s="63"/>
      <c r="E16" s="63"/>
      <c r="F16" s="63"/>
      <c r="G16" s="63"/>
      <c r="H16" s="63"/>
      <c r="I16" s="63"/>
      <c r="J16" s="63"/>
      <c r="K16" s="63"/>
      <c r="L16" s="63"/>
    </row>
    <row r="17" spans="1:12" x14ac:dyDescent="0.25">
      <c r="A17" s="56">
        <v>9</v>
      </c>
      <c r="B17" s="68"/>
      <c r="C17" s="63"/>
      <c r="D17" s="63"/>
      <c r="E17" s="63"/>
      <c r="F17" s="63"/>
      <c r="G17" s="63"/>
      <c r="H17" s="63"/>
      <c r="I17" s="63"/>
      <c r="J17" s="63"/>
      <c r="K17" s="63"/>
      <c r="L17" s="63"/>
    </row>
    <row r="18" spans="1:12" x14ac:dyDescent="0.25">
      <c r="A18" s="56">
        <v>10</v>
      </c>
      <c r="B18" s="68"/>
      <c r="C18" s="63"/>
      <c r="D18" s="63"/>
      <c r="E18" s="63"/>
      <c r="F18" s="63"/>
      <c r="G18" s="63"/>
      <c r="H18" s="63"/>
      <c r="I18" s="63"/>
      <c r="J18" s="63"/>
      <c r="K18" s="63"/>
      <c r="L18" s="63"/>
    </row>
    <row r="19" spans="1:12" x14ac:dyDescent="0.25">
      <c r="A19" s="56">
        <v>11</v>
      </c>
      <c r="B19" s="68"/>
      <c r="C19" s="63"/>
      <c r="D19" s="63"/>
      <c r="E19" s="63"/>
      <c r="F19" s="63"/>
      <c r="G19" s="63"/>
      <c r="H19" s="63"/>
      <c r="I19" s="63"/>
      <c r="J19" s="63"/>
      <c r="K19" s="63"/>
      <c r="L19" s="63"/>
    </row>
    <row r="20" spans="1:12" x14ac:dyDescent="0.25">
      <c r="A20" s="56">
        <v>12</v>
      </c>
      <c r="B20" s="68"/>
      <c r="C20" s="63"/>
      <c r="D20" s="63"/>
      <c r="E20" s="63"/>
      <c r="F20" s="63"/>
      <c r="G20" s="63"/>
      <c r="H20" s="63"/>
      <c r="I20" s="63"/>
      <c r="J20" s="63"/>
      <c r="K20" s="63"/>
      <c r="L20" s="63"/>
    </row>
    <row r="21" spans="1:12" x14ac:dyDescent="0.25">
      <c r="A21" s="56">
        <v>13</v>
      </c>
      <c r="B21" s="68"/>
      <c r="C21" s="63"/>
      <c r="D21" s="63"/>
      <c r="E21" s="63"/>
      <c r="F21" s="63"/>
      <c r="G21" s="63"/>
      <c r="H21" s="63"/>
      <c r="I21" s="63"/>
      <c r="J21" s="63"/>
      <c r="K21" s="63"/>
      <c r="L21" s="63"/>
    </row>
    <row r="22" spans="1:12" x14ac:dyDescent="0.25">
      <c r="A22" s="56">
        <v>14</v>
      </c>
      <c r="B22" s="68"/>
      <c r="C22" s="63"/>
      <c r="D22" s="63"/>
      <c r="E22" s="63"/>
      <c r="F22" s="63"/>
      <c r="G22" s="63"/>
      <c r="H22" s="63"/>
      <c r="I22" s="63"/>
      <c r="J22" s="63"/>
      <c r="K22" s="63"/>
      <c r="L22" s="63"/>
    </row>
    <row r="23" spans="1:12" x14ac:dyDescent="0.25">
      <c r="A23" s="56">
        <v>15</v>
      </c>
      <c r="B23" s="68"/>
      <c r="C23" s="63"/>
      <c r="D23" s="63"/>
      <c r="E23" s="63"/>
      <c r="F23" s="63"/>
      <c r="G23" s="63"/>
      <c r="H23" s="63"/>
      <c r="I23" s="63"/>
      <c r="J23" s="63"/>
      <c r="K23" s="63"/>
      <c r="L23" s="63"/>
    </row>
  </sheetData>
  <mergeCells count="14">
    <mergeCell ref="G6:G7"/>
    <mergeCell ref="H6:I6"/>
    <mergeCell ref="J6:J7"/>
    <mergeCell ref="K6:K7"/>
    <mergeCell ref="A2:L2"/>
    <mergeCell ref="A3:L3"/>
    <mergeCell ref="A5:A7"/>
    <mergeCell ref="B5:B7"/>
    <mergeCell ref="C5:C7"/>
    <mergeCell ref="D5:G5"/>
    <mergeCell ref="H5:K5"/>
    <mergeCell ref="L5:L7"/>
    <mergeCell ref="D6:E6"/>
    <mergeCell ref="F6:F7"/>
  </mergeCells>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388"/>
  <sheetViews>
    <sheetView workbookViewId="0">
      <pane xSplit="2" ySplit="3" topLeftCell="D231" activePane="bottomRight" state="frozen"/>
      <selection pane="topRight" activeCell="C1" sqref="C1"/>
      <selection pane="bottomLeft" activeCell="A4" sqref="A4"/>
      <selection pane="bottomRight" activeCell="N276" sqref="N276"/>
    </sheetView>
  </sheetViews>
  <sheetFormatPr defaultColWidth="21.5" defaultRowHeight="15" x14ac:dyDescent="0.25"/>
  <cols>
    <col min="1" max="1" width="6.375" style="826" customWidth="1"/>
    <col min="2" max="2" width="35.875" style="791" customWidth="1"/>
    <col min="3" max="3" width="8.625" style="791" customWidth="1"/>
    <col min="4" max="4" width="9.5" style="166" customWidth="1"/>
    <col min="5" max="5" width="9.75" style="166" customWidth="1"/>
    <col min="6" max="6" width="8.125" style="166" customWidth="1"/>
    <col min="7" max="7" width="8.5" style="166" customWidth="1"/>
    <col min="8" max="8" width="8.75" style="167" customWidth="1"/>
    <col min="9" max="9" width="10" style="791" customWidth="1"/>
    <col min="10" max="10" width="9" style="791" customWidth="1"/>
    <col min="11" max="11" width="10.125" style="791" customWidth="1"/>
    <col min="12" max="12" width="10.875" style="791" customWidth="1"/>
    <col min="13" max="13" width="7.75" style="791" customWidth="1"/>
    <col min="14" max="14" width="5.375" style="791" customWidth="1"/>
    <col min="15" max="15" width="6.5" style="791" customWidth="1"/>
    <col min="16" max="16" width="9.625" style="791" customWidth="1"/>
    <col min="17" max="17" width="10.375" style="791" customWidth="1"/>
    <col min="18" max="18" width="9.5" style="791" customWidth="1"/>
    <col min="19" max="19" width="9.125" style="791" customWidth="1"/>
    <col min="20" max="259" width="21.5" style="791"/>
    <col min="260" max="260" width="6.375" style="791" customWidth="1"/>
    <col min="261" max="261" width="35.875" style="791" customWidth="1"/>
    <col min="262" max="262" width="8.625" style="791" customWidth="1"/>
    <col min="263" max="263" width="9.5" style="791" customWidth="1"/>
    <col min="264" max="264" width="7.875" style="791" customWidth="1"/>
    <col min="265" max="265" width="8.125" style="791" customWidth="1"/>
    <col min="266" max="266" width="8.5" style="791" customWidth="1"/>
    <col min="267" max="267" width="8.75" style="791" customWidth="1"/>
    <col min="268" max="268" width="10" style="791" customWidth="1"/>
    <col min="269" max="269" width="9" style="791" customWidth="1"/>
    <col min="270" max="270" width="10.125" style="791" customWidth="1"/>
    <col min="271" max="271" width="10.875" style="791" customWidth="1"/>
    <col min="272" max="272" width="9.625" style="791" customWidth="1"/>
    <col min="273" max="273" width="10.375" style="791" customWidth="1"/>
    <col min="274" max="274" width="9.5" style="791" customWidth="1"/>
    <col min="275" max="275" width="9.125" style="791" customWidth="1"/>
    <col min="276" max="515" width="21.5" style="791"/>
    <col min="516" max="516" width="6.375" style="791" customWidth="1"/>
    <col min="517" max="517" width="35.875" style="791" customWidth="1"/>
    <col min="518" max="518" width="8.625" style="791" customWidth="1"/>
    <col min="519" max="519" width="9.5" style="791" customWidth="1"/>
    <col min="520" max="520" width="7.875" style="791" customWidth="1"/>
    <col min="521" max="521" width="8.125" style="791" customWidth="1"/>
    <col min="522" max="522" width="8.5" style="791" customWidth="1"/>
    <col min="523" max="523" width="8.75" style="791" customWidth="1"/>
    <col min="524" max="524" width="10" style="791" customWidth="1"/>
    <col min="525" max="525" width="9" style="791" customWidth="1"/>
    <col min="526" max="526" width="10.125" style="791" customWidth="1"/>
    <col min="527" max="527" width="10.875" style="791" customWidth="1"/>
    <col min="528" max="528" width="9.625" style="791" customWidth="1"/>
    <col min="529" max="529" width="10.375" style="791" customWidth="1"/>
    <col min="530" max="530" width="9.5" style="791" customWidth="1"/>
    <col min="531" max="531" width="9.125" style="791" customWidth="1"/>
    <col min="532" max="771" width="21.5" style="791"/>
    <col min="772" max="772" width="6.375" style="791" customWidth="1"/>
    <col min="773" max="773" width="35.875" style="791" customWidth="1"/>
    <col min="774" max="774" width="8.625" style="791" customWidth="1"/>
    <col min="775" max="775" width="9.5" style="791" customWidth="1"/>
    <col min="776" max="776" width="7.875" style="791" customWidth="1"/>
    <col min="777" max="777" width="8.125" style="791" customWidth="1"/>
    <col min="778" max="778" width="8.5" style="791" customWidth="1"/>
    <col min="779" max="779" width="8.75" style="791" customWidth="1"/>
    <col min="780" max="780" width="10" style="791" customWidth="1"/>
    <col min="781" max="781" width="9" style="791" customWidth="1"/>
    <col min="782" max="782" width="10.125" style="791" customWidth="1"/>
    <col min="783" max="783" width="10.875" style="791" customWidth="1"/>
    <col min="784" max="784" width="9.625" style="791" customWidth="1"/>
    <col min="785" max="785" width="10.375" style="791" customWidth="1"/>
    <col min="786" max="786" width="9.5" style="791" customWidth="1"/>
    <col min="787" max="787" width="9.125" style="791" customWidth="1"/>
    <col min="788" max="1027" width="21.5" style="791"/>
    <col min="1028" max="1028" width="6.375" style="791" customWidth="1"/>
    <col min="1029" max="1029" width="35.875" style="791" customWidth="1"/>
    <col min="1030" max="1030" width="8.625" style="791" customWidth="1"/>
    <col min="1031" max="1031" width="9.5" style="791" customWidth="1"/>
    <col min="1032" max="1032" width="7.875" style="791" customWidth="1"/>
    <col min="1033" max="1033" width="8.125" style="791" customWidth="1"/>
    <col min="1034" max="1034" width="8.5" style="791" customWidth="1"/>
    <col min="1035" max="1035" width="8.75" style="791" customWidth="1"/>
    <col min="1036" max="1036" width="10" style="791" customWidth="1"/>
    <col min="1037" max="1037" width="9" style="791" customWidth="1"/>
    <col min="1038" max="1038" width="10.125" style="791" customWidth="1"/>
    <col min="1039" max="1039" width="10.875" style="791" customWidth="1"/>
    <col min="1040" max="1040" width="9.625" style="791" customWidth="1"/>
    <col min="1041" max="1041" width="10.375" style="791" customWidth="1"/>
    <col min="1042" max="1042" width="9.5" style="791" customWidth="1"/>
    <col min="1043" max="1043" width="9.125" style="791" customWidth="1"/>
    <col min="1044" max="1283" width="21.5" style="791"/>
    <col min="1284" max="1284" width="6.375" style="791" customWidth="1"/>
    <col min="1285" max="1285" width="35.875" style="791" customWidth="1"/>
    <col min="1286" max="1286" width="8.625" style="791" customWidth="1"/>
    <col min="1287" max="1287" width="9.5" style="791" customWidth="1"/>
    <col min="1288" max="1288" width="7.875" style="791" customWidth="1"/>
    <col min="1289" max="1289" width="8.125" style="791" customWidth="1"/>
    <col min="1290" max="1290" width="8.5" style="791" customWidth="1"/>
    <col min="1291" max="1291" width="8.75" style="791" customWidth="1"/>
    <col min="1292" max="1292" width="10" style="791" customWidth="1"/>
    <col min="1293" max="1293" width="9" style="791" customWidth="1"/>
    <col min="1294" max="1294" width="10.125" style="791" customWidth="1"/>
    <col min="1295" max="1295" width="10.875" style="791" customWidth="1"/>
    <col min="1296" max="1296" width="9.625" style="791" customWidth="1"/>
    <col min="1297" max="1297" width="10.375" style="791" customWidth="1"/>
    <col min="1298" max="1298" width="9.5" style="791" customWidth="1"/>
    <col min="1299" max="1299" width="9.125" style="791" customWidth="1"/>
    <col min="1300" max="1539" width="21.5" style="791"/>
    <col min="1540" max="1540" width="6.375" style="791" customWidth="1"/>
    <col min="1541" max="1541" width="35.875" style="791" customWidth="1"/>
    <col min="1542" max="1542" width="8.625" style="791" customWidth="1"/>
    <col min="1543" max="1543" width="9.5" style="791" customWidth="1"/>
    <col min="1544" max="1544" width="7.875" style="791" customWidth="1"/>
    <col min="1545" max="1545" width="8.125" style="791" customWidth="1"/>
    <col min="1546" max="1546" width="8.5" style="791" customWidth="1"/>
    <col min="1547" max="1547" width="8.75" style="791" customWidth="1"/>
    <col min="1548" max="1548" width="10" style="791" customWidth="1"/>
    <col min="1549" max="1549" width="9" style="791" customWidth="1"/>
    <col min="1550" max="1550" width="10.125" style="791" customWidth="1"/>
    <col min="1551" max="1551" width="10.875" style="791" customWidth="1"/>
    <col min="1552" max="1552" width="9.625" style="791" customWidth="1"/>
    <col min="1553" max="1553" width="10.375" style="791" customWidth="1"/>
    <col min="1554" max="1554" width="9.5" style="791" customWidth="1"/>
    <col min="1555" max="1555" width="9.125" style="791" customWidth="1"/>
    <col min="1556" max="1795" width="21.5" style="791"/>
    <col min="1796" max="1796" width="6.375" style="791" customWidth="1"/>
    <col min="1797" max="1797" width="35.875" style="791" customWidth="1"/>
    <col min="1798" max="1798" width="8.625" style="791" customWidth="1"/>
    <col min="1799" max="1799" width="9.5" style="791" customWidth="1"/>
    <col min="1800" max="1800" width="7.875" style="791" customWidth="1"/>
    <col min="1801" max="1801" width="8.125" style="791" customWidth="1"/>
    <col min="1802" max="1802" width="8.5" style="791" customWidth="1"/>
    <col min="1803" max="1803" width="8.75" style="791" customWidth="1"/>
    <col min="1804" max="1804" width="10" style="791" customWidth="1"/>
    <col min="1805" max="1805" width="9" style="791" customWidth="1"/>
    <col min="1806" max="1806" width="10.125" style="791" customWidth="1"/>
    <col min="1807" max="1807" width="10.875" style="791" customWidth="1"/>
    <col min="1808" max="1808" width="9.625" style="791" customWidth="1"/>
    <col min="1809" max="1809" width="10.375" style="791" customWidth="1"/>
    <col min="1810" max="1810" width="9.5" style="791" customWidth="1"/>
    <col min="1811" max="1811" width="9.125" style="791" customWidth="1"/>
    <col min="1812" max="2051" width="21.5" style="791"/>
    <col min="2052" max="2052" width="6.375" style="791" customWidth="1"/>
    <col min="2053" max="2053" width="35.875" style="791" customWidth="1"/>
    <col min="2054" max="2054" width="8.625" style="791" customWidth="1"/>
    <col min="2055" max="2055" width="9.5" style="791" customWidth="1"/>
    <col min="2056" max="2056" width="7.875" style="791" customWidth="1"/>
    <col min="2057" max="2057" width="8.125" style="791" customWidth="1"/>
    <col min="2058" max="2058" width="8.5" style="791" customWidth="1"/>
    <col min="2059" max="2059" width="8.75" style="791" customWidth="1"/>
    <col min="2060" max="2060" width="10" style="791" customWidth="1"/>
    <col min="2061" max="2061" width="9" style="791" customWidth="1"/>
    <col min="2062" max="2062" width="10.125" style="791" customWidth="1"/>
    <col min="2063" max="2063" width="10.875" style="791" customWidth="1"/>
    <col min="2064" max="2064" width="9.625" style="791" customWidth="1"/>
    <col min="2065" max="2065" width="10.375" style="791" customWidth="1"/>
    <col min="2066" max="2066" width="9.5" style="791" customWidth="1"/>
    <col min="2067" max="2067" width="9.125" style="791" customWidth="1"/>
    <col min="2068" max="2307" width="21.5" style="791"/>
    <col min="2308" max="2308" width="6.375" style="791" customWidth="1"/>
    <col min="2309" max="2309" width="35.875" style="791" customWidth="1"/>
    <col min="2310" max="2310" width="8.625" style="791" customWidth="1"/>
    <col min="2311" max="2311" width="9.5" style="791" customWidth="1"/>
    <col min="2312" max="2312" width="7.875" style="791" customWidth="1"/>
    <col min="2313" max="2313" width="8.125" style="791" customWidth="1"/>
    <col min="2314" max="2314" width="8.5" style="791" customWidth="1"/>
    <col min="2315" max="2315" width="8.75" style="791" customWidth="1"/>
    <col min="2316" max="2316" width="10" style="791" customWidth="1"/>
    <col min="2317" max="2317" width="9" style="791" customWidth="1"/>
    <col min="2318" max="2318" width="10.125" style="791" customWidth="1"/>
    <col min="2319" max="2319" width="10.875" style="791" customWidth="1"/>
    <col min="2320" max="2320" width="9.625" style="791" customWidth="1"/>
    <col min="2321" max="2321" width="10.375" style="791" customWidth="1"/>
    <col min="2322" max="2322" width="9.5" style="791" customWidth="1"/>
    <col min="2323" max="2323" width="9.125" style="791" customWidth="1"/>
    <col min="2324" max="2563" width="21.5" style="791"/>
    <col min="2564" max="2564" width="6.375" style="791" customWidth="1"/>
    <col min="2565" max="2565" width="35.875" style="791" customWidth="1"/>
    <col min="2566" max="2566" width="8.625" style="791" customWidth="1"/>
    <col min="2567" max="2567" width="9.5" style="791" customWidth="1"/>
    <col min="2568" max="2568" width="7.875" style="791" customWidth="1"/>
    <col min="2569" max="2569" width="8.125" style="791" customWidth="1"/>
    <col min="2570" max="2570" width="8.5" style="791" customWidth="1"/>
    <col min="2571" max="2571" width="8.75" style="791" customWidth="1"/>
    <col min="2572" max="2572" width="10" style="791" customWidth="1"/>
    <col min="2573" max="2573" width="9" style="791" customWidth="1"/>
    <col min="2574" max="2574" width="10.125" style="791" customWidth="1"/>
    <col min="2575" max="2575" width="10.875" style="791" customWidth="1"/>
    <col min="2576" max="2576" width="9.625" style="791" customWidth="1"/>
    <col min="2577" max="2577" width="10.375" style="791" customWidth="1"/>
    <col min="2578" max="2578" width="9.5" style="791" customWidth="1"/>
    <col min="2579" max="2579" width="9.125" style="791" customWidth="1"/>
    <col min="2580" max="2819" width="21.5" style="791"/>
    <col min="2820" max="2820" width="6.375" style="791" customWidth="1"/>
    <col min="2821" max="2821" width="35.875" style="791" customWidth="1"/>
    <col min="2822" max="2822" width="8.625" style="791" customWidth="1"/>
    <col min="2823" max="2823" width="9.5" style="791" customWidth="1"/>
    <col min="2824" max="2824" width="7.875" style="791" customWidth="1"/>
    <col min="2825" max="2825" width="8.125" style="791" customWidth="1"/>
    <col min="2826" max="2826" width="8.5" style="791" customWidth="1"/>
    <col min="2827" max="2827" width="8.75" style="791" customWidth="1"/>
    <col min="2828" max="2828" width="10" style="791" customWidth="1"/>
    <col min="2829" max="2829" width="9" style="791" customWidth="1"/>
    <col min="2830" max="2830" width="10.125" style="791" customWidth="1"/>
    <col min="2831" max="2831" width="10.875" style="791" customWidth="1"/>
    <col min="2832" max="2832" width="9.625" style="791" customWidth="1"/>
    <col min="2833" max="2833" width="10.375" style="791" customWidth="1"/>
    <col min="2834" max="2834" width="9.5" style="791" customWidth="1"/>
    <col min="2835" max="2835" width="9.125" style="791" customWidth="1"/>
    <col min="2836" max="3075" width="21.5" style="791"/>
    <col min="3076" max="3076" width="6.375" style="791" customWidth="1"/>
    <col min="3077" max="3077" width="35.875" style="791" customWidth="1"/>
    <col min="3078" max="3078" width="8.625" style="791" customWidth="1"/>
    <col min="3079" max="3079" width="9.5" style="791" customWidth="1"/>
    <col min="3080" max="3080" width="7.875" style="791" customWidth="1"/>
    <col min="3081" max="3081" width="8.125" style="791" customWidth="1"/>
    <col min="3082" max="3082" width="8.5" style="791" customWidth="1"/>
    <col min="3083" max="3083" width="8.75" style="791" customWidth="1"/>
    <col min="3084" max="3084" width="10" style="791" customWidth="1"/>
    <col min="3085" max="3085" width="9" style="791" customWidth="1"/>
    <col min="3086" max="3086" width="10.125" style="791" customWidth="1"/>
    <col min="3087" max="3087" width="10.875" style="791" customWidth="1"/>
    <col min="3088" max="3088" width="9.625" style="791" customWidth="1"/>
    <col min="3089" max="3089" width="10.375" style="791" customWidth="1"/>
    <col min="3090" max="3090" width="9.5" style="791" customWidth="1"/>
    <col min="3091" max="3091" width="9.125" style="791" customWidth="1"/>
    <col min="3092" max="3331" width="21.5" style="791"/>
    <col min="3332" max="3332" width="6.375" style="791" customWidth="1"/>
    <col min="3333" max="3333" width="35.875" style="791" customWidth="1"/>
    <col min="3334" max="3334" width="8.625" style="791" customWidth="1"/>
    <col min="3335" max="3335" width="9.5" style="791" customWidth="1"/>
    <col min="3336" max="3336" width="7.875" style="791" customWidth="1"/>
    <col min="3337" max="3337" width="8.125" style="791" customWidth="1"/>
    <col min="3338" max="3338" width="8.5" style="791" customWidth="1"/>
    <col min="3339" max="3339" width="8.75" style="791" customWidth="1"/>
    <col min="3340" max="3340" width="10" style="791" customWidth="1"/>
    <col min="3341" max="3341" width="9" style="791" customWidth="1"/>
    <col min="3342" max="3342" width="10.125" style="791" customWidth="1"/>
    <col min="3343" max="3343" width="10.875" style="791" customWidth="1"/>
    <col min="3344" max="3344" width="9.625" style="791" customWidth="1"/>
    <col min="3345" max="3345" width="10.375" style="791" customWidth="1"/>
    <col min="3346" max="3346" width="9.5" style="791" customWidth="1"/>
    <col min="3347" max="3347" width="9.125" style="791" customWidth="1"/>
    <col min="3348" max="3587" width="21.5" style="791"/>
    <col min="3588" max="3588" width="6.375" style="791" customWidth="1"/>
    <col min="3589" max="3589" width="35.875" style="791" customWidth="1"/>
    <col min="3590" max="3590" width="8.625" style="791" customWidth="1"/>
    <col min="3591" max="3591" width="9.5" style="791" customWidth="1"/>
    <col min="3592" max="3592" width="7.875" style="791" customWidth="1"/>
    <col min="3593" max="3593" width="8.125" style="791" customWidth="1"/>
    <col min="3594" max="3594" width="8.5" style="791" customWidth="1"/>
    <col min="3595" max="3595" width="8.75" style="791" customWidth="1"/>
    <col min="3596" max="3596" width="10" style="791" customWidth="1"/>
    <col min="3597" max="3597" width="9" style="791" customWidth="1"/>
    <col min="3598" max="3598" width="10.125" style="791" customWidth="1"/>
    <col min="3599" max="3599" width="10.875" style="791" customWidth="1"/>
    <col min="3600" max="3600" width="9.625" style="791" customWidth="1"/>
    <col min="3601" max="3601" width="10.375" style="791" customWidth="1"/>
    <col min="3602" max="3602" width="9.5" style="791" customWidth="1"/>
    <col min="3603" max="3603" width="9.125" style="791" customWidth="1"/>
    <col min="3604" max="3843" width="21.5" style="791"/>
    <col min="3844" max="3844" width="6.375" style="791" customWidth="1"/>
    <col min="3845" max="3845" width="35.875" style="791" customWidth="1"/>
    <col min="3846" max="3846" width="8.625" style="791" customWidth="1"/>
    <col min="3847" max="3847" width="9.5" style="791" customWidth="1"/>
    <col min="3848" max="3848" width="7.875" style="791" customWidth="1"/>
    <col min="3849" max="3849" width="8.125" style="791" customWidth="1"/>
    <col min="3850" max="3850" width="8.5" style="791" customWidth="1"/>
    <col min="3851" max="3851" width="8.75" style="791" customWidth="1"/>
    <col min="3852" max="3852" width="10" style="791" customWidth="1"/>
    <col min="3853" max="3853" width="9" style="791" customWidth="1"/>
    <col min="3854" max="3854" width="10.125" style="791" customWidth="1"/>
    <col min="3855" max="3855" width="10.875" style="791" customWidth="1"/>
    <col min="3856" max="3856" width="9.625" style="791" customWidth="1"/>
    <col min="3857" max="3857" width="10.375" style="791" customWidth="1"/>
    <col min="3858" max="3858" width="9.5" style="791" customWidth="1"/>
    <col min="3859" max="3859" width="9.125" style="791" customWidth="1"/>
    <col min="3860" max="4099" width="21.5" style="791"/>
    <col min="4100" max="4100" width="6.375" style="791" customWidth="1"/>
    <col min="4101" max="4101" width="35.875" style="791" customWidth="1"/>
    <col min="4102" max="4102" width="8.625" style="791" customWidth="1"/>
    <col min="4103" max="4103" width="9.5" style="791" customWidth="1"/>
    <col min="4104" max="4104" width="7.875" style="791" customWidth="1"/>
    <col min="4105" max="4105" width="8.125" style="791" customWidth="1"/>
    <col min="4106" max="4106" width="8.5" style="791" customWidth="1"/>
    <col min="4107" max="4107" width="8.75" style="791" customWidth="1"/>
    <col min="4108" max="4108" width="10" style="791" customWidth="1"/>
    <col min="4109" max="4109" width="9" style="791" customWidth="1"/>
    <col min="4110" max="4110" width="10.125" style="791" customWidth="1"/>
    <col min="4111" max="4111" width="10.875" style="791" customWidth="1"/>
    <col min="4112" max="4112" width="9.625" style="791" customWidth="1"/>
    <col min="4113" max="4113" width="10.375" style="791" customWidth="1"/>
    <col min="4114" max="4114" width="9.5" style="791" customWidth="1"/>
    <col min="4115" max="4115" width="9.125" style="791" customWidth="1"/>
    <col min="4116" max="4355" width="21.5" style="791"/>
    <col min="4356" max="4356" width="6.375" style="791" customWidth="1"/>
    <col min="4357" max="4357" width="35.875" style="791" customWidth="1"/>
    <col min="4358" max="4358" width="8.625" style="791" customWidth="1"/>
    <col min="4359" max="4359" width="9.5" style="791" customWidth="1"/>
    <col min="4360" max="4360" width="7.875" style="791" customWidth="1"/>
    <col min="4361" max="4361" width="8.125" style="791" customWidth="1"/>
    <col min="4362" max="4362" width="8.5" style="791" customWidth="1"/>
    <col min="4363" max="4363" width="8.75" style="791" customWidth="1"/>
    <col min="4364" max="4364" width="10" style="791" customWidth="1"/>
    <col min="4365" max="4365" width="9" style="791" customWidth="1"/>
    <col min="4366" max="4366" width="10.125" style="791" customWidth="1"/>
    <col min="4367" max="4367" width="10.875" style="791" customWidth="1"/>
    <col min="4368" max="4368" width="9.625" style="791" customWidth="1"/>
    <col min="4369" max="4369" width="10.375" style="791" customWidth="1"/>
    <col min="4370" max="4370" width="9.5" style="791" customWidth="1"/>
    <col min="4371" max="4371" width="9.125" style="791" customWidth="1"/>
    <col min="4372" max="4611" width="21.5" style="791"/>
    <col min="4612" max="4612" width="6.375" style="791" customWidth="1"/>
    <col min="4613" max="4613" width="35.875" style="791" customWidth="1"/>
    <col min="4614" max="4614" width="8.625" style="791" customWidth="1"/>
    <col min="4615" max="4615" width="9.5" style="791" customWidth="1"/>
    <col min="4616" max="4616" width="7.875" style="791" customWidth="1"/>
    <col min="4617" max="4617" width="8.125" style="791" customWidth="1"/>
    <col min="4618" max="4618" width="8.5" style="791" customWidth="1"/>
    <col min="4619" max="4619" width="8.75" style="791" customWidth="1"/>
    <col min="4620" max="4620" width="10" style="791" customWidth="1"/>
    <col min="4621" max="4621" width="9" style="791" customWidth="1"/>
    <col min="4622" max="4622" width="10.125" style="791" customWidth="1"/>
    <col min="4623" max="4623" width="10.875" style="791" customWidth="1"/>
    <col min="4624" max="4624" width="9.625" style="791" customWidth="1"/>
    <col min="4625" max="4625" width="10.375" style="791" customWidth="1"/>
    <col min="4626" max="4626" width="9.5" style="791" customWidth="1"/>
    <col min="4627" max="4627" width="9.125" style="791" customWidth="1"/>
    <col min="4628" max="4867" width="21.5" style="791"/>
    <col min="4868" max="4868" width="6.375" style="791" customWidth="1"/>
    <col min="4869" max="4869" width="35.875" style="791" customWidth="1"/>
    <col min="4870" max="4870" width="8.625" style="791" customWidth="1"/>
    <col min="4871" max="4871" width="9.5" style="791" customWidth="1"/>
    <col min="4872" max="4872" width="7.875" style="791" customWidth="1"/>
    <col min="4873" max="4873" width="8.125" style="791" customWidth="1"/>
    <col min="4874" max="4874" width="8.5" style="791" customWidth="1"/>
    <col min="4875" max="4875" width="8.75" style="791" customWidth="1"/>
    <col min="4876" max="4876" width="10" style="791" customWidth="1"/>
    <col min="4877" max="4877" width="9" style="791" customWidth="1"/>
    <col min="4878" max="4878" width="10.125" style="791" customWidth="1"/>
    <col min="4879" max="4879" width="10.875" style="791" customWidth="1"/>
    <col min="4880" max="4880" width="9.625" style="791" customWidth="1"/>
    <col min="4881" max="4881" width="10.375" style="791" customWidth="1"/>
    <col min="4882" max="4882" width="9.5" style="791" customWidth="1"/>
    <col min="4883" max="4883" width="9.125" style="791" customWidth="1"/>
    <col min="4884" max="5123" width="21.5" style="791"/>
    <col min="5124" max="5124" width="6.375" style="791" customWidth="1"/>
    <col min="5125" max="5125" width="35.875" style="791" customWidth="1"/>
    <col min="5126" max="5126" width="8.625" style="791" customWidth="1"/>
    <col min="5127" max="5127" width="9.5" style="791" customWidth="1"/>
    <col min="5128" max="5128" width="7.875" style="791" customWidth="1"/>
    <col min="5129" max="5129" width="8.125" style="791" customWidth="1"/>
    <col min="5130" max="5130" width="8.5" style="791" customWidth="1"/>
    <col min="5131" max="5131" width="8.75" style="791" customWidth="1"/>
    <col min="5132" max="5132" width="10" style="791" customWidth="1"/>
    <col min="5133" max="5133" width="9" style="791" customWidth="1"/>
    <col min="5134" max="5134" width="10.125" style="791" customWidth="1"/>
    <col min="5135" max="5135" width="10.875" style="791" customWidth="1"/>
    <col min="5136" max="5136" width="9.625" style="791" customWidth="1"/>
    <col min="5137" max="5137" width="10.375" style="791" customWidth="1"/>
    <col min="5138" max="5138" width="9.5" style="791" customWidth="1"/>
    <col min="5139" max="5139" width="9.125" style="791" customWidth="1"/>
    <col min="5140" max="5379" width="21.5" style="791"/>
    <col min="5380" max="5380" width="6.375" style="791" customWidth="1"/>
    <col min="5381" max="5381" width="35.875" style="791" customWidth="1"/>
    <col min="5382" max="5382" width="8.625" style="791" customWidth="1"/>
    <col min="5383" max="5383" width="9.5" style="791" customWidth="1"/>
    <col min="5384" max="5384" width="7.875" style="791" customWidth="1"/>
    <col min="5385" max="5385" width="8.125" style="791" customWidth="1"/>
    <col min="5386" max="5386" width="8.5" style="791" customWidth="1"/>
    <col min="5387" max="5387" width="8.75" style="791" customWidth="1"/>
    <col min="5388" max="5388" width="10" style="791" customWidth="1"/>
    <col min="5389" max="5389" width="9" style="791" customWidth="1"/>
    <col min="5390" max="5390" width="10.125" style="791" customWidth="1"/>
    <col min="5391" max="5391" width="10.875" style="791" customWidth="1"/>
    <col min="5392" max="5392" width="9.625" style="791" customWidth="1"/>
    <col min="5393" max="5393" width="10.375" style="791" customWidth="1"/>
    <col min="5394" max="5394" width="9.5" style="791" customWidth="1"/>
    <col min="5395" max="5395" width="9.125" style="791" customWidth="1"/>
    <col min="5396" max="5635" width="21.5" style="791"/>
    <col min="5636" max="5636" width="6.375" style="791" customWidth="1"/>
    <col min="5637" max="5637" width="35.875" style="791" customWidth="1"/>
    <col min="5638" max="5638" width="8.625" style="791" customWidth="1"/>
    <col min="5639" max="5639" width="9.5" style="791" customWidth="1"/>
    <col min="5640" max="5640" width="7.875" style="791" customWidth="1"/>
    <col min="5641" max="5641" width="8.125" style="791" customWidth="1"/>
    <col min="5642" max="5642" width="8.5" style="791" customWidth="1"/>
    <col min="5643" max="5643" width="8.75" style="791" customWidth="1"/>
    <col min="5644" max="5644" width="10" style="791" customWidth="1"/>
    <col min="5645" max="5645" width="9" style="791" customWidth="1"/>
    <col min="5646" max="5646" width="10.125" style="791" customWidth="1"/>
    <col min="5647" max="5647" width="10.875" style="791" customWidth="1"/>
    <col min="5648" max="5648" width="9.625" style="791" customWidth="1"/>
    <col min="5649" max="5649" width="10.375" style="791" customWidth="1"/>
    <col min="5650" max="5650" width="9.5" style="791" customWidth="1"/>
    <col min="5651" max="5651" width="9.125" style="791" customWidth="1"/>
    <col min="5652" max="5891" width="21.5" style="791"/>
    <col min="5892" max="5892" width="6.375" style="791" customWidth="1"/>
    <col min="5893" max="5893" width="35.875" style="791" customWidth="1"/>
    <col min="5894" max="5894" width="8.625" style="791" customWidth="1"/>
    <col min="5895" max="5895" width="9.5" style="791" customWidth="1"/>
    <col min="5896" max="5896" width="7.875" style="791" customWidth="1"/>
    <col min="5897" max="5897" width="8.125" style="791" customWidth="1"/>
    <col min="5898" max="5898" width="8.5" style="791" customWidth="1"/>
    <col min="5899" max="5899" width="8.75" style="791" customWidth="1"/>
    <col min="5900" max="5900" width="10" style="791" customWidth="1"/>
    <col min="5901" max="5901" width="9" style="791" customWidth="1"/>
    <col min="5902" max="5902" width="10.125" style="791" customWidth="1"/>
    <col min="5903" max="5903" width="10.875" style="791" customWidth="1"/>
    <col min="5904" max="5904" width="9.625" style="791" customWidth="1"/>
    <col min="5905" max="5905" width="10.375" style="791" customWidth="1"/>
    <col min="5906" max="5906" width="9.5" style="791" customWidth="1"/>
    <col min="5907" max="5907" width="9.125" style="791" customWidth="1"/>
    <col min="5908" max="6147" width="21.5" style="791"/>
    <col min="6148" max="6148" width="6.375" style="791" customWidth="1"/>
    <col min="6149" max="6149" width="35.875" style="791" customWidth="1"/>
    <col min="6150" max="6150" width="8.625" style="791" customWidth="1"/>
    <col min="6151" max="6151" width="9.5" style="791" customWidth="1"/>
    <col min="6152" max="6152" width="7.875" style="791" customWidth="1"/>
    <col min="6153" max="6153" width="8.125" style="791" customWidth="1"/>
    <col min="6154" max="6154" width="8.5" style="791" customWidth="1"/>
    <col min="6155" max="6155" width="8.75" style="791" customWidth="1"/>
    <col min="6156" max="6156" width="10" style="791" customWidth="1"/>
    <col min="6157" max="6157" width="9" style="791" customWidth="1"/>
    <col min="6158" max="6158" width="10.125" style="791" customWidth="1"/>
    <col min="6159" max="6159" width="10.875" style="791" customWidth="1"/>
    <col min="6160" max="6160" width="9.625" style="791" customWidth="1"/>
    <col min="6161" max="6161" width="10.375" style="791" customWidth="1"/>
    <col min="6162" max="6162" width="9.5" style="791" customWidth="1"/>
    <col min="6163" max="6163" width="9.125" style="791" customWidth="1"/>
    <col min="6164" max="6403" width="21.5" style="791"/>
    <col min="6404" max="6404" width="6.375" style="791" customWidth="1"/>
    <col min="6405" max="6405" width="35.875" style="791" customWidth="1"/>
    <col min="6406" max="6406" width="8.625" style="791" customWidth="1"/>
    <col min="6407" max="6407" width="9.5" style="791" customWidth="1"/>
    <col min="6408" max="6408" width="7.875" style="791" customWidth="1"/>
    <col min="6409" max="6409" width="8.125" style="791" customWidth="1"/>
    <col min="6410" max="6410" width="8.5" style="791" customWidth="1"/>
    <col min="6411" max="6411" width="8.75" style="791" customWidth="1"/>
    <col min="6412" max="6412" width="10" style="791" customWidth="1"/>
    <col min="6413" max="6413" width="9" style="791" customWidth="1"/>
    <col min="6414" max="6414" width="10.125" style="791" customWidth="1"/>
    <col min="6415" max="6415" width="10.875" style="791" customWidth="1"/>
    <col min="6416" max="6416" width="9.625" style="791" customWidth="1"/>
    <col min="6417" max="6417" width="10.375" style="791" customWidth="1"/>
    <col min="6418" max="6418" width="9.5" style="791" customWidth="1"/>
    <col min="6419" max="6419" width="9.125" style="791" customWidth="1"/>
    <col min="6420" max="6659" width="21.5" style="791"/>
    <col min="6660" max="6660" width="6.375" style="791" customWidth="1"/>
    <col min="6661" max="6661" width="35.875" style="791" customWidth="1"/>
    <col min="6662" max="6662" width="8.625" style="791" customWidth="1"/>
    <col min="6663" max="6663" width="9.5" style="791" customWidth="1"/>
    <col min="6664" max="6664" width="7.875" style="791" customWidth="1"/>
    <col min="6665" max="6665" width="8.125" style="791" customWidth="1"/>
    <col min="6666" max="6666" width="8.5" style="791" customWidth="1"/>
    <col min="6667" max="6667" width="8.75" style="791" customWidth="1"/>
    <col min="6668" max="6668" width="10" style="791" customWidth="1"/>
    <col min="6669" max="6669" width="9" style="791" customWidth="1"/>
    <col min="6670" max="6670" width="10.125" style="791" customWidth="1"/>
    <col min="6671" max="6671" width="10.875" style="791" customWidth="1"/>
    <col min="6672" max="6672" width="9.625" style="791" customWidth="1"/>
    <col min="6673" max="6673" width="10.375" style="791" customWidth="1"/>
    <col min="6674" max="6674" width="9.5" style="791" customWidth="1"/>
    <col min="6675" max="6675" width="9.125" style="791" customWidth="1"/>
    <col min="6676" max="6915" width="21.5" style="791"/>
    <col min="6916" max="6916" width="6.375" style="791" customWidth="1"/>
    <col min="6917" max="6917" width="35.875" style="791" customWidth="1"/>
    <col min="6918" max="6918" width="8.625" style="791" customWidth="1"/>
    <col min="6919" max="6919" width="9.5" style="791" customWidth="1"/>
    <col min="6920" max="6920" width="7.875" style="791" customWidth="1"/>
    <col min="6921" max="6921" width="8.125" style="791" customWidth="1"/>
    <col min="6922" max="6922" width="8.5" style="791" customWidth="1"/>
    <col min="6923" max="6923" width="8.75" style="791" customWidth="1"/>
    <col min="6924" max="6924" width="10" style="791" customWidth="1"/>
    <col min="6925" max="6925" width="9" style="791" customWidth="1"/>
    <col min="6926" max="6926" width="10.125" style="791" customWidth="1"/>
    <col min="6927" max="6927" width="10.875" style="791" customWidth="1"/>
    <col min="6928" max="6928" width="9.625" style="791" customWidth="1"/>
    <col min="6929" max="6929" width="10.375" style="791" customWidth="1"/>
    <col min="6930" max="6930" width="9.5" style="791" customWidth="1"/>
    <col min="6931" max="6931" width="9.125" style="791" customWidth="1"/>
    <col min="6932" max="7171" width="21.5" style="791"/>
    <col min="7172" max="7172" width="6.375" style="791" customWidth="1"/>
    <col min="7173" max="7173" width="35.875" style="791" customWidth="1"/>
    <col min="7174" max="7174" width="8.625" style="791" customWidth="1"/>
    <col min="7175" max="7175" width="9.5" style="791" customWidth="1"/>
    <col min="7176" max="7176" width="7.875" style="791" customWidth="1"/>
    <col min="7177" max="7177" width="8.125" style="791" customWidth="1"/>
    <col min="7178" max="7178" width="8.5" style="791" customWidth="1"/>
    <col min="7179" max="7179" width="8.75" style="791" customWidth="1"/>
    <col min="7180" max="7180" width="10" style="791" customWidth="1"/>
    <col min="7181" max="7181" width="9" style="791" customWidth="1"/>
    <col min="7182" max="7182" width="10.125" style="791" customWidth="1"/>
    <col min="7183" max="7183" width="10.875" style="791" customWidth="1"/>
    <col min="7184" max="7184" width="9.625" style="791" customWidth="1"/>
    <col min="7185" max="7185" width="10.375" style="791" customWidth="1"/>
    <col min="7186" max="7186" width="9.5" style="791" customWidth="1"/>
    <col min="7187" max="7187" width="9.125" style="791" customWidth="1"/>
    <col min="7188" max="7427" width="21.5" style="791"/>
    <col min="7428" max="7428" width="6.375" style="791" customWidth="1"/>
    <col min="7429" max="7429" width="35.875" style="791" customWidth="1"/>
    <col min="7430" max="7430" width="8.625" style="791" customWidth="1"/>
    <col min="7431" max="7431" width="9.5" style="791" customWidth="1"/>
    <col min="7432" max="7432" width="7.875" style="791" customWidth="1"/>
    <col min="7433" max="7433" width="8.125" style="791" customWidth="1"/>
    <col min="7434" max="7434" width="8.5" style="791" customWidth="1"/>
    <col min="7435" max="7435" width="8.75" style="791" customWidth="1"/>
    <col min="7436" max="7436" width="10" style="791" customWidth="1"/>
    <col min="7437" max="7437" width="9" style="791" customWidth="1"/>
    <col min="7438" max="7438" width="10.125" style="791" customWidth="1"/>
    <col min="7439" max="7439" width="10.875" style="791" customWidth="1"/>
    <col min="7440" max="7440" width="9.625" style="791" customWidth="1"/>
    <col min="7441" max="7441" width="10.375" style="791" customWidth="1"/>
    <col min="7442" max="7442" width="9.5" style="791" customWidth="1"/>
    <col min="7443" max="7443" width="9.125" style="791" customWidth="1"/>
    <col min="7444" max="7683" width="21.5" style="791"/>
    <col min="7684" max="7684" width="6.375" style="791" customWidth="1"/>
    <col min="7685" max="7685" width="35.875" style="791" customWidth="1"/>
    <col min="7686" max="7686" width="8.625" style="791" customWidth="1"/>
    <col min="7687" max="7687" width="9.5" style="791" customWidth="1"/>
    <col min="7688" max="7688" width="7.875" style="791" customWidth="1"/>
    <col min="7689" max="7689" width="8.125" style="791" customWidth="1"/>
    <col min="7690" max="7690" width="8.5" style="791" customWidth="1"/>
    <col min="7691" max="7691" width="8.75" style="791" customWidth="1"/>
    <col min="7692" max="7692" width="10" style="791" customWidth="1"/>
    <col min="7693" max="7693" width="9" style="791" customWidth="1"/>
    <col min="7694" max="7694" width="10.125" style="791" customWidth="1"/>
    <col min="7695" max="7695" width="10.875" style="791" customWidth="1"/>
    <col min="7696" max="7696" width="9.625" style="791" customWidth="1"/>
    <col min="7697" max="7697" width="10.375" style="791" customWidth="1"/>
    <col min="7698" max="7698" width="9.5" style="791" customWidth="1"/>
    <col min="7699" max="7699" width="9.125" style="791" customWidth="1"/>
    <col min="7700" max="7939" width="21.5" style="791"/>
    <col min="7940" max="7940" width="6.375" style="791" customWidth="1"/>
    <col min="7941" max="7941" width="35.875" style="791" customWidth="1"/>
    <col min="7942" max="7942" width="8.625" style="791" customWidth="1"/>
    <col min="7943" max="7943" width="9.5" style="791" customWidth="1"/>
    <col min="7944" max="7944" width="7.875" style="791" customWidth="1"/>
    <col min="7945" max="7945" width="8.125" style="791" customWidth="1"/>
    <col min="7946" max="7946" width="8.5" style="791" customWidth="1"/>
    <col min="7947" max="7947" width="8.75" style="791" customWidth="1"/>
    <col min="7948" max="7948" width="10" style="791" customWidth="1"/>
    <col min="7949" max="7949" width="9" style="791" customWidth="1"/>
    <col min="7950" max="7950" width="10.125" style="791" customWidth="1"/>
    <col min="7951" max="7951" width="10.875" style="791" customWidth="1"/>
    <col min="7952" max="7952" width="9.625" style="791" customWidth="1"/>
    <col min="7953" max="7953" width="10.375" style="791" customWidth="1"/>
    <col min="7954" max="7954" width="9.5" style="791" customWidth="1"/>
    <col min="7955" max="7955" width="9.125" style="791" customWidth="1"/>
    <col min="7956" max="8195" width="21.5" style="791"/>
    <col min="8196" max="8196" width="6.375" style="791" customWidth="1"/>
    <col min="8197" max="8197" width="35.875" style="791" customWidth="1"/>
    <col min="8198" max="8198" width="8.625" style="791" customWidth="1"/>
    <col min="8199" max="8199" width="9.5" style="791" customWidth="1"/>
    <col min="8200" max="8200" width="7.875" style="791" customWidth="1"/>
    <col min="8201" max="8201" width="8.125" style="791" customWidth="1"/>
    <col min="8202" max="8202" width="8.5" style="791" customWidth="1"/>
    <col min="8203" max="8203" width="8.75" style="791" customWidth="1"/>
    <col min="8204" max="8204" width="10" style="791" customWidth="1"/>
    <col min="8205" max="8205" width="9" style="791" customWidth="1"/>
    <col min="8206" max="8206" width="10.125" style="791" customWidth="1"/>
    <col min="8207" max="8207" width="10.875" style="791" customWidth="1"/>
    <col min="8208" max="8208" width="9.625" style="791" customWidth="1"/>
    <col min="8209" max="8209" width="10.375" style="791" customWidth="1"/>
    <col min="8210" max="8210" width="9.5" style="791" customWidth="1"/>
    <col min="8211" max="8211" width="9.125" style="791" customWidth="1"/>
    <col min="8212" max="8451" width="21.5" style="791"/>
    <col min="8452" max="8452" width="6.375" style="791" customWidth="1"/>
    <col min="8453" max="8453" width="35.875" style="791" customWidth="1"/>
    <col min="8454" max="8454" width="8.625" style="791" customWidth="1"/>
    <col min="8455" max="8455" width="9.5" style="791" customWidth="1"/>
    <col min="8456" max="8456" width="7.875" style="791" customWidth="1"/>
    <col min="8457" max="8457" width="8.125" style="791" customWidth="1"/>
    <col min="8458" max="8458" width="8.5" style="791" customWidth="1"/>
    <col min="8459" max="8459" width="8.75" style="791" customWidth="1"/>
    <col min="8460" max="8460" width="10" style="791" customWidth="1"/>
    <col min="8461" max="8461" width="9" style="791" customWidth="1"/>
    <col min="8462" max="8462" width="10.125" style="791" customWidth="1"/>
    <col min="8463" max="8463" width="10.875" style="791" customWidth="1"/>
    <col min="8464" max="8464" width="9.625" style="791" customWidth="1"/>
    <col min="8465" max="8465" width="10.375" style="791" customWidth="1"/>
    <col min="8466" max="8466" width="9.5" style="791" customWidth="1"/>
    <col min="8467" max="8467" width="9.125" style="791" customWidth="1"/>
    <col min="8468" max="8707" width="21.5" style="791"/>
    <col min="8708" max="8708" width="6.375" style="791" customWidth="1"/>
    <col min="8709" max="8709" width="35.875" style="791" customWidth="1"/>
    <col min="8710" max="8710" width="8.625" style="791" customWidth="1"/>
    <col min="8711" max="8711" width="9.5" style="791" customWidth="1"/>
    <col min="8712" max="8712" width="7.875" style="791" customWidth="1"/>
    <col min="8713" max="8713" width="8.125" style="791" customWidth="1"/>
    <col min="8714" max="8714" width="8.5" style="791" customWidth="1"/>
    <col min="8715" max="8715" width="8.75" style="791" customWidth="1"/>
    <col min="8716" max="8716" width="10" style="791" customWidth="1"/>
    <col min="8717" max="8717" width="9" style="791" customWidth="1"/>
    <col min="8718" max="8718" width="10.125" style="791" customWidth="1"/>
    <col min="8719" max="8719" width="10.875" style="791" customWidth="1"/>
    <col min="8720" max="8720" width="9.625" style="791" customWidth="1"/>
    <col min="8721" max="8721" width="10.375" style="791" customWidth="1"/>
    <col min="8722" max="8722" width="9.5" style="791" customWidth="1"/>
    <col min="8723" max="8723" width="9.125" style="791" customWidth="1"/>
    <col min="8724" max="8963" width="21.5" style="791"/>
    <col min="8964" max="8964" width="6.375" style="791" customWidth="1"/>
    <col min="8965" max="8965" width="35.875" style="791" customWidth="1"/>
    <col min="8966" max="8966" width="8.625" style="791" customWidth="1"/>
    <col min="8967" max="8967" width="9.5" style="791" customWidth="1"/>
    <col min="8968" max="8968" width="7.875" style="791" customWidth="1"/>
    <col min="8969" max="8969" width="8.125" style="791" customWidth="1"/>
    <col min="8970" max="8970" width="8.5" style="791" customWidth="1"/>
    <col min="8971" max="8971" width="8.75" style="791" customWidth="1"/>
    <col min="8972" max="8972" width="10" style="791" customWidth="1"/>
    <col min="8973" max="8973" width="9" style="791" customWidth="1"/>
    <col min="8974" max="8974" width="10.125" style="791" customWidth="1"/>
    <col min="8975" max="8975" width="10.875" style="791" customWidth="1"/>
    <col min="8976" max="8976" width="9.625" style="791" customWidth="1"/>
    <col min="8977" max="8977" width="10.375" style="791" customWidth="1"/>
    <col min="8978" max="8978" width="9.5" style="791" customWidth="1"/>
    <col min="8979" max="8979" width="9.125" style="791" customWidth="1"/>
    <col min="8980" max="9219" width="21.5" style="791"/>
    <col min="9220" max="9220" width="6.375" style="791" customWidth="1"/>
    <col min="9221" max="9221" width="35.875" style="791" customWidth="1"/>
    <col min="9222" max="9222" width="8.625" style="791" customWidth="1"/>
    <col min="9223" max="9223" width="9.5" style="791" customWidth="1"/>
    <col min="9224" max="9224" width="7.875" style="791" customWidth="1"/>
    <col min="9225" max="9225" width="8.125" style="791" customWidth="1"/>
    <col min="9226" max="9226" width="8.5" style="791" customWidth="1"/>
    <col min="9227" max="9227" width="8.75" style="791" customWidth="1"/>
    <col min="9228" max="9228" width="10" style="791" customWidth="1"/>
    <col min="9229" max="9229" width="9" style="791" customWidth="1"/>
    <col min="9230" max="9230" width="10.125" style="791" customWidth="1"/>
    <col min="9231" max="9231" width="10.875" style="791" customWidth="1"/>
    <col min="9232" max="9232" width="9.625" style="791" customWidth="1"/>
    <col min="9233" max="9233" width="10.375" style="791" customWidth="1"/>
    <col min="9234" max="9234" width="9.5" style="791" customWidth="1"/>
    <col min="9235" max="9235" width="9.125" style="791" customWidth="1"/>
    <col min="9236" max="9475" width="21.5" style="791"/>
    <col min="9476" max="9476" width="6.375" style="791" customWidth="1"/>
    <col min="9477" max="9477" width="35.875" style="791" customWidth="1"/>
    <col min="9478" max="9478" width="8.625" style="791" customWidth="1"/>
    <col min="9479" max="9479" width="9.5" style="791" customWidth="1"/>
    <col min="9480" max="9480" width="7.875" style="791" customWidth="1"/>
    <col min="9481" max="9481" width="8.125" style="791" customWidth="1"/>
    <col min="9482" max="9482" width="8.5" style="791" customWidth="1"/>
    <col min="9483" max="9483" width="8.75" style="791" customWidth="1"/>
    <col min="9484" max="9484" width="10" style="791" customWidth="1"/>
    <col min="9485" max="9485" width="9" style="791" customWidth="1"/>
    <col min="9486" max="9486" width="10.125" style="791" customWidth="1"/>
    <col min="9487" max="9487" width="10.875" style="791" customWidth="1"/>
    <col min="9488" max="9488" width="9.625" style="791" customWidth="1"/>
    <col min="9489" max="9489" width="10.375" style="791" customWidth="1"/>
    <col min="9490" max="9490" width="9.5" style="791" customWidth="1"/>
    <col min="9491" max="9491" width="9.125" style="791" customWidth="1"/>
    <col min="9492" max="9731" width="21.5" style="791"/>
    <col min="9732" max="9732" width="6.375" style="791" customWidth="1"/>
    <col min="9733" max="9733" width="35.875" style="791" customWidth="1"/>
    <col min="9734" max="9734" width="8.625" style="791" customWidth="1"/>
    <col min="9735" max="9735" width="9.5" style="791" customWidth="1"/>
    <col min="9736" max="9736" width="7.875" style="791" customWidth="1"/>
    <col min="9737" max="9737" width="8.125" style="791" customWidth="1"/>
    <col min="9738" max="9738" width="8.5" style="791" customWidth="1"/>
    <col min="9739" max="9739" width="8.75" style="791" customWidth="1"/>
    <col min="9740" max="9740" width="10" style="791" customWidth="1"/>
    <col min="9741" max="9741" width="9" style="791" customWidth="1"/>
    <col min="9742" max="9742" width="10.125" style="791" customWidth="1"/>
    <col min="9743" max="9743" width="10.875" style="791" customWidth="1"/>
    <col min="9744" max="9744" width="9.625" style="791" customWidth="1"/>
    <col min="9745" max="9745" width="10.375" style="791" customWidth="1"/>
    <col min="9746" max="9746" width="9.5" style="791" customWidth="1"/>
    <col min="9747" max="9747" width="9.125" style="791" customWidth="1"/>
    <col min="9748" max="9987" width="21.5" style="791"/>
    <col min="9988" max="9988" width="6.375" style="791" customWidth="1"/>
    <col min="9989" max="9989" width="35.875" style="791" customWidth="1"/>
    <col min="9990" max="9990" width="8.625" style="791" customWidth="1"/>
    <col min="9991" max="9991" width="9.5" style="791" customWidth="1"/>
    <col min="9992" max="9992" width="7.875" style="791" customWidth="1"/>
    <col min="9993" max="9993" width="8.125" style="791" customWidth="1"/>
    <col min="9994" max="9994" width="8.5" style="791" customWidth="1"/>
    <col min="9995" max="9995" width="8.75" style="791" customWidth="1"/>
    <col min="9996" max="9996" width="10" style="791" customWidth="1"/>
    <col min="9997" max="9997" width="9" style="791" customWidth="1"/>
    <col min="9998" max="9998" width="10.125" style="791" customWidth="1"/>
    <col min="9999" max="9999" width="10.875" style="791" customWidth="1"/>
    <col min="10000" max="10000" width="9.625" style="791" customWidth="1"/>
    <col min="10001" max="10001" width="10.375" style="791" customWidth="1"/>
    <col min="10002" max="10002" width="9.5" style="791" customWidth="1"/>
    <col min="10003" max="10003" width="9.125" style="791" customWidth="1"/>
    <col min="10004" max="10243" width="21.5" style="791"/>
    <col min="10244" max="10244" width="6.375" style="791" customWidth="1"/>
    <col min="10245" max="10245" width="35.875" style="791" customWidth="1"/>
    <col min="10246" max="10246" width="8.625" style="791" customWidth="1"/>
    <col min="10247" max="10247" width="9.5" style="791" customWidth="1"/>
    <col min="10248" max="10248" width="7.875" style="791" customWidth="1"/>
    <col min="10249" max="10249" width="8.125" style="791" customWidth="1"/>
    <col min="10250" max="10250" width="8.5" style="791" customWidth="1"/>
    <col min="10251" max="10251" width="8.75" style="791" customWidth="1"/>
    <col min="10252" max="10252" width="10" style="791" customWidth="1"/>
    <col min="10253" max="10253" width="9" style="791" customWidth="1"/>
    <col min="10254" max="10254" width="10.125" style="791" customWidth="1"/>
    <col min="10255" max="10255" width="10.875" style="791" customWidth="1"/>
    <col min="10256" max="10256" width="9.625" style="791" customWidth="1"/>
    <col min="10257" max="10257" width="10.375" style="791" customWidth="1"/>
    <col min="10258" max="10258" width="9.5" style="791" customWidth="1"/>
    <col min="10259" max="10259" width="9.125" style="791" customWidth="1"/>
    <col min="10260" max="10499" width="21.5" style="791"/>
    <col min="10500" max="10500" width="6.375" style="791" customWidth="1"/>
    <col min="10501" max="10501" width="35.875" style="791" customWidth="1"/>
    <col min="10502" max="10502" width="8.625" style="791" customWidth="1"/>
    <col min="10503" max="10503" width="9.5" style="791" customWidth="1"/>
    <col min="10504" max="10504" width="7.875" style="791" customWidth="1"/>
    <col min="10505" max="10505" width="8.125" style="791" customWidth="1"/>
    <col min="10506" max="10506" width="8.5" style="791" customWidth="1"/>
    <col min="10507" max="10507" width="8.75" style="791" customWidth="1"/>
    <col min="10508" max="10508" width="10" style="791" customWidth="1"/>
    <col min="10509" max="10509" width="9" style="791" customWidth="1"/>
    <col min="10510" max="10510" width="10.125" style="791" customWidth="1"/>
    <col min="10511" max="10511" width="10.875" style="791" customWidth="1"/>
    <col min="10512" max="10512" width="9.625" style="791" customWidth="1"/>
    <col min="10513" max="10513" width="10.375" style="791" customWidth="1"/>
    <col min="10514" max="10514" width="9.5" style="791" customWidth="1"/>
    <col min="10515" max="10515" width="9.125" style="791" customWidth="1"/>
    <col min="10516" max="10755" width="21.5" style="791"/>
    <col min="10756" max="10756" width="6.375" style="791" customWidth="1"/>
    <col min="10757" max="10757" width="35.875" style="791" customWidth="1"/>
    <col min="10758" max="10758" width="8.625" style="791" customWidth="1"/>
    <col min="10759" max="10759" width="9.5" style="791" customWidth="1"/>
    <col min="10760" max="10760" width="7.875" style="791" customWidth="1"/>
    <col min="10761" max="10761" width="8.125" style="791" customWidth="1"/>
    <col min="10762" max="10762" width="8.5" style="791" customWidth="1"/>
    <col min="10763" max="10763" width="8.75" style="791" customWidth="1"/>
    <col min="10764" max="10764" width="10" style="791" customWidth="1"/>
    <col min="10765" max="10765" width="9" style="791" customWidth="1"/>
    <col min="10766" max="10766" width="10.125" style="791" customWidth="1"/>
    <col min="10767" max="10767" width="10.875" style="791" customWidth="1"/>
    <col min="10768" max="10768" width="9.625" style="791" customWidth="1"/>
    <col min="10769" max="10769" width="10.375" style="791" customWidth="1"/>
    <col min="10770" max="10770" width="9.5" style="791" customWidth="1"/>
    <col min="10771" max="10771" width="9.125" style="791" customWidth="1"/>
    <col min="10772" max="11011" width="21.5" style="791"/>
    <col min="11012" max="11012" width="6.375" style="791" customWidth="1"/>
    <col min="11013" max="11013" width="35.875" style="791" customWidth="1"/>
    <col min="11014" max="11014" width="8.625" style="791" customWidth="1"/>
    <col min="11015" max="11015" width="9.5" style="791" customWidth="1"/>
    <col min="11016" max="11016" width="7.875" style="791" customWidth="1"/>
    <col min="11017" max="11017" width="8.125" style="791" customWidth="1"/>
    <col min="11018" max="11018" width="8.5" style="791" customWidth="1"/>
    <col min="11019" max="11019" width="8.75" style="791" customWidth="1"/>
    <col min="11020" max="11020" width="10" style="791" customWidth="1"/>
    <col min="11021" max="11021" width="9" style="791" customWidth="1"/>
    <col min="11022" max="11022" width="10.125" style="791" customWidth="1"/>
    <col min="11023" max="11023" width="10.875" style="791" customWidth="1"/>
    <col min="11024" max="11024" width="9.625" style="791" customWidth="1"/>
    <col min="11025" max="11025" width="10.375" style="791" customWidth="1"/>
    <col min="11026" max="11026" width="9.5" style="791" customWidth="1"/>
    <col min="11027" max="11027" width="9.125" style="791" customWidth="1"/>
    <col min="11028" max="11267" width="21.5" style="791"/>
    <col min="11268" max="11268" width="6.375" style="791" customWidth="1"/>
    <col min="11269" max="11269" width="35.875" style="791" customWidth="1"/>
    <col min="11270" max="11270" width="8.625" style="791" customWidth="1"/>
    <col min="11271" max="11271" width="9.5" style="791" customWidth="1"/>
    <col min="11272" max="11272" width="7.875" style="791" customWidth="1"/>
    <col min="11273" max="11273" width="8.125" style="791" customWidth="1"/>
    <col min="11274" max="11274" width="8.5" style="791" customWidth="1"/>
    <col min="11275" max="11275" width="8.75" style="791" customWidth="1"/>
    <col min="11276" max="11276" width="10" style="791" customWidth="1"/>
    <col min="11277" max="11277" width="9" style="791" customWidth="1"/>
    <col min="11278" max="11278" width="10.125" style="791" customWidth="1"/>
    <col min="11279" max="11279" width="10.875" style="791" customWidth="1"/>
    <col min="11280" max="11280" width="9.625" style="791" customWidth="1"/>
    <col min="11281" max="11281" width="10.375" style="791" customWidth="1"/>
    <col min="11282" max="11282" width="9.5" style="791" customWidth="1"/>
    <col min="11283" max="11283" width="9.125" style="791" customWidth="1"/>
    <col min="11284" max="11523" width="21.5" style="791"/>
    <col min="11524" max="11524" width="6.375" style="791" customWidth="1"/>
    <col min="11525" max="11525" width="35.875" style="791" customWidth="1"/>
    <col min="11526" max="11526" width="8.625" style="791" customWidth="1"/>
    <col min="11527" max="11527" width="9.5" style="791" customWidth="1"/>
    <col min="11528" max="11528" width="7.875" style="791" customWidth="1"/>
    <col min="11529" max="11529" width="8.125" style="791" customWidth="1"/>
    <col min="11530" max="11530" width="8.5" style="791" customWidth="1"/>
    <col min="11531" max="11531" width="8.75" style="791" customWidth="1"/>
    <col min="11532" max="11532" width="10" style="791" customWidth="1"/>
    <col min="11533" max="11533" width="9" style="791" customWidth="1"/>
    <col min="11534" max="11534" width="10.125" style="791" customWidth="1"/>
    <col min="11535" max="11535" width="10.875" style="791" customWidth="1"/>
    <col min="11536" max="11536" width="9.625" style="791" customWidth="1"/>
    <col min="11537" max="11537" width="10.375" style="791" customWidth="1"/>
    <col min="11538" max="11538" width="9.5" style="791" customWidth="1"/>
    <col min="11539" max="11539" width="9.125" style="791" customWidth="1"/>
    <col min="11540" max="11779" width="21.5" style="791"/>
    <col min="11780" max="11780" width="6.375" style="791" customWidth="1"/>
    <col min="11781" max="11781" width="35.875" style="791" customWidth="1"/>
    <col min="11782" max="11782" width="8.625" style="791" customWidth="1"/>
    <col min="11783" max="11783" width="9.5" style="791" customWidth="1"/>
    <col min="11784" max="11784" width="7.875" style="791" customWidth="1"/>
    <col min="11785" max="11785" width="8.125" style="791" customWidth="1"/>
    <col min="11786" max="11786" width="8.5" style="791" customWidth="1"/>
    <col min="11787" max="11787" width="8.75" style="791" customWidth="1"/>
    <col min="11788" max="11788" width="10" style="791" customWidth="1"/>
    <col min="11789" max="11789" width="9" style="791" customWidth="1"/>
    <col min="11790" max="11790" width="10.125" style="791" customWidth="1"/>
    <col min="11791" max="11791" width="10.875" style="791" customWidth="1"/>
    <col min="11792" max="11792" width="9.625" style="791" customWidth="1"/>
    <col min="11793" max="11793" width="10.375" style="791" customWidth="1"/>
    <col min="11794" max="11794" width="9.5" style="791" customWidth="1"/>
    <col min="11795" max="11795" width="9.125" style="791" customWidth="1"/>
    <col min="11796" max="12035" width="21.5" style="791"/>
    <col min="12036" max="12036" width="6.375" style="791" customWidth="1"/>
    <col min="12037" max="12037" width="35.875" style="791" customWidth="1"/>
    <col min="12038" max="12038" width="8.625" style="791" customWidth="1"/>
    <col min="12039" max="12039" width="9.5" style="791" customWidth="1"/>
    <col min="12040" max="12040" width="7.875" style="791" customWidth="1"/>
    <col min="12041" max="12041" width="8.125" style="791" customWidth="1"/>
    <col min="12042" max="12042" width="8.5" style="791" customWidth="1"/>
    <col min="12043" max="12043" width="8.75" style="791" customWidth="1"/>
    <col min="12044" max="12044" width="10" style="791" customWidth="1"/>
    <col min="12045" max="12045" width="9" style="791" customWidth="1"/>
    <col min="12046" max="12046" width="10.125" style="791" customWidth="1"/>
    <col min="12047" max="12047" width="10.875" style="791" customWidth="1"/>
    <col min="12048" max="12048" width="9.625" style="791" customWidth="1"/>
    <col min="12049" max="12049" width="10.375" style="791" customWidth="1"/>
    <col min="12050" max="12050" width="9.5" style="791" customWidth="1"/>
    <col min="12051" max="12051" width="9.125" style="791" customWidth="1"/>
    <col min="12052" max="12291" width="21.5" style="791"/>
    <col min="12292" max="12292" width="6.375" style="791" customWidth="1"/>
    <col min="12293" max="12293" width="35.875" style="791" customWidth="1"/>
    <col min="12294" max="12294" width="8.625" style="791" customWidth="1"/>
    <col min="12295" max="12295" width="9.5" style="791" customWidth="1"/>
    <col min="12296" max="12296" width="7.875" style="791" customWidth="1"/>
    <col min="12297" max="12297" width="8.125" style="791" customWidth="1"/>
    <col min="12298" max="12298" width="8.5" style="791" customWidth="1"/>
    <col min="12299" max="12299" width="8.75" style="791" customWidth="1"/>
    <col min="12300" max="12300" width="10" style="791" customWidth="1"/>
    <col min="12301" max="12301" width="9" style="791" customWidth="1"/>
    <col min="12302" max="12302" width="10.125" style="791" customWidth="1"/>
    <col min="12303" max="12303" width="10.875" style="791" customWidth="1"/>
    <col min="12304" max="12304" width="9.625" style="791" customWidth="1"/>
    <col min="12305" max="12305" width="10.375" style="791" customWidth="1"/>
    <col min="12306" max="12306" width="9.5" style="791" customWidth="1"/>
    <col min="12307" max="12307" width="9.125" style="791" customWidth="1"/>
    <col min="12308" max="12547" width="21.5" style="791"/>
    <col min="12548" max="12548" width="6.375" style="791" customWidth="1"/>
    <col min="12549" max="12549" width="35.875" style="791" customWidth="1"/>
    <col min="12550" max="12550" width="8.625" style="791" customWidth="1"/>
    <col min="12551" max="12551" width="9.5" style="791" customWidth="1"/>
    <col min="12552" max="12552" width="7.875" style="791" customWidth="1"/>
    <col min="12553" max="12553" width="8.125" style="791" customWidth="1"/>
    <col min="12554" max="12554" width="8.5" style="791" customWidth="1"/>
    <col min="12555" max="12555" width="8.75" style="791" customWidth="1"/>
    <col min="12556" max="12556" width="10" style="791" customWidth="1"/>
    <col min="12557" max="12557" width="9" style="791" customWidth="1"/>
    <col min="12558" max="12558" width="10.125" style="791" customWidth="1"/>
    <col min="12559" max="12559" width="10.875" style="791" customWidth="1"/>
    <col min="12560" max="12560" width="9.625" style="791" customWidth="1"/>
    <col min="12561" max="12561" width="10.375" style="791" customWidth="1"/>
    <col min="12562" max="12562" width="9.5" style="791" customWidth="1"/>
    <col min="12563" max="12563" width="9.125" style="791" customWidth="1"/>
    <col min="12564" max="12803" width="21.5" style="791"/>
    <col min="12804" max="12804" width="6.375" style="791" customWidth="1"/>
    <col min="12805" max="12805" width="35.875" style="791" customWidth="1"/>
    <col min="12806" max="12806" width="8.625" style="791" customWidth="1"/>
    <col min="12807" max="12807" width="9.5" style="791" customWidth="1"/>
    <col min="12808" max="12808" width="7.875" style="791" customWidth="1"/>
    <col min="12809" max="12809" width="8.125" style="791" customWidth="1"/>
    <col min="12810" max="12810" width="8.5" style="791" customWidth="1"/>
    <col min="12811" max="12811" width="8.75" style="791" customWidth="1"/>
    <col min="12812" max="12812" width="10" style="791" customWidth="1"/>
    <col min="12813" max="12813" width="9" style="791" customWidth="1"/>
    <col min="12814" max="12814" width="10.125" style="791" customWidth="1"/>
    <col min="12815" max="12815" width="10.875" style="791" customWidth="1"/>
    <col min="12816" max="12816" width="9.625" style="791" customWidth="1"/>
    <col min="12817" max="12817" width="10.375" style="791" customWidth="1"/>
    <col min="12818" max="12818" width="9.5" style="791" customWidth="1"/>
    <col min="12819" max="12819" width="9.125" style="791" customWidth="1"/>
    <col min="12820" max="13059" width="21.5" style="791"/>
    <col min="13060" max="13060" width="6.375" style="791" customWidth="1"/>
    <col min="13061" max="13061" width="35.875" style="791" customWidth="1"/>
    <col min="13062" max="13062" width="8.625" style="791" customWidth="1"/>
    <col min="13063" max="13063" width="9.5" style="791" customWidth="1"/>
    <col min="13064" max="13064" width="7.875" style="791" customWidth="1"/>
    <col min="13065" max="13065" width="8.125" style="791" customWidth="1"/>
    <col min="13066" max="13066" width="8.5" style="791" customWidth="1"/>
    <col min="13067" max="13067" width="8.75" style="791" customWidth="1"/>
    <col min="13068" max="13068" width="10" style="791" customWidth="1"/>
    <col min="13069" max="13069" width="9" style="791" customWidth="1"/>
    <col min="13070" max="13070" width="10.125" style="791" customWidth="1"/>
    <col min="13071" max="13071" width="10.875" style="791" customWidth="1"/>
    <col min="13072" max="13072" width="9.625" style="791" customWidth="1"/>
    <col min="13073" max="13073" width="10.375" style="791" customWidth="1"/>
    <col min="13074" max="13074" width="9.5" style="791" customWidth="1"/>
    <col min="13075" max="13075" width="9.125" style="791" customWidth="1"/>
    <col min="13076" max="13315" width="21.5" style="791"/>
    <col min="13316" max="13316" width="6.375" style="791" customWidth="1"/>
    <col min="13317" max="13317" width="35.875" style="791" customWidth="1"/>
    <col min="13318" max="13318" width="8.625" style="791" customWidth="1"/>
    <col min="13319" max="13319" width="9.5" style="791" customWidth="1"/>
    <col min="13320" max="13320" width="7.875" style="791" customWidth="1"/>
    <col min="13321" max="13321" width="8.125" style="791" customWidth="1"/>
    <col min="13322" max="13322" width="8.5" style="791" customWidth="1"/>
    <col min="13323" max="13323" width="8.75" style="791" customWidth="1"/>
    <col min="13324" max="13324" width="10" style="791" customWidth="1"/>
    <col min="13325" max="13325" width="9" style="791" customWidth="1"/>
    <col min="13326" max="13326" width="10.125" style="791" customWidth="1"/>
    <col min="13327" max="13327" width="10.875" style="791" customWidth="1"/>
    <col min="13328" max="13328" width="9.625" style="791" customWidth="1"/>
    <col min="13329" max="13329" width="10.375" style="791" customWidth="1"/>
    <col min="13330" max="13330" width="9.5" style="791" customWidth="1"/>
    <col min="13331" max="13331" width="9.125" style="791" customWidth="1"/>
    <col min="13332" max="13571" width="21.5" style="791"/>
    <col min="13572" max="13572" width="6.375" style="791" customWidth="1"/>
    <col min="13573" max="13573" width="35.875" style="791" customWidth="1"/>
    <col min="13574" max="13574" width="8.625" style="791" customWidth="1"/>
    <col min="13575" max="13575" width="9.5" style="791" customWidth="1"/>
    <col min="13576" max="13576" width="7.875" style="791" customWidth="1"/>
    <col min="13577" max="13577" width="8.125" style="791" customWidth="1"/>
    <col min="13578" max="13578" width="8.5" style="791" customWidth="1"/>
    <col min="13579" max="13579" width="8.75" style="791" customWidth="1"/>
    <col min="13580" max="13580" width="10" style="791" customWidth="1"/>
    <col min="13581" max="13581" width="9" style="791" customWidth="1"/>
    <col min="13582" max="13582" width="10.125" style="791" customWidth="1"/>
    <col min="13583" max="13583" width="10.875" style="791" customWidth="1"/>
    <col min="13584" max="13584" width="9.625" style="791" customWidth="1"/>
    <col min="13585" max="13585" width="10.375" style="791" customWidth="1"/>
    <col min="13586" max="13586" width="9.5" style="791" customWidth="1"/>
    <col min="13587" max="13587" width="9.125" style="791" customWidth="1"/>
    <col min="13588" max="13827" width="21.5" style="791"/>
    <col min="13828" max="13828" width="6.375" style="791" customWidth="1"/>
    <col min="13829" max="13829" width="35.875" style="791" customWidth="1"/>
    <col min="13830" max="13830" width="8.625" style="791" customWidth="1"/>
    <col min="13831" max="13831" width="9.5" style="791" customWidth="1"/>
    <col min="13832" max="13832" width="7.875" style="791" customWidth="1"/>
    <col min="13833" max="13833" width="8.125" style="791" customWidth="1"/>
    <col min="13834" max="13834" width="8.5" style="791" customWidth="1"/>
    <col min="13835" max="13835" width="8.75" style="791" customWidth="1"/>
    <col min="13836" max="13836" width="10" style="791" customWidth="1"/>
    <col min="13837" max="13837" width="9" style="791" customWidth="1"/>
    <col min="13838" max="13838" width="10.125" style="791" customWidth="1"/>
    <col min="13839" max="13839" width="10.875" style="791" customWidth="1"/>
    <col min="13840" max="13840" width="9.625" style="791" customWidth="1"/>
    <col min="13841" max="13841" width="10.375" style="791" customWidth="1"/>
    <col min="13842" max="13842" width="9.5" style="791" customWidth="1"/>
    <col min="13843" max="13843" width="9.125" style="791" customWidth="1"/>
    <col min="13844" max="14083" width="21.5" style="791"/>
    <col min="14084" max="14084" width="6.375" style="791" customWidth="1"/>
    <col min="14085" max="14085" width="35.875" style="791" customWidth="1"/>
    <col min="14086" max="14086" width="8.625" style="791" customWidth="1"/>
    <col min="14087" max="14087" width="9.5" style="791" customWidth="1"/>
    <col min="14088" max="14088" width="7.875" style="791" customWidth="1"/>
    <col min="14089" max="14089" width="8.125" style="791" customWidth="1"/>
    <col min="14090" max="14090" width="8.5" style="791" customWidth="1"/>
    <col min="14091" max="14091" width="8.75" style="791" customWidth="1"/>
    <col min="14092" max="14092" width="10" style="791" customWidth="1"/>
    <col min="14093" max="14093" width="9" style="791" customWidth="1"/>
    <col min="14094" max="14094" width="10.125" style="791" customWidth="1"/>
    <col min="14095" max="14095" width="10.875" style="791" customWidth="1"/>
    <col min="14096" max="14096" width="9.625" style="791" customWidth="1"/>
    <col min="14097" max="14097" width="10.375" style="791" customWidth="1"/>
    <col min="14098" max="14098" width="9.5" style="791" customWidth="1"/>
    <col min="14099" max="14099" width="9.125" style="791" customWidth="1"/>
    <col min="14100" max="14339" width="21.5" style="791"/>
    <col min="14340" max="14340" width="6.375" style="791" customWidth="1"/>
    <col min="14341" max="14341" width="35.875" style="791" customWidth="1"/>
    <col min="14342" max="14342" width="8.625" style="791" customWidth="1"/>
    <col min="14343" max="14343" width="9.5" style="791" customWidth="1"/>
    <col min="14344" max="14344" width="7.875" style="791" customWidth="1"/>
    <col min="14345" max="14345" width="8.125" style="791" customWidth="1"/>
    <col min="14346" max="14346" width="8.5" style="791" customWidth="1"/>
    <col min="14347" max="14347" width="8.75" style="791" customWidth="1"/>
    <col min="14348" max="14348" width="10" style="791" customWidth="1"/>
    <col min="14349" max="14349" width="9" style="791" customWidth="1"/>
    <col min="14350" max="14350" width="10.125" style="791" customWidth="1"/>
    <col min="14351" max="14351" width="10.875" style="791" customWidth="1"/>
    <col min="14352" max="14352" width="9.625" style="791" customWidth="1"/>
    <col min="14353" max="14353" width="10.375" style="791" customWidth="1"/>
    <col min="14354" max="14354" width="9.5" style="791" customWidth="1"/>
    <col min="14355" max="14355" width="9.125" style="791" customWidth="1"/>
    <col min="14356" max="14595" width="21.5" style="791"/>
    <col min="14596" max="14596" width="6.375" style="791" customWidth="1"/>
    <col min="14597" max="14597" width="35.875" style="791" customWidth="1"/>
    <col min="14598" max="14598" width="8.625" style="791" customWidth="1"/>
    <col min="14599" max="14599" width="9.5" style="791" customWidth="1"/>
    <col min="14600" max="14600" width="7.875" style="791" customWidth="1"/>
    <col min="14601" max="14601" width="8.125" style="791" customWidth="1"/>
    <col min="14602" max="14602" width="8.5" style="791" customWidth="1"/>
    <col min="14603" max="14603" width="8.75" style="791" customWidth="1"/>
    <col min="14604" max="14604" width="10" style="791" customWidth="1"/>
    <col min="14605" max="14605" width="9" style="791" customWidth="1"/>
    <col min="14606" max="14606" width="10.125" style="791" customWidth="1"/>
    <col min="14607" max="14607" width="10.875" style="791" customWidth="1"/>
    <col min="14608" max="14608" width="9.625" style="791" customWidth="1"/>
    <col min="14609" max="14609" width="10.375" style="791" customWidth="1"/>
    <col min="14610" max="14610" width="9.5" style="791" customWidth="1"/>
    <col min="14611" max="14611" width="9.125" style="791" customWidth="1"/>
    <col min="14612" max="14851" width="21.5" style="791"/>
    <col min="14852" max="14852" width="6.375" style="791" customWidth="1"/>
    <col min="14853" max="14853" width="35.875" style="791" customWidth="1"/>
    <col min="14854" max="14854" width="8.625" style="791" customWidth="1"/>
    <col min="14855" max="14855" width="9.5" style="791" customWidth="1"/>
    <col min="14856" max="14856" width="7.875" style="791" customWidth="1"/>
    <col min="14857" max="14857" width="8.125" style="791" customWidth="1"/>
    <col min="14858" max="14858" width="8.5" style="791" customWidth="1"/>
    <col min="14859" max="14859" width="8.75" style="791" customWidth="1"/>
    <col min="14860" max="14860" width="10" style="791" customWidth="1"/>
    <col min="14861" max="14861" width="9" style="791" customWidth="1"/>
    <col min="14862" max="14862" width="10.125" style="791" customWidth="1"/>
    <col min="14863" max="14863" width="10.875" style="791" customWidth="1"/>
    <col min="14864" max="14864" width="9.625" style="791" customWidth="1"/>
    <col min="14865" max="14865" width="10.375" style="791" customWidth="1"/>
    <col min="14866" max="14866" width="9.5" style="791" customWidth="1"/>
    <col min="14867" max="14867" width="9.125" style="791" customWidth="1"/>
    <col min="14868" max="15107" width="21.5" style="791"/>
    <col min="15108" max="15108" width="6.375" style="791" customWidth="1"/>
    <col min="15109" max="15109" width="35.875" style="791" customWidth="1"/>
    <col min="15110" max="15110" width="8.625" style="791" customWidth="1"/>
    <col min="15111" max="15111" width="9.5" style="791" customWidth="1"/>
    <col min="15112" max="15112" width="7.875" style="791" customWidth="1"/>
    <col min="15113" max="15113" width="8.125" style="791" customWidth="1"/>
    <col min="15114" max="15114" width="8.5" style="791" customWidth="1"/>
    <col min="15115" max="15115" width="8.75" style="791" customWidth="1"/>
    <col min="15116" max="15116" width="10" style="791" customWidth="1"/>
    <col min="15117" max="15117" width="9" style="791" customWidth="1"/>
    <col min="15118" max="15118" width="10.125" style="791" customWidth="1"/>
    <col min="15119" max="15119" width="10.875" style="791" customWidth="1"/>
    <col min="15120" max="15120" width="9.625" style="791" customWidth="1"/>
    <col min="15121" max="15121" width="10.375" style="791" customWidth="1"/>
    <col min="15122" max="15122" width="9.5" style="791" customWidth="1"/>
    <col min="15123" max="15123" width="9.125" style="791" customWidth="1"/>
    <col min="15124" max="15363" width="21.5" style="791"/>
    <col min="15364" max="15364" width="6.375" style="791" customWidth="1"/>
    <col min="15365" max="15365" width="35.875" style="791" customWidth="1"/>
    <col min="15366" max="15366" width="8.625" style="791" customWidth="1"/>
    <col min="15367" max="15367" width="9.5" style="791" customWidth="1"/>
    <col min="15368" max="15368" width="7.875" style="791" customWidth="1"/>
    <col min="15369" max="15369" width="8.125" style="791" customWidth="1"/>
    <col min="15370" max="15370" width="8.5" style="791" customWidth="1"/>
    <col min="15371" max="15371" width="8.75" style="791" customWidth="1"/>
    <col min="15372" max="15372" width="10" style="791" customWidth="1"/>
    <col min="15373" max="15373" width="9" style="791" customWidth="1"/>
    <col min="15374" max="15374" width="10.125" style="791" customWidth="1"/>
    <col min="15375" max="15375" width="10.875" style="791" customWidth="1"/>
    <col min="15376" max="15376" width="9.625" style="791" customWidth="1"/>
    <col min="15377" max="15377" width="10.375" style="791" customWidth="1"/>
    <col min="15378" max="15378" width="9.5" style="791" customWidth="1"/>
    <col min="15379" max="15379" width="9.125" style="791" customWidth="1"/>
    <col min="15380" max="15619" width="21.5" style="791"/>
    <col min="15620" max="15620" width="6.375" style="791" customWidth="1"/>
    <col min="15621" max="15621" width="35.875" style="791" customWidth="1"/>
    <col min="15622" max="15622" width="8.625" style="791" customWidth="1"/>
    <col min="15623" max="15623" width="9.5" style="791" customWidth="1"/>
    <col min="15624" max="15624" width="7.875" style="791" customWidth="1"/>
    <col min="15625" max="15625" width="8.125" style="791" customWidth="1"/>
    <col min="15626" max="15626" width="8.5" style="791" customWidth="1"/>
    <col min="15627" max="15627" width="8.75" style="791" customWidth="1"/>
    <col min="15628" max="15628" width="10" style="791" customWidth="1"/>
    <col min="15629" max="15629" width="9" style="791" customWidth="1"/>
    <col min="15630" max="15630" width="10.125" style="791" customWidth="1"/>
    <col min="15631" max="15631" width="10.875" style="791" customWidth="1"/>
    <col min="15632" max="15632" width="9.625" style="791" customWidth="1"/>
    <col min="15633" max="15633" width="10.375" style="791" customWidth="1"/>
    <col min="15634" max="15634" width="9.5" style="791" customWidth="1"/>
    <col min="15635" max="15635" width="9.125" style="791" customWidth="1"/>
    <col min="15636" max="15875" width="21.5" style="791"/>
    <col min="15876" max="15876" width="6.375" style="791" customWidth="1"/>
    <col min="15877" max="15877" width="35.875" style="791" customWidth="1"/>
    <col min="15878" max="15878" width="8.625" style="791" customWidth="1"/>
    <col min="15879" max="15879" width="9.5" style="791" customWidth="1"/>
    <col min="15880" max="15880" width="7.875" style="791" customWidth="1"/>
    <col min="15881" max="15881" width="8.125" style="791" customWidth="1"/>
    <col min="15882" max="15882" width="8.5" style="791" customWidth="1"/>
    <col min="15883" max="15883" width="8.75" style="791" customWidth="1"/>
    <col min="15884" max="15884" width="10" style="791" customWidth="1"/>
    <col min="15885" max="15885" width="9" style="791" customWidth="1"/>
    <col min="15886" max="15886" width="10.125" style="791" customWidth="1"/>
    <col min="15887" max="15887" width="10.875" style="791" customWidth="1"/>
    <col min="15888" max="15888" width="9.625" style="791" customWidth="1"/>
    <col min="15889" max="15889" width="10.375" style="791" customWidth="1"/>
    <col min="15890" max="15890" width="9.5" style="791" customWidth="1"/>
    <col min="15891" max="15891" width="9.125" style="791" customWidth="1"/>
    <col min="15892" max="16131" width="21.5" style="791"/>
    <col min="16132" max="16132" width="6.375" style="791" customWidth="1"/>
    <col min="16133" max="16133" width="35.875" style="791" customWidth="1"/>
    <col min="16134" max="16134" width="8.625" style="791" customWidth="1"/>
    <col min="16135" max="16135" width="9.5" style="791" customWidth="1"/>
    <col min="16136" max="16136" width="7.875" style="791" customWidth="1"/>
    <col min="16137" max="16137" width="8.125" style="791" customWidth="1"/>
    <col min="16138" max="16138" width="8.5" style="791" customWidth="1"/>
    <col min="16139" max="16139" width="8.75" style="791" customWidth="1"/>
    <col min="16140" max="16140" width="10" style="791" customWidth="1"/>
    <col min="16141" max="16141" width="9" style="791" customWidth="1"/>
    <col min="16142" max="16142" width="10.125" style="791" customWidth="1"/>
    <col min="16143" max="16143" width="10.875" style="791" customWidth="1"/>
    <col min="16144" max="16144" width="9.625" style="791" customWidth="1"/>
    <col min="16145" max="16145" width="10.375" style="791" customWidth="1"/>
    <col min="16146" max="16146" width="9.5" style="791" customWidth="1"/>
    <col min="16147" max="16147" width="9.125" style="791" customWidth="1"/>
    <col min="16148" max="16384" width="21.5" style="791"/>
  </cols>
  <sheetData>
    <row r="2" spans="1:16" s="742" customFormat="1" ht="79.5" customHeight="1" x14ac:dyDescent="0.25">
      <c r="A2" s="778" t="s">
        <v>0</v>
      </c>
      <c r="B2" s="778" t="s">
        <v>63</v>
      </c>
      <c r="C2" s="779" t="s">
        <v>651</v>
      </c>
      <c r="D2" s="115" t="s">
        <v>1480</v>
      </c>
      <c r="E2" s="115" t="s">
        <v>677</v>
      </c>
      <c r="F2" s="115" t="s">
        <v>678</v>
      </c>
      <c r="G2" s="115" t="s">
        <v>679</v>
      </c>
      <c r="H2" s="115" t="s">
        <v>680</v>
      </c>
      <c r="I2" s="779" t="s">
        <v>1481</v>
      </c>
      <c r="J2" s="779" t="s">
        <v>682</v>
      </c>
      <c r="K2" s="779" t="s">
        <v>683</v>
      </c>
      <c r="L2" s="779" t="s">
        <v>1482</v>
      </c>
      <c r="M2" s="832"/>
      <c r="N2" s="832"/>
      <c r="O2" s="832"/>
    </row>
    <row r="3" spans="1:16" s="782" customFormat="1" ht="30.75" customHeight="1" x14ac:dyDescent="0.2">
      <c r="A3" s="780"/>
      <c r="B3" s="780" t="s">
        <v>651</v>
      </c>
      <c r="C3" s="781">
        <f>C4+C200</f>
        <v>106507.90771307996</v>
      </c>
      <c r="D3" s="118">
        <f t="shared" ref="D3:K3" si="0">D4+D200</f>
        <v>107133.10401307995</v>
      </c>
      <c r="E3" s="118">
        <f>E4+E200</f>
        <v>1268.72</v>
      </c>
      <c r="F3" s="118">
        <f t="shared" si="0"/>
        <v>-619.98500000000001</v>
      </c>
      <c r="G3" s="118">
        <f t="shared" si="0"/>
        <v>3795.7374999999997</v>
      </c>
      <c r="H3" s="118">
        <f t="shared" si="0"/>
        <v>3083.5423999999998</v>
      </c>
      <c r="I3" s="781">
        <f t="shared" si="0"/>
        <v>-9406</v>
      </c>
      <c r="J3" s="781">
        <f t="shared" si="0"/>
        <v>686</v>
      </c>
      <c r="K3" s="781">
        <f t="shared" si="0"/>
        <v>431.2</v>
      </c>
      <c r="L3" s="781">
        <f>L4+L200</f>
        <v>135.58879999999999</v>
      </c>
      <c r="M3" s="833"/>
      <c r="N3" s="833"/>
      <c r="O3" s="833"/>
      <c r="P3" s="782">
        <f>C3-2310</f>
        <v>104197.90771307996</v>
      </c>
    </row>
    <row r="4" spans="1:16" s="154" customFormat="1" ht="30.75" customHeight="1" x14ac:dyDescent="0.2">
      <c r="A4" s="783" t="s">
        <v>9</v>
      </c>
      <c r="B4" s="784" t="s">
        <v>685</v>
      </c>
      <c r="C4" s="123">
        <f>C5+C40+C72+C73+C76+SUM(C79:C81)+C84+C91+C97+C100+C101+C110+C120+SUM(C125:C127)+C144+C145+C148+C158+C159+C162+C163+SUM(C174:C196)+C197+C198</f>
        <v>40996.318913079958</v>
      </c>
      <c r="D4" s="123">
        <f>D5+D40+D72+D73+D76+SUM(D79:D81)+D84+D91+D97+D100+D101+D110+D120+SUM(D125:D127)+D144+D145+D148+D158+D159+D162+D163+SUM(D174:D196)+D197+D198</f>
        <v>33922.104013079959</v>
      </c>
      <c r="E4" s="123">
        <f>E5+E40+E72+E73+E76+SUM(E79:E81)+E84+E91+E97+E100+E101+E110+E120+SUM(E125:E127)+E144+E145+E148+E158+E159+E162+E163+SUM(E174:E196)</f>
        <v>1526.72</v>
      </c>
      <c r="F4" s="123">
        <f t="shared" ref="F4:K4" si="1">F5+F40+F72+F73+F76+SUM(F79:F81)+F84+F91+F97+F100+F101+F110+F120+SUM(F125:F127)+F144+F145+F148+F158+F159+F162+F163+SUM(F174:F196)</f>
        <v>45.015000000000001</v>
      </c>
      <c r="G4" s="123">
        <f t="shared" si="1"/>
        <v>4079.7374999999997</v>
      </c>
      <c r="H4" s="123">
        <f>H5+H40+H72+H73+H76+SUM(H79:H81)+H84+H91+H97+H100+H101+H110+H120+SUM(H125:H127)+H144+H145+H148+H158+H159+H162+H163+SUM(H174:H196)</f>
        <v>30.542400000000001</v>
      </c>
      <c r="I4" s="123">
        <f t="shared" si="1"/>
        <v>1376</v>
      </c>
      <c r="J4" s="123">
        <f t="shared" si="1"/>
        <v>0</v>
      </c>
      <c r="K4" s="123">
        <f t="shared" si="1"/>
        <v>16.2</v>
      </c>
      <c r="L4" s="123">
        <f>L5+L40+L72+L73+L76+SUM(L79:L81)+L84+L91+L97+L100+L101+L110+L120+SUM(L125:L127)+L144+L145+L148+L158+L159+L162+L163+SUM(L174:L196)</f>
        <v>0</v>
      </c>
      <c r="M4" s="834"/>
      <c r="N4" s="834"/>
      <c r="O4" s="834"/>
    </row>
    <row r="5" spans="1:16" s="782" customFormat="1" ht="30.75" customHeight="1" x14ac:dyDescent="0.25">
      <c r="A5" s="785">
        <v>1</v>
      </c>
      <c r="B5" s="786" t="s">
        <v>172</v>
      </c>
      <c r="C5" s="787">
        <f>D5+E5+F5+G5+H5+I5</f>
        <v>15992.132919999973</v>
      </c>
      <c r="D5" s="127">
        <v>12171.485519999973</v>
      </c>
      <c r="E5" s="127">
        <f t="shared" ref="E5:L5" si="2">E6+E10+E38+E39</f>
        <v>721.22</v>
      </c>
      <c r="F5" s="127">
        <f t="shared" si="2"/>
        <v>34.844999999999999</v>
      </c>
      <c r="G5" s="127">
        <f t="shared" si="2"/>
        <v>1682.88</v>
      </c>
      <c r="H5" s="127">
        <f t="shared" si="2"/>
        <v>5.7023999999999999</v>
      </c>
      <c r="I5" s="787">
        <f>I6+I10+I38+I39</f>
        <v>1376</v>
      </c>
      <c r="J5" s="787">
        <f t="shared" si="2"/>
        <v>0</v>
      </c>
      <c r="K5" s="787">
        <f t="shared" si="2"/>
        <v>0</v>
      </c>
      <c r="L5" s="787">
        <f t="shared" si="2"/>
        <v>0</v>
      </c>
      <c r="M5" s="833"/>
      <c r="N5" s="833"/>
      <c r="O5" s="833"/>
    </row>
    <row r="6" spans="1:16" ht="30.75" hidden="1" customHeight="1" x14ac:dyDescent="0.25">
      <c r="A6" s="788"/>
      <c r="B6" s="789" t="s">
        <v>686</v>
      </c>
      <c r="C6" s="790">
        <f>SUM(D6:K6)</f>
        <v>865.19139999999993</v>
      </c>
      <c r="D6" s="131">
        <v>390.68900000000002</v>
      </c>
      <c r="E6" s="131">
        <f>SUM(E7:E9)</f>
        <v>0</v>
      </c>
      <c r="F6" s="131">
        <f t="shared" ref="F6:K6" si="3">SUM(F7:F9)</f>
        <v>0</v>
      </c>
      <c r="G6" s="131">
        <f t="shared" si="3"/>
        <v>0</v>
      </c>
      <c r="H6" s="131">
        <f t="shared" si="3"/>
        <v>5.7023999999999999</v>
      </c>
      <c r="I6" s="413">
        <f>SUM(I7:I9)</f>
        <v>468.79999999999995</v>
      </c>
      <c r="J6" s="413">
        <f t="shared" si="3"/>
        <v>0</v>
      </c>
      <c r="K6" s="413">
        <f t="shared" si="3"/>
        <v>0</v>
      </c>
      <c r="L6" s="413">
        <f>SUM(L7:L9)</f>
        <v>0</v>
      </c>
      <c r="M6" s="835"/>
      <c r="N6" s="835"/>
      <c r="O6" s="835"/>
    </row>
    <row r="7" spans="1:16" ht="30.75" hidden="1" customHeight="1" x14ac:dyDescent="0.25">
      <c r="A7" s="788"/>
      <c r="B7" s="789" t="s">
        <v>687</v>
      </c>
      <c r="C7" s="790">
        <f t="shared" ref="C7:C70" si="4">SUM(D7:K7)</f>
        <v>898.70240000000001</v>
      </c>
      <c r="D7" s="131">
        <f>904-11</f>
        <v>893</v>
      </c>
      <c r="E7" s="131"/>
      <c r="F7" s="131"/>
      <c r="G7" s="131"/>
      <c r="H7" s="131">
        <v>5.7023999999999999</v>
      </c>
      <c r="I7" s="413"/>
      <c r="J7" s="413"/>
      <c r="K7" s="790"/>
      <c r="L7" s="790"/>
      <c r="M7" s="836"/>
      <c r="N7" s="836"/>
      <c r="O7" s="836"/>
    </row>
    <row r="8" spans="1:16" ht="30.75" hidden="1" customHeight="1" x14ac:dyDescent="0.25">
      <c r="A8" s="788"/>
      <c r="B8" s="792" t="s">
        <v>688</v>
      </c>
      <c r="C8" s="790">
        <f t="shared" si="4"/>
        <v>838.8</v>
      </c>
      <c r="D8" s="131">
        <v>370</v>
      </c>
      <c r="E8" s="131"/>
      <c r="F8" s="131"/>
      <c r="G8" s="131"/>
      <c r="H8" s="131"/>
      <c r="I8" s="413">
        <v>468.79999999999995</v>
      </c>
      <c r="J8" s="413"/>
      <c r="K8" s="790"/>
      <c r="L8" s="790"/>
      <c r="M8" s="836"/>
      <c r="N8" s="836"/>
      <c r="O8" s="836"/>
    </row>
    <row r="9" spans="1:16" ht="30.75" hidden="1" customHeight="1" x14ac:dyDescent="0.25">
      <c r="A9" s="788"/>
      <c r="B9" s="792" t="s">
        <v>689</v>
      </c>
      <c r="C9" s="790">
        <f t="shared" si="4"/>
        <v>198</v>
      </c>
      <c r="D9" s="131">
        <v>198</v>
      </c>
      <c r="E9" s="131"/>
      <c r="F9" s="131"/>
      <c r="G9" s="131"/>
      <c r="H9" s="131"/>
      <c r="I9" s="413"/>
      <c r="J9" s="413"/>
      <c r="K9" s="790"/>
      <c r="L9" s="790"/>
      <c r="M9" s="836"/>
      <c r="N9" s="836"/>
      <c r="O9" s="836"/>
    </row>
    <row r="10" spans="1:16" ht="30.75" hidden="1" customHeight="1" x14ac:dyDescent="0.25">
      <c r="A10" s="788"/>
      <c r="B10" s="789" t="s">
        <v>690</v>
      </c>
      <c r="C10" s="790">
        <f t="shared" si="4"/>
        <v>14572.845000000001</v>
      </c>
      <c r="D10" s="131">
        <v>11226.7</v>
      </c>
      <c r="E10" s="131">
        <v>721.22</v>
      </c>
      <c r="F10" s="131">
        <f>23.23/8*12</f>
        <v>34.844999999999999</v>
      </c>
      <c r="G10" s="131">
        <f>1121.92/8*12</f>
        <v>1682.88</v>
      </c>
      <c r="H10" s="131">
        <f>SUM(H11:H37)</f>
        <v>0</v>
      </c>
      <c r="I10" s="413">
        <f>453.6*2</f>
        <v>907.2</v>
      </c>
      <c r="J10" s="413">
        <f>SUM(J11:J37)</f>
        <v>0</v>
      </c>
      <c r="K10" s="413">
        <f>SUM(K11:K37)</f>
        <v>0</v>
      </c>
      <c r="L10" s="413">
        <f>SUM(L11:L37)</f>
        <v>0</v>
      </c>
      <c r="M10" s="835"/>
      <c r="N10" s="835"/>
      <c r="O10" s="835"/>
    </row>
    <row r="11" spans="1:16" ht="30.75" hidden="1" customHeight="1" x14ac:dyDescent="0.25">
      <c r="A11" s="788"/>
      <c r="B11" s="789" t="s">
        <v>691</v>
      </c>
      <c r="C11" s="790">
        <f t="shared" si="4"/>
        <v>290</v>
      </c>
      <c r="D11" s="131">
        <f>307-17</f>
        <v>290</v>
      </c>
      <c r="E11" s="131"/>
      <c r="F11" s="131"/>
      <c r="G11" s="131"/>
      <c r="H11" s="131"/>
      <c r="I11" s="413"/>
      <c r="J11" s="413"/>
      <c r="K11" s="790"/>
      <c r="L11" s="790"/>
      <c r="M11" s="836"/>
      <c r="N11" s="836"/>
      <c r="O11" s="836"/>
    </row>
    <row r="12" spans="1:16" ht="30.75" hidden="1" customHeight="1" x14ac:dyDescent="0.25">
      <c r="A12" s="788"/>
      <c r="B12" s="792" t="s">
        <v>692</v>
      </c>
      <c r="C12" s="790">
        <f t="shared" si="4"/>
        <v>329</v>
      </c>
      <c r="D12" s="131">
        <f>362-33</f>
        <v>329</v>
      </c>
      <c r="E12" s="131"/>
      <c r="F12" s="131"/>
      <c r="G12" s="131"/>
      <c r="H12" s="131"/>
      <c r="I12" s="413"/>
      <c r="J12" s="413"/>
      <c r="K12" s="790"/>
      <c r="L12" s="790"/>
      <c r="M12" s="836"/>
      <c r="N12" s="836"/>
      <c r="O12" s="836"/>
    </row>
    <row r="13" spans="1:16" ht="30.75" hidden="1" customHeight="1" x14ac:dyDescent="0.25">
      <c r="A13" s="788"/>
      <c r="B13" s="792" t="s">
        <v>693</v>
      </c>
      <c r="C13" s="790">
        <f t="shared" si="4"/>
        <v>629</v>
      </c>
      <c r="D13" s="131">
        <f>702-73</f>
        <v>629</v>
      </c>
      <c r="E13" s="131"/>
      <c r="F13" s="131"/>
      <c r="G13" s="131"/>
      <c r="H13" s="131"/>
      <c r="I13" s="413"/>
      <c r="J13" s="413"/>
      <c r="K13" s="790"/>
      <c r="L13" s="790"/>
      <c r="M13" s="836"/>
      <c r="N13" s="836"/>
      <c r="O13" s="836"/>
    </row>
    <row r="14" spans="1:16" ht="30.75" hidden="1" customHeight="1" x14ac:dyDescent="0.25">
      <c r="A14" s="788"/>
      <c r="B14" s="793" t="s">
        <v>694</v>
      </c>
      <c r="C14" s="790">
        <f t="shared" si="4"/>
        <v>156</v>
      </c>
      <c r="D14" s="131">
        <f>160-4</f>
        <v>156</v>
      </c>
      <c r="E14" s="131"/>
      <c r="F14" s="131"/>
      <c r="G14" s="131"/>
      <c r="H14" s="131"/>
      <c r="I14" s="413"/>
      <c r="J14" s="413"/>
      <c r="K14" s="790"/>
      <c r="L14" s="790"/>
      <c r="M14" s="836"/>
      <c r="N14" s="836"/>
      <c r="O14" s="836"/>
    </row>
    <row r="15" spans="1:16" ht="30.75" hidden="1" customHeight="1" x14ac:dyDescent="0.25">
      <c r="A15" s="788"/>
      <c r="B15" s="789" t="s">
        <v>695</v>
      </c>
      <c r="C15" s="790">
        <f t="shared" si="4"/>
        <v>1493</v>
      </c>
      <c r="D15" s="131">
        <f>1601-108</f>
        <v>1493</v>
      </c>
      <c r="E15" s="131"/>
      <c r="F15" s="131"/>
      <c r="G15" s="131"/>
      <c r="H15" s="131"/>
      <c r="I15" s="413"/>
      <c r="J15" s="413"/>
      <c r="K15" s="790"/>
      <c r="L15" s="790"/>
      <c r="M15" s="836"/>
      <c r="N15" s="836"/>
      <c r="O15" s="836"/>
    </row>
    <row r="16" spans="1:16" ht="30.75" hidden="1" customHeight="1" x14ac:dyDescent="0.25">
      <c r="A16" s="788"/>
      <c r="B16" s="792" t="s">
        <v>696</v>
      </c>
      <c r="C16" s="790">
        <f t="shared" si="4"/>
        <v>8622</v>
      </c>
      <c r="D16" s="131">
        <f>9525-903</f>
        <v>8622</v>
      </c>
      <c r="E16" s="131"/>
      <c r="F16" s="131"/>
      <c r="G16" s="131"/>
      <c r="H16" s="131"/>
      <c r="I16" s="413"/>
      <c r="J16" s="413"/>
      <c r="K16" s="790"/>
      <c r="L16" s="790"/>
      <c r="M16" s="836"/>
      <c r="N16" s="836"/>
      <c r="O16" s="836"/>
    </row>
    <row r="17" spans="1:15" ht="30.75" hidden="1" customHeight="1" x14ac:dyDescent="0.25">
      <c r="A17" s="788"/>
      <c r="B17" s="792" t="s">
        <v>697</v>
      </c>
      <c r="C17" s="790">
        <f t="shared" si="4"/>
        <v>903</v>
      </c>
      <c r="D17" s="131">
        <f>1075-172</f>
        <v>903</v>
      </c>
      <c r="E17" s="131"/>
      <c r="F17" s="131"/>
      <c r="G17" s="131"/>
      <c r="H17" s="131"/>
      <c r="I17" s="413"/>
      <c r="J17" s="413"/>
      <c r="K17" s="790"/>
      <c r="L17" s="790"/>
      <c r="M17" s="836"/>
      <c r="N17" s="836"/>
      <c r="O17" s="836"/>
    </row>
    <row r="18" spans="1:15" ht="30.75" hidden="1" customHeight="1" x14ac:dyDescent="0.25">
      <c r="A18" s="788"/>
      <c r="B18" s="792" t="s">
        <v>698</v>
      </c>
      <c r="C18" s="790">
        <f t="shared" si="4"/>
        <v>211</v>
      </c>
      <c r="D18" s="131">
        <f>234-23</f>
        <v>211</v>
      </c>
      <c r="E18" s="131"/>
      <c r="F18" s="131"/>
      <c r="G18" s="131"/>
      <c r="H18" s="131"/>
      <c r="I18" s="413"/>
      <c r="J18" s="413"/>
      <c r="K18" s="790"/>
      <c r="L18" s="790"/>
      <c r="M18" s="836"/>
      <c r="N18" s="836"/>
      <c r="O18" s="836"/>
    </row>
    <row r="19" spans="1:15" ht="30.75" hidden="1" customHeight="1" x14ac:dyDescent="0.25">
      <c r="A19" s="788"/>
      <c r="B19" s="792" t="s">
        <v>699</v>
      </c>
      <c r="C19" s="790">
        <f t="shared" si="4"/>
        <v>634</v>
      </c>
      <c r="D19" s="131">
        <f>723-89</f>
        <v>634</v>
      </c>
      <c r="E19" s="131"/>
      <c r="F19" s="131"/>
      <c r="G19" s="131"/>
      <c r="H19" s="131"/>
      <c r="I19" s="413"/>
      <c r="J19" s="413"/>
      <c r="K19" s="790"/>
      <c r="L19" s="790"/>
      <c r="M19" s="836"/>
      <c r="N19" s="836"/>
      <c r="O19" s="836"/>
    </row>
    <row r="20" spans="1:15" ht="30.75" hidden="1" customHeight="1" x14ac:dyDescent="0.25">
      <c r="A20" s="788"/>
      <c r="B20" s="792" t="s">
        <v>700</v>
      </c>
      <c r="C20" s="790">
        <f t="shared" si="4"/>
        <v>1406</v>
      </c>
      <c r="D20" s="131">
        <f>1621-215</f>
        <v>1406</v>
      </c>
      <c r="E20" s="131"/>
      <c r="F20" s="131"/>
      <c r="G20" s="131"/>
      <c r="H20" s="131"/>
      <c r="I20" s="413"/>
      <c r="J20" s="413"/>
      <c r="K20" s="790"/>
      <c r="L20" s="790"/>
      <c r="M20" s="836"/>
      <c r="N20" s="836"/>
      <c r="O20" s="836"/>
    </row>
    <row r="21" spans="1:15" ht="30.75" hidden="1" customHeight="1" x14ac:dyDescent="0.25">
      <c r="A21" s="788"/>
      <c r="B21" s="792" t="s">
        <v>701</v>
      </c>
      <c r="C21" s="790">
        <f t="shared" si="4"/>
        <v>898</v>
      </c>
      <c r="D21" s="131">
        <f>1007-109</f>
        <v>898</v>
      </c>
      <c r="E21" s="131"/>
      <c r="F21" s="131"/>
      <c r="G21" s="131"/>
      <c r="H21" s="131"/>
      <c r="I21" s="413"/>
      <c r="J21" s="413"/>
      <c r="K21" s="790"/>
      <c r="L21" s="790"/>
      <c r="M21" s="836"/>
      <c r="N21" s="836"/>
      <c r="O21" s="836"/>
    </row>
    <row r="22" spans="1:15" ht="30.75" hidden="1" customHeight="1" x14ac:dyDescent="0.25">
      <c r="A22" s="788"/>
      <c r="B22" s="792" t="s">
        <v>702</v>
      </c>
      <c r="C22" s="790">
        <f t="shared" si="4"/>
        <v>1535</v>
      </c>
      <c r="D22" s="131">
        <f>1658-203</f>
        <v>1455</v>
      </c>
      <c r="E22" s="131">
        <v>40</v>
      </c>
      <c r="F22" s="131">
        <v>40</v>
      </c>
      <c r="G22" s="131"/>
      <c r="H22" s="131"/>
      <c r="I22" s="413"/>
      <c r="J22" s="413"/>
      <c r="K22" s="790"/>
      <c r="L22" s="790"/>
      <c r="M22" s="836"/>
      <c r="N22" s="836"/>
      <c r="O22" s="836"/>
    </row>
    <row r="23" spans="1:15" ht="30.75" hidden="1" customHeight="1" x14ac:dyDescent="0.25">
      <c r="A23" s="788"/>
      <c r="B23" s="792" t="s">
        <v>703</v>
      </c>
      <c r="C23" s="790">
        <f t="shared" si="4"/>
        <v>2199</v>
      </c>
      <c r="D23" s="131">
        <f>2248-49</f>
        <v>2199</v>
      </c>
      <c r="E23" s="131"/>
      <c r="F23" s="131"/>
      <c r="G23" s="131"/>
      <c r="H23" s="131"/>
      <c r="I23" s="413"/>
      <c r="J23" s="413"/>
      <c r="K23" s="790"/>
      <c r="L23" s="790"/>
      <c r="M23" s="836"/>
      <c r="N23" s="836"/>
      <c r="O23" s="836"/>
    </row>
    <row r="24" spans="1:15" ht="30.75" hidden="1" customHeight="1" x14ac:dyDescent="0.25">
      <c r="A24" s="788"/>
      <c r="B24" s="792" t="s">
        <v>704</v>
      </c>
      <c r="C24" s="790">
        <f t="shared" si="4"/>
        <v>2548</v>
      </c>
      <c r="D24" s="131">
        <f>2237-117</f>
        <v>2120</v>
      </c>
      <c r="E24" s="131">
        <v>214</v>
      </c>
      <c r="F24" s="131">
        <v>214</v>
      </c>
      <c r="G24" s="131"/>
      <c r="H24" s="131"/>
      <c r="I24" s="413"/>
      <c r="J24" s="413"/>
      <c r="K24" s="790"/>
      <c r="L24" s="790"/>
      <c r="M24" s="836"/>
      <c r="N24" s="836"/>
      <c r="O24" s="836"/>
    </row>
    <row r="25" spans="1:15" ht="30.75" hidden="1" customHeight="1" x14ac:dyDescent="0.25">
      <c r="A25" s="788"/>
      <c r="B25" s="792" t="s">
        <v>705</v>
      </c>
      <c r="C25" s="790">
        <f t="shared" si="4"/>
        <v>3189</v>
      </c>
      <c r="D25" s="131">
        <f>3265-76</f>
        <v>3189</v>
      </c>
      <c r="E25" s="131"/>
      <c r="F25" s="131"/>
      <c r="G25" s="131"/>
      <c r="H25" s="131"/>
      <c r="I25" s="413"/>
      <c r="J25" s="413"/>
      <c r="K25" s="790"/>
      <c r="L25" s="790"/>
      <c r="M25" s="836"/>
      <c r="N25" s="836"/>
      <c r="O25" s="836"/>
    </row>
    <row r="26" spans="1:15" ht="30.75" hidden="1" customHeight="1" x14ac:dyDescent="0.25">
      <c r="A26" s="788"/>
      <c r="B26" s="792" t="s">
        <v>706</v>
      </c>
      <c r="C26" s="790">
        <f t="shared" si="4"/>
        <v>2344</v>
      </c>
      <c r="D26" s="131">
        <f>1862-140</f>
        <v>1722</v>
      </c>
      <c r="E26" s="131">
        <v>311</v>
      </c>
      <c r="F26" s="131">
        <v>311</v>
      </c>
      <c r="G26" s="131"/>
      <c r="H26" s="131"/>
      <c r="I26" s="413"/>
      <c r="J26" s="413"/>
      <c r="K26" s="790"/>
      <c r="L26" s="790"/>
      <c r="M26" s="836"/>
      <c r="N26" s="836"/>
      <c r="O26" s="836"/>
    </row>
    <row r="27" spans="1:15" ht="30.75" hidden="1" customHeight="1" x14ac:dyDescent="0.25">
      <c r="A27" s="788"/>
      <c r="B27" s="792" t="s">
        <v>707</v>
      </c>
      <c r="C27" s="790">
        <f t="shared" si="4"/>
        <v>2101</v>
      </c>
      <c r="D27" s="131">
        <f>2325-224</f>
        <v>2101</v>
      </c>
      <c r="E27" s="131"/>
      <c r="F27" s="131"/>
      <c r="G27" s="131"/>
      <c r="H27" s="131"/>
      <c r="I27" s="413"/>
      <c r="J27" s="413"/>
      <c r="K27" s="790"/>
      <c r="L27" s="790"/>
      <c r="M27" s="836"/>
      <c r="N27" s="836"/>
      <c r="O27" s="836"/>
    </row>
    <row r="28" spans="1:15" ht="30.75" hidden="1" customHeight="1" x14ac:dyDescent="0.25">
      <c r="A28" s="788"/>
      <c r="B28" s="792" t="s">
        <v>708</v>
      </c>
      <c r="C28" s="790">
        <f t="shared" si="4"/>
        <v>3145</v>
      </c>
      <c r="D28" s="131">
        <f>2588-207</f>
        <v>2381</v>
      </c>
      <c r="E28" s="131">
        <v>382</v>
      </c>
      <c r="F28" s="131">
        <v>382</v>
      </c>
      <c r="G28" s="131"/>
      <c r="H28" s="131"/>
      <c r="I28" s="413"/>
      <c r="J28" s="413"/>
      <c r="K28" s="790"/>
      <c r="L28" s="790"/>
      <c r="M28" s="836"/>
      <c r="N28" s="836"/>
      <c r="O28" s="836"/>
    </row>
    <row r="29" spans="1:15" ht="30.75" hidden="1" customHeight="1" x14ac:dyDescent="0.25">
      <c r="A29" s="788"/>
      <c r="B29" s="792" t="s">
        <v>709</v>
      </c>
      <c r="C29" s="790">
        <f t="shared" si="4"/>
        <v>3599</v>
      </c>
      <c r="D29" s="131">
        <f>3692-93</f>
        <v>3599</v>
      </c>
      <c r="E29" s="131"/>
      <c r="F29" s="131"/>
      <c r="G29" s="131"/>
      <c r="H29" s="131"/>
      <c r="I29" s="413"/>
      <c r="J29" s="413"/>
      <c r="K29" s="790"/>
      <c r="L29" s="790"/>
      <c r="M29" s="836"/>
      <c r="N29" s="836"/>
      <c r="O29" s="836"/>
    </row>
    <row r="30" spans="1:15" ht="30.75" hidden="1" customHeight="1" x14ac:dyDescent="0.25">
      <c r="A30" s="788"/>
      <c r="B30" s="792" t="s">
        <v>710</v>
      </c>
      <c r="C30" s="790">
        <f t="shared" si="4"/>
        <v>2608</v>
      </c>
      <c r="D30" s="131">
        <f>2088-106</f>
        <v>1982</v>
      </c>
      <c r="E30" s="131">
        <v>313</v>
      </c>
      <c r="F30" s="131">
        <v>313</v>
      </c>
      <c r="G30" s="131"/>
      <c r="H30" s="131"/>
      <c r="I30" s="413"/>
      <c r="J30" s="413"/>
      <c r="K30" s="790"/>
      <c r="L30" s="790"/>
      <c r="M30" s="836"/>
      <c r="N30" s="836"/>
      <c r="O30" s="836"/>
    </row>
    <row r="31" spans="1:15" ht="30.75" hidden="1" customHeight="1" x14ac:dyDescent="0.25">
      <c r="A31" s="788"/>
      <c r="B31" s="792" t="s">
        <v>711</v>
      </c>
      <c r="C31" s="790">
        <f t="shared" si="4"/>
        <v>1607</v>
      </c>
      <c r="D31" s="131">
        <f>1636-29</f>
        <v>1607</v>
      </c>
      <c r="E31" s="131"/>
      <c r="F31" s="131"/>
      <c r="G31" s="131"/>
      <c r="H31" s="131"/>
      <c r="I31" s="413"/>
      <c r="J31" s="413"/>
      <c r="K31" s="790"/>
      <c r="L31" s="790"/>
      <c r="M31" s="836"/>
      <c r="N31" s="836"/>
      <c r="O31" s="836"/>
    </row>
    <row r="32" spans="1:15" ht="30.75" hidden="1" customHeight="1" x14ac:dyDescent="0.25">
      <c r="A32" s="788"/>
      <c r="B32" s="792" t="s">
        <v>712</v>
      </c>
      <c r="C32" s="790">
        <f t="shared" si="4"/>
        <v>3383</v>
      </c>
      <c r="D32" s="131">
        <f>2687-238</f>
        <v>2449</v>
      </c>
      <c r="E32" s="131">
        <v>467</v>
      </c>
      <c r="F32" s="131">
        <v>467</v>
      </c>
      <c r="G32" s="131"/>
      <c r="H32" s="131"/>
      <c r="I32" s="413"/>
      <c r="J32" s="413"/>
      <c r="K32" s="790"/>
      <c r="L32" s="790"/>
      <c r="M32" s="836"/>
      <c r="N32" s="836"/>
      <c r="O32" s="836"/>
    </row>
    <row r="33" spans="1:15" ht="30.75" hidden="1" customHeight="1" x14ac:dyDescent="0.25">
      <c r="A33" s="788"/>
      <c r="B33" s="792" t="s">
        <v>713</v>
      </c>
      <c r="C33" s="790">
        <f t="shared" si="4"/>
        <v>2443</v>
      </c>
      <c r="D33" s="131">
        <f>2455-12</f>
        <v>2443</v>
      </c>
      <c r="E33" s="131"/>
      <c r="F33" s="131"/>
      <c r="G33" s="131"/>
      <c r="H33" s="131"/>
      <c r="I33" s="413"/>
      <c r="J33" s="413"/>
      <c r="K33" s="790"/>
      <c r="L33" s="790"/>
      <c r="M33" s="836"/>
      <c r="N33" s="836"/>
      <c r="O33" s="836"/>
    </row>
    <row r="34" spans="1:15" ht="30.75" hidden="1" customHeight="1" x14ac:dyDescent="0.25">
      <c r="A34" s="788"/>
      <c r="B34" s="792" t="s">
        <v>714</v>
      </c>
      <c r="C34" s="790">
        <f t="shared" si="4"/>
        <v>2946</v>
      </c>
      <c r="D34" s="131">
        <f>2078-188-126</f>
        <v>1764</v>
      </c>
      <c r="E34" s="131">
        <v>334</v>
      </c>
      <c r="F34" s="131">
        <v>334</v>
      </c>
      <c r="G34" s="131">
        <v>514</v>
      </c>
      <c r="H34" s="131"/>
      <c r="I34" s="413"/>
      <c r="J34" s="413"/>
      <c r="K34" s="790"/>
      <c r="L34" s="790"/>
      <c r="M34" s="836"/>
      <c r="N34" s="836"/>
      <c r="O34" s="836"/>
    </row>
    <row r="35" spans="1:15" ht="30.75" hidden="1" customHeight="1" x14ac:dyDescent="0.25">
      <c r="A35" s="788"/>
      <c r="B35" s="792" t="s">
        <v>715</v>
      </c>
      <c r="C35" s="790">
        <f t="shared" si="4"/>
        <v>2307</v>
      </c>
      <c r="D35" s="131">
        <f>1607-154-97</f>
        <v>1356</v>
      </c>
      <c r="E35" s="131">
        <v>265</v>
      </c>
      <c r="F35" s="131">
        <v>265</v>
      </c>
      <c r="G35" s="131">
        <v>421</v>
      </c>
      <c r="H35" s="131"/>
      <c r="I35" s="413"/>
      <c r="J35" s="413"/>
      <c r="K35" s="790"/>
      <c r="L35" s="790"/>
      <c r="M35" s="836"/>
      <c r="N35" s="836"/>
      <c r="O35" s="836"/>
    </row>
    <row r="36" spans="1:15" ht="30.75" hidden="1" customHeight="1" x14ac:dyDescent="0.25">
      <c r="A36" s="788"/>
      <c r="B36" s="792" t="s">
        <v>716</v>
      </c>
      <c r="C36" s="790">
        <f t="shared" si="4"/>
        <v>0</v>
      </c>
      <c r="D36" s="131"/>
      <c r="E36" s="131"/>
      <c r="F36" s="131"/>
      <c r="G36" s="131"/>
      <c r="H36" s="131"/>
      <c r="I36" s="413"/>
      <c r="J36" s="413"/>
      <c r="K36" s="790"/>
      <c r="L36" s="790"/>
      <c r="M36" s="836"/>
      <c r="N36" s="836"/>
      <c r="O36" s="836"/>
    </row>
    <row r="37" spans="1:15" ht="30.75" hidden="1" customHeight="1" x14ac:dyDescent="0.25">
      <c r="A37" s="788"/>
      <c r="B37" s="789" t="s">
        <v>717</v>
      </c>
      <c r="C37" s="790">
        <f t="shared" si="4"/>
        <v>856</v>
      </c>
      <c r="D37" s="127">
        <f>984-142</f>
        <v>842</v>
      </c>
      <c r="E37" s="131">
        <v>7</v>
      </c>
      <c r="F37" s="131">
        <v>7</v>
      </c>
      <c r="G37" s="131"/>
      <c r="H37" s="131"/>
      <c r="I37" s="413"/>
      <c r="J37" s="413"/>
      <c r="K37" s="790"/>
      <c r="L37" s="790"/>
      <c r="M37" s="836"/>
      <c r="N37" s="836"/>
      <c r="O37" s="836"/>
    </row>
    <row r="38" spans="1:15" ht="30.75" hidden="1" customHeight="1" x14ac:dyDescent="0.25">
      <c r="A38" s="788"/>
      <c r="B38" s="794" t="s">
        <v>718</v>
      </c>
      <c r="C38" s="790">
        <f t="shared" si="4"/>
        <v>152.24600000000001</v>
      </c>
      <c r="D38" s="131">
        <v>152.24600000000001</v>
      </c>
      <c r="E38" s="131"/>
      <c r="F38" s="131"/>
      <c r="G38" s="131"/>
      <c r="H38" s="131"/>
      <c r="I38" s="413"/>
      <c r="J38" s="413"/>
      <c r="K38" s="790"/>
      <c r="L38" s="790"/>
      <c r="M38" s="836"/>
      <c r="N38" s="836"/>
      <c r="O38" s="836"/>
    </row>
    <row r="39" spans="1:15" ht="30.75" hidden="1" customHeight="1" x14ac:dyDescent="0.25">
      <c r="A39" s="788"/>
      <c r="B39" s="794" t="s">
        <v>719</v>
      </c>
      <c r="C39" s="790">
        <f t="shared" si="4"/>
        <v>209.63399999999999</v>
      </c>
      <c r="D39" s="131">
        <v>209.63399999999999</v>
      </c>
      <c r="E39" s="131"/>
      <c r="F39" s="131"/>
      <c r="G39" s="131"/>
      <c r="H39" s="131"/>
      <c r="I39" s="413"/>
      <c r="J39" s="413"/>
      <c r="K39" s="790"/>
      <c r="L39" s="790"/>
      <c r="M39" s="836"/>
      <c r="N39" s="836"/>
      <c r="O39" s="836"/>
    </row>
    <row r="40" spans="1:15" s="782" customFormat="1" ht="30.75" customHeight="1" x14ac:dyDescent="0.2">
      <c r="A40" s="795">
        <v>2</v>
      </c>
      <c r="B40" s="796" t="s">
        <v>720</v>
      </c>
      <c r="C40" s="797">
        <f t="shared" si="4"/>
        <v>9991.5838116000159</v>
      </c>
      <c r="D40" s="127">
        <v>7373.7532116000157</v>
      </c>
      <c r="E40" s="127">
        <f>E41+E42</f>
        <v>805.5</v>
      </c>
      <c r="F40" s="127">
        <f t="shared" ref="F40:K40" si="5">F41+F42</f>
        <v>0</v>
      </c>
      <c r="G40" s="127">
        <f t="shared" si="5"/>
        <v>1810.905</v>
      </c>
      <c r="H40" s="127">
        <f t="shared" si="5"/>
        <v>1.4255999999999998</v>
      </c>
      <c r="I40" s="787"/>
      <c r="J40" s="787"/>
      <c r="K40" s="787">
        <f t="shared" si="5"/>
        <v>0</v>
      </c>
      <c r="L40" s="787">
        <f>L41+L42</f>
        <v>0</v>
      </c>
      <c r="M40" s="833"/>
      <c r="N40" s="833"/>
      <c r="O40" s="833"/>
    </row>
    <row r="41" spans="1:15" ht="30.75" hidden="1" customHeight="1" x14ac:dyDescent="0.25">
      <c r="A41" s="788"/>
      <c r="B41" s="789" t="s">
        <v>721</v>
      </c>
      <c r="C41" s="790">
        <f t="shared" si="4"/>
        <v>323.05659999999995</v>
      </c>
      <c r="D41" s="131">
        <v>321.63099999999997</v>
      </c>
      <c r="E41" s="131"/>
      <c r="F41" s="131"/>
      <c r="G41" s="131"/>
      <c r="H41" s="131">
        <v>1.4255999999999998</v>
      </c>
      <c r="I41" s="413"/>
      <c r="J41" s="413"/>
      <c r="K41" s="790"/>
      <c r="L41" s="790"/>
      <c r="M41" s="836"/>
      <c r="N41" s="836"/>
      <c r="O41" s="836"/>
    </row>
    <row r="42" spans="1:15" ht="30.75" hidden="1" customHeight="1" x14ac:dyDescent="0.25">
      <c r="A42" s="788"/>
      <c r="B42" s="789" t="s">
        <v>722</v>
      </c>
      <c r="C42" s="790">
        <f t="shared" si="4"/>
        <v>9591.4050000000007</v>
      </c>
      <c r="D42" s="131">
        <v>6975</v>
      </c>
      <c r="E42" s="131">
        <f>537/8*12</f>
        <v>805.5</v>
      </c>
      <c r="F42" s="131"/>
      <c r="G42" s="131">
        <f>1207.27/8*12</f>
        <v>1810.905</v>
      </c>
      <c r="H42" s="131"/>
      <c r="I42" s="413">
        <f>SUM(I43:I71)</f>
        <v>0</v>
      </c>
      <c r="J42" s="413">
        <f>SUM(J43:J71)</f>
        <v>0</v>
      </c>
      <c r="K42" s="413">
        <f>SUM(K43:K71)</f>
        <v>0</v>
      </c>
      <c r="L42" s="413">
        <f>SUM(L43:L71)</f>
        <v>0</v>
      </c>
      <c r="M42" s="835"/>
      <c r="N42" s="835"/>
      <c r="O42" s="835"/>
    </row>
    <row r="43" spans="1:15" ht="30.75" hidden="1" customHeight="1" x14ac:dyDescent="0.25">
      <c r="A43" s="788"/>
      <c r="B43" s="789" t="s">
        <v>723</v>
      </c>
      <c r="C43" s="790">
        <f t="shared" si="4"/>
        <v>2192</v>
      </c>
      <c r="D43" s="131">
        <f>2388-196</f>
        <v>2192</v>
      </c>
      <c r="E43" s="131"/>
      <c r="F43" s="131"/>
      <c r="G43" s="131"/>
      <c r="H43" s="131"/>
      <c r="I43" s="413"/>
      <c r="J43" s="413"/>
      <c r="K43" s="790"/>
      <c r="L43" s="790"/>
      <c r="M43" s="836"/>
      <c r="N43" s="836"/>
      <c r="O43" s="836"/>
    </row>
    <row r="44" spans="1:15" ht="30.75" hidden="1" customHeight="1" x14ac:dyDescent="0.25">
      <c r="A44" s="788"/>
      <c r="B44" s="789" t="s">
        <v>724</v>
      </c>
      <c r="C44" s="790">
        <f t="shared" si="4"/>
        <v>2085</v>
      </c>
      <c r="D44" s="131">
        <f>2271-186</f>
        <v>2085</v>
      </c>
      <c r="E44" s="131"/>
      <c r="F44" s="131"/>
      <c r="G44" s="131"/>
      <c r="H44" s="131"/>
      <c r="I44" s="413"/>
      <c r="J44" s="413"/>
      <c r="K44" s="790"/>
      <c r="L44" s="790"/>
      <c r="M44" s="836"/>
      <c r="N44" s="836"/>
      <c r="O44" s="836"/>
    </row>
    <row r="45" spans="1:15" ht="30.75" hidden="1" customHeight="1" x14ac:dyDescent="0.25">
      <c r="A45" s="788"/>
      <c r="B45" s="789" t="s">
        <v>725</v>
      </c>
      <c r="C45" s="790">
        <f t="shared" si="4"/>
        <v>1705</v>
      </c>
      <c r="D45" s="131">
        <f>1843-138</f>
        <v>1705</v>
      </c>
      <c r="E45" s="131"/>
      <c r="F45" s="131"/>
      <c r="G45" s="131"/>
      <c r="H45" s="131"/>
      <c r="I45" s="413"/>
      <c r="J45" s="413"/>
      <c r="K45" s="790"/>
      <c r="L45" s="790"/>
      <c r="M45" s="836"/>
      <c r="N45" s="836"/>
      <c r="O45" s="836"/>
    </row>
    <row r="46" spans="1:15" ht="30.75" hidden="1" customHeight="1" x14ac:dyDescent="0.25">
      <c r="A46" s="788"/>
      <c r="B46" s="789" t="s">
        <v>726</v>
      </c>
      <c r="C46" s="790">
        <f t="shared" si="4"/>
        <v>875</v>
      </c>
      <c r="D46" s="131">
        <f>928-53</f>
        <v>875</v>
      </c>
      <c r="E46" s="131"/>
      <c r="F46" s="131"/>
      <c r="G46" s="131"/>
      <c r="H46" s="131"/>
      <c r="I46" s="413"/>
      <c r="J46" s="413"/>
      <c r="K46" s="790"/>
      <c r="L46" s="790"/>
      <c r="M46" s="836"/>
      <c r="N46" s="836"/>
      <c r="O46" s="836"/>
    </row>
    <row r="47" spans="1:15" ht="30.75" hidden="1" customHeight="1" x14ac:dyDescent="0.25">
      <c r="A47" s="788"/>
      <c r="B47" s="789" t="s">
        <v>727</v>
      </c>
      <c r="C47" s="790">
        <f t="shared" si="4"/>
        <v>1679</v>
      </c>
      <c r="D47" s="131">
        <f>1824-145</f>
        <v>1679</v>
      </c>
      <c r="E47" s="131"/>
      <c r="F47" s="131"/>
      <c r="G47" s="131"/>
      <c r="H47" s="131"/>
      <c r="I47" s="413"/>
      <c r="J47" s="413"/>
      <c r="K47" s="790"/>
      <c r="L47" s="790"/>
      <c r="M47" s="836"/>
      <c r="N47" s="836"/>
      <c r="O47" s="836"/>
    </row>
    <row r="48" spans="1:15" ht="30.75" hidden="1" customHeight="1" x14ac:dyDescent="0.25">
      <c r="A48" s="788"/>
      <c r="B48" s="789" t="s">
        <v>728</v>
      </c>
      <c r="C48" s="790">
        <f t="shared" si="4"/>
        <v>1836</v>
      </c>
      <c r="D48" s="131">
        <f>1946-110</f>
        <v>1836</v>
      </c>
      <c r="E48" s="131"/>
      <c r="F48" s="131"/>
      <c r="G48" s="131"/>
      <c r="H48" s="131"/>
      <c r="I48" s="413"/>
      <c r="J48" s="413"/>
      <c r="K48" s="790"/>
      <c r="L48" s="790"/>
      <c r="M48" s="836"/>
      <c r="N48" s="836"/>
      <c r="O48" s="836"/>
    </row>
    <row r="49" spans="1:15" ht="30.75" hidden="1" customHeight="1" x14ac:dyDescent="0.25">
      <c r="A49" s="788"/>
      <c r="B49" s="789" t="s">
        <v>729</v>
      </c>
      <c r="C49" s="790">
        <f t="shared" si="4"/>
        <v>1282</v>
      </c>
      <c r="D49" s="131">
        <f>1367-85</f>
        <v>1282</v>
      </c>
      <c r="E49" s="131"/>
      <c r="F49" s="131"/>
      <c r="G49" s="131"/>
      <c r="H49" s="131"/>
      <c r="I49" s="413"/>
      <c r="J49" s="413"/>
      <c r="K49" s="790"/>
      <c r="L49" s="790"/>
      <c r="M49" s="836"/>
      <c r="N49" s="836"/>
      <c r="O49" s="836"/>
    </row>
    <row r="50" spans="1:15" ht="30.75" hidden="1" customHeight="1" x14ac:dyDescent="0.25">
      <c r="A50" s="788"/>
      <c r="B50" s="789" t="s">
        <v>730</v>
      </c>
      <c r="C50" s="790">
        <f t="shared" si="4"/>
        <v>1914</v>
      </c>
      <c r="D50" s="131">
        <f>2073-159</f>
        <v>1914</v>
      </c>
      <c r="E50" s="131"/>
      <c r="F50" s="131"/>
      <c r="G50" s="131"/>
      <c r="H50" s="131"/>
      <c r="I50" s="413"/>
      <c r="J50" s="413"/>
      <c r="K50" s="790"/>
      <c r="L50" s="790"/>
      <c r="M50" s="836"/>
      <c r="N50" s="836"/>
      <c r="O50" s="836"/>
    </row>
    <row r="51" spans="1:15" ht="30.75" hidden="1" customHeight="1" x14ac:dyDescent="0.25">
      <c r="A51" s="788"/>
      <c r="B51" s="789" t="s">
        <v>731</v>
      </c>
      <c r="C51" s="790">
        <f t="shared" si="4"/>
        <v>1683</v>
      </c>
      <c r="D51" s="131">
        <f>1297-45-38</f>
        <v>1214</v>
      </c>
      <c r="E51" s="131">
        <v>173</v>
      </c>
      <c r="F51" s="131">
        <v>173</v>
      </c>
      <c r="G51" s="131">
        <v>123</v>
      </c>
      <c r="H51" s="131"/>
      <c r="I51" s="413"/>
      <c r="J51" s="413"/>
      <c r="K51" s="790"/>
      <c r="L51" s="790"/>
      <c r="M51" s="836"/>
      <c r="N51" s="836"/>
      <c r="O51" s="836"/>
    </row>
    <row r="52" spans="1:15" ht="30.75" hidden="1" customHeight="1" x14ac:dyDescent="0.25">
      <c r="A52" s="788"/>
      <c r="B52" s="789" t="s">
        <v>732</v>
      </c>
      <c r="C52" s="790">
        <f t="shared" si="4"/>
        <v>1665</v>
      </c>
      <c r="D52" s="131">
        <f>1861-196</f>
        <v>1665</v>
      </c>
      <c r="E52" s="131"/>
      <c r="F52" s="131"/>
      <c r="G52" s="131"/>
      <c r="H52" s="131"/>
      <c r="I52" s="413"/>
      <c r="J52" s="413"/>
      <c r="K52" s="790"/>
      <c r="L52" s="790"/>
      <c r="M52" s="836"/>
      <c r="N52" s="836"/>
      <c r="O52" s="836"/>
    </row>
    <row r="53" spans="1:15" ht="30.75" hidden="1" customHeight="1" x14ac:dyDescent="0.25">
      <c r="A53" s="788"/>
      <c r="B53" s="789" t="s">
        <v>733</v>
      </c>
      <c r="C53" s="790">
        <f t="shared" si="4"/>
        <v>1867</v>
      </c>
      <c r="D53" s="131">
        <f>1878-363-102</f>
        <v>1413</v>
      </c>
      <c r="E53" s="131">
        <v>167</v>
      </c>
      <c r="F53" s="131">
        <v>167</v>
      </c>
      <c r="G53" s="131">
        <v>120</v>
      </c>
      <c r="H53" s="131"/>
      <c r="I53" s="413"/>
      <c r="J53" s="413"/>
      <c r="K53" s="790"/>
      <c r="L53" s="790"/>
      <c r="M53" s="836"/>
      <c r="N53" s="836"/>
      <c r="O53" s="836"/>
    </row>
    <row r="54" spans="1:15" ht="30.75" hidden="1" customHeight="1" x14ac:dyDescent="0.25">
      <c r="A54" s="788"/>
      <c r="B54" s="789" t="s">
        <v>734</v>
      </c>
      <c r="C54" s="790">
        <f t="shared" si="4"/>
        <v>1871</v>
      </c>
      <c r="D54" s="131">
        <f>1519-35-82</f>
        <v>1402</v>
      </c>
      <c r="E54" s="131">
        <v>186</v>
      </c>
      <c r="F54" s="131">
        <v>186</v>
      </c>
      <c r="G54" s="131">
        <v>97</v>
      </c>
      <c r="H54" s="131"/>
      <c r="I54" s="413"/>
      <c r="J54" s="413"/>
      <c r="K54" s="790"/>
      <c r="L54" s="790"/>
      <c r="M54" s="836"/>
      <c r="N54" s="836"/>
      <c r="O54" s="836"/>
    </row>
    <row r="55" spans="1:15" ht="30.75" hidden="1" customHeight="1" x14ac:dyDescent="0.25">
      <c r="A55" s="788"/>
      <c r="B55" s="789" t="s">
        <v>735</v>
      </c>
      <c r="C55" s="790">
        <f t="shared" si="4"/>
        <v>1036</v>
      </c>
      <c r="D55" s="131">
        <f>1120-84</f>
        <v>1036</v>
      </c>
      <c r="E55" s="131"/>
      <c r="F55" s="131"/>
      <c r="G55" s="131"/>
      <c r="H55" s="131"/>
      <c r="I55" s="413"/>
      <c r="J55" s="413"/>
      <c r="K55" s="790"/>
      <c r="L55" s="790"/>
      <c r="M55" s="836"/>
      <c r="N55" s="836"/>
      <c r="O55" s="836"/>
    </row>
    <row r="56" spans="1:15" ht="30.75" hidden="1" customHeight="1" x14ac:dyDescent="0.25">
      <c r="A56" s="788"/>
      <c r="B56" s="789" t="s">
        <v>736</v>
      </c>
      <c r="C56" s="790">
        <f t="shared" si="4"/>
        <v>1745</v>
      </c>
      <c r="D56" s="131">
        <f>1862-117</f>
        <v>1745</v>
      </c>
      <c r="E56" s="131"/>
      <c r="F56" s="131"/>
      <c r="G56" s="131"/>
      <c r="H56" s="131"/>
      <c r="I56" s="413"/>
      <c r="J56" s="413"/>
      <c r="K56" s="790"/>
      <c r="L56" s="790"/>
      <c r="M56" s="836"/>
      <c r="N56" s="836"/>
      <c r="O56" s="836"/>
    </row>
    <row r="57" spans="1:15" ht="30.75" hidden="1" customHeight="1" x14ac:dyDescent="0.25">
      <c r="A57" s="788"/>
      <c r="B57" s="792" t="s">
        <v>737</v>
      </c>
      <c r="C57" s="790">
        <f t="shared" si="4"/>
        <v>1015</v>
      </c>
      <c r="D57" s="131">
        <f>1085-70</f>
        <v>1015</v>
      </c>
      <c r="E57" s="131"/>
      <c r="F57" s="131"/>
      <c r="G57" s="131"/>
      <c r="H57" s="131"/>
      <c r="I57" s="413"/>
      <c r="J57" s="413"/>
      <c r="K57" s="790"/>
      <c r="L57" s="790"/>
      <c r="M57" s="836"/>
      <c r="N57" s="836"/>
      <c r="O57" s="836"/>
    </row>
    <row r="58" spans="1:15" ht="30.75" hidden="1" customHeight="1" x14ac:dyDescent="0.25">
      <c r="A58" s="788"/>
      <c r="B58" s="792" t="s">
        <v>738</v>
      </c>
      <c r="C58" s="790">
        <f t="shared" si="4"/>
        <v>1026</v>
      </c>
      <c r="D58" s="131">
        <f>1088-62</f>
        <v>1026</v>
      </c>
      <c r="E58" s="131"/>
      <c r="F58" s="131"/>
      <c r="G58" s="131"/>
      <c r="H58" s="131"/>
      <c r="I58" s="413"/>
      <c r="J58" s="413"/>
      <c r="K58" s="790"/>
      <c r="L58" s="790"/>
      <c r="M58" s="836"/>
      <c r="N58" s="836"/>
      <c r="O58" s="836"/>
    </row>
    <row r="59" spans="1:15" ht="30.75" hidden="1" customHeight="1" x14ac:dyDescent="0.25">
      <c r="A59" s="788"/>
      <c r="B59" s="792" t="s">
        <v>739</v>
      </c>
      <c r="C59" s="790">
        <f t="shared" si="4"/>
        <v>1071</v>
      </c>
      <c r="D59" s="131">
        <f>1143-72</f>
        <v>1071</v>
      </c>
      <c r="E59" s="131"/>
      <c r="F59" s="131"/>
      <c r="G59" s="131"/>
      <c r="H59" s="131"/>
      <c r="I59" s="413"/>
      <c r="J59" s="413"/>
      <c r="K59" s="790"/>
      <c r="L59" s="790"/>
      <c r="M59" s="836"/>
      <c r="N59" s="836"/>
      <c r="O59" s="836"/>
    </row>
    <row r="60" spans="1:15" ht="30.75" hidden="1" customHeight="1" x14ac:dyDescent="0.25">
      <c r="A60" s="788"/>
      <c r="B60" s="792" t="s">
        <v>740</v>
      </c>
      <c r="C60" s="790">
        <f t="shared" si="4"/>
        <v>1121</v>
      </c>
      <c r="D60" s="131">
        <f>1202-81</f>
        <v>1121</v>
      </c>
      <c r="E60" s="131"/>
      <c r="F60" s="131"/>
      <c r="G60" s="131"/>
      <c r="H60" s="131"/>
      <c r="I60" s="413"/>
      <c r="J60" s="413"/>
      <c r="K60" s="790"/>
      <c r="L60" s="790"/>
      <c r="M60" s="836"/>
      <c r="N60" s="836"/>
      <c r="O60" s="836"/>
    </row>
    <row r="61" spans="1:15" ht="30.75" hidden="1" customHeight="1" x14ac:dyDescent="0.25">
      <c r="A61" s="788"/>
      <c r="B61" s="792" t="s">
        <v>741</v>
      </c>
      <c r="C61" s="790">
        <f t="shared" si="4"/>
        <v>1168</v>
      </c>
      <c r="D61" s="131">
        <f>960-88-8</f>
        <v>864</v>
      </c>
      <c r="E61" s="131">
        <v>31</v>
      </c>
      <c r="F61" s="131">
        <v>31</v>
      </c>
      <c r="G61" s="131">
        <v>242</v>
      </c>
      <c r="H61" s="131"/>
      <c r="I61" s="413"/>
      <c r="J61" s="413"/>
      <c r="K61" s="790"/>
      <c r="L61" s="790"/>
      <c r="M61" s="836"/>
      <c r="N61" s="836"/>
      <c r="O61" s="836"/>
    </row>
    <row r="62" spans="1:15" ht="30.75" hidden="1" customHeight="1" x14ac:dyDescent="0.25">
      <c r="A62" s="788"/>
      <c r="B62" s="789" t="s">
        <v>742</v>
      </c>
      <c r="C62" s="790">
        <f t="shared" si="4"/>
        <v>862</v>
      </c>
      <c r="D62" s="131">
        <f>942-80</f>
        <v>862</v>
      </c>
      <c r="E62" s="131"/>
      <c r="F62" s="131"/>
      <c r="G62" s="131"/>
      <c r="H62" s="131"/>
      <c r="I62" s="413"/>
      <c r="J62" s="413"/>
      <c r="K62" s="790"/>
      <c r="L62" s="790"/>
      <c r="M62" s="836"/>
      <c r="N62" s="836"/>
      <c r="O62" s="836"/>
    </row>
    <row r="63" spans="1:15" ht="30.75" hidden="1" customHeight="1" x14ac:dyDescent="0.25">
      <c r="A63" s="788"/>
      <c r="B63" s="789" t="s">
        <v>743</v>
      </c>
      <c r="C63" s="790">
        <f t="shared" si="4"/>
        <v>609</v>
      </c>
      <c r="D63" s="131">
        <f>663-54</f>
        <v>609</v>
      </c>
      <c r="E63" s="131"/>
      <c r="F63" s="131"/>
      <c r="G63" s="131"/>
      <c r="H63" s="131"/>
      <c r="I63" s="413"/>
      <c r="J63" s="413"/>
      <c r="K63" s="790"/>
      <c r="L63" s="790"/>
      <c r="M63" s="836"/>
      <c r="N63" s="836"/>
      <c r="O63" s="836"/>
    </row>
    <row r="64" spans="1:15" ht="30.75" hidden="1" customHeight="1" x14ac:dyDescent="0.25">
      <c r="A64" s="788"/>
      <c r="B64" s="789" t="s">
        <v>744</v>
      </c>
      <c r="C64" s="790">
        <f t="shared" si="4"/>
        <v>498</v>
      </c>
      <c r="D64" s="131">
        <f>525-27</f>
        <v>498</v>
      </c>
      <c r="E64" s="131"/>
      <c r="F64" s="131"/>
      <c r="G64" s="131"/>
      <c r="H64" s="131"/>
      <c r="I64" s="413"/>
      <c r="J64" s="413"/>
      <c r="K64" s="790"/>
      <c r="L64" s="790"/>
      <c r="M64" s="836"/>
      <c r="N64" s="836"/>
      <c r="O64" s="836"/>
    </row>
    <row r="65" spans="1:15" ht="30.75" hidden="1" customHeight="1" x14ac:dyDescent="0.25">
      <c r="A65" s="788"/>
      <c r="B65" s="792" t="s">
        <v>745</v>
      </c>
      <c r="C65" s="790">
        <f t="shared" si="4"/>
        <v>318</v>
      </c>
      <c r="D65" s="131">
        <f>349-87-7</f>
        <v>255</v>
      </c>
      <c r="E65" s="131">
        <v>10</v>
      </c>
      <c r="F65" s="131">
        <v>10</v>
      </c>
      <c r="G65" s="131">
        <v>43</v>
      </c>
      <c r="H65" s="131"/>
      <c r="I65" s="413"/>
      <c r="J65" s="413"/>
      <c r="K65" s="790"/>
      <c r="L65" s="790"/>
      <c r="M65" s="836"/>
      <c r="N65" s="836"/>
      <c r="O65" s="836"/>
    </row>
    <row r="66" spans="1:15" ht="30.75" hidden="1" customHeight="1" x14ac:dyDescent="0.25">
      <c r="A66" s="788"/>
      <c r="B66" s="792" t="s">
        <v>746</v>
      </c>
      <c r="C66" s="790">
        <f t="shared" si="4"/>
        <v>197</v>
      </c>
      <c r="D66" s="131">
        <f>198-1</f>
        <v>197</v>
      </c>
      <c r="E66" s="131"/>
      <c r="F66" s="131"/>
      <c r="G66" s="131"/>
      <c r="H66" s="131"/>
      <c r="I66" s="413"/>
      <c r="J66" s="413"/>
      <c r="K66" s="790"/>
      <c r="L66" s="790"/>
      <c r="M66" s="836"/>
      <c r="N66" s="836"/>
      <c r="O66" s="836"/>
    </row>
    <row r="67" spans="1:15" ht="30.75" hidden="1" customHeight="1" x14ac:dyDescent="0.25">
      <c r="A67" s="788"/>
      <c r="B67" s="792" t="s">
        <v>747</v>
      </c>
      <c r="C67" s="790">
        <f t="shared" si="4"/>
        <v>182</v>
      </c>
      <c r="D67" s="131">
        <f>189-7</f>
        <v>182</v>
      </c>
      <c r="E67" s="131"/>
      <c r="F67" s="131"/>
      <c r="G67" s="131"/>
      <c r="H67" s="131"/>
      <c r="I67" s="413"/>
      <c r="J67" s="413"/>
      <c r="K67" s="790"/>
      <c r="L67" s="790"/>
      <c r="M67" s="836"/>
      <c r="N67" s="836"/>
      <c r="O67" s="836"/>
    </row>
    <row r="68" spans="1:15" ht="30.75" hidden="1" customHeight="1" x14ac:dyDescent="0.25">
      <c r="A68" s="788"/>
      <c r="B68" s="792" t="s">
        <v>748</v>
      </c>
      <c r="C68" s="790">
        <f t="shared" si="4"/>
        <v>179</v>
      </c>
      <c r="D68" s="131">
        <f>191-12</f>
        <v>179</v>
      </c>
      <c r="E68" s="131"/>
      <c r="F68" s="131"/>
      <c r="G68" s="131"/>
      <c r="H68" s="131"/>
      <c r="I68" s="413"/>
      <c r="J68" s="413"/>
      <c r="K68" s="790"/>
      <c r="L68" s="790"/>
      <c r="M68" s="836"/>
      <c r="N68" s="836"/>
      <c r="O68" s="836"/>
    </row>
    <row r="69" spans="1:15" ht="30.75" hidden="1" customHeight="1" x14ac:dyDescent="0.25">
      <c r="A69" s="788"/>
      <c r="B69" s="792" t="s">
        <v>749</v>
      </c>
      <c r="C69" s="790">
        <f t="shared" si="4"/>
        <v>292</v>
      </c>
      <c r="D69" s="131">
        <f>304-12</f>
        <v>292</v>
      </c>
      <c r="E69" s="131"/>
      <c r="F69" s="131"/>
      <c r="G69" s="131"/>
      <c r="H69" s="131"/>
      <c r="I69" s="413"/>
      <c r="J69" s="413"/>
      <c r="K69" s="790"/>
      <c r="L69" s="790"/>
      <c r="M69" s="836"/>
      <c r="N69" s="836"/>
      <c r="O69" s="836"/>
    </row>
    <row r="70" spans="1:15" ht="30.75" hidden="1" customHeight="1" x14ac:dyDescent="0.25">
      <c r="A70" s="788"/>
      <c r="B70" s="792" t="s">
        <v>750</v>
      </c>
      <c r="C70" s="790">
        <f t="shared" si="4"/>
        <v>171</v>
      </c>
      <c r="D70" s="131">
        <f>177-6</f>
        <v>171</v>
      </c>
      <c r="E70" s="131"/>
      <c r="F70" s="131"/>
      <c r="G70" s="131"/>
      <c r="H70" s="131"/>
      <c r="I70" s="413"/>
      <c r="J70" s="413"/>
      <c r="K70" s="790"/>
      <c r="L70" s="790"/>
      <c r="M70" s="836"/>
      <c r="N70" s="836"/>
      <c r="O70" s="836"/>
    </row>
    <row r="71" spans="1:15" ht="30.75" hidden="1" customHeight="1" x14ac:dyDescent="0.25">
      <c r="A71" s="788"/>
      <c r="B71" s="792" t="s">
        <v>751</v>
      </c>
      <c r="C71" s="790">
        <f t="shared" ref="C71:C134" si="6">SUM(D71:K71)</f>
        <v>290</v>
      </c>
      <c r="D71" s="131">
        <f>263-8-8</f>
        <v>247</v>
      </c>
      <c r="E71" s="131">
        <v>10</v>
      </c>
      <c r="F71" s="131">
        <v>10</v>
      </c>
      <c r="G71" s="131">
        <v>23</v>
      </c>
      <c r="H71" s="131"/>
      <c r="I71" s="413"/>
      <c r="J71" s="413"/>
      <c r="K71" s="790"/>
      <c r="L71" s="790"/>
      <c r="M71" s="836"/>
      <c r="N71" s="836"/>
      <c r="O71" s="836"/>
    </row>
    <row r="72" spans="1:15" s="782" customFormat="1" ht="30.75" customHeight="1" x14ac:dyDescent="0.2">
      <c r="A72" s="795">
        <v>3</v>
      </c>
      <c r="B72" s="798" t="s">
        <v>752</v>
      </c>
      <c r="C72" s="797">
        <f t="shared" si="6"/>
        <v>532.35119999999995</v>
      </c>
      <c r="D72" s="127">
        <v>531.01199999999994</v>
      </c>
      <c r="E72" s="127"/>
      <c r="F72" s="127"/>
      <c r="G72" s="127"/>
      <c r="H72" s="127">
        <v>1.3391999999999999</v>
      </c>
      <c r="I72" s="787"/>
      <c r="J72" s="787"/>
      <c r="K72" s="797"/>
      <c r="L72" s="797"/>
      <c r="M72" s="837"/>
      <c r="N72" s="837"/>
      <c r="O72" s="837"/>
    </row>
    <row r="73" spans="1:15" s="782" customFormat="1" ht="30.75" customHeight="1" x14ac:dyDescent="0.2">
      <c r="A73" s="795">
        <v>4</v>
      </c>
      <c r="B73" s="798" t="s">
        <v>753</v>
      </c>
      <c r="C73" s="797">
        <f t="shared" si="6"/>
        <v>214.81329599999975</v>
      </c>
      <c r="D73" s="127">
        <v>214.81329599999975</v>
      </c>
      <c r="E73" s="127"/>
      <c r="F73" s="127"/>
      <c r="G73" s="127"/>
      <c r="H73" s="127"/>
      <c r="I73" s="787"/>
      <c r="J73" s="787"/>
      <c r="K73" s="797"/>
      <c r="L73" s="797"/>
      <c r="M73" s="837"/>
      <c r="N73" s="837"/>
      <c r="O73" s="837"/>
    </row>
    <row r="74" spans="1:15" ht="30.75" hidden="1" customHeight="1" x14ac:dyDescent="0.25">
      <c r="A74" s="788"/>
      <c r="B74" s="789" t="s">
        <v>754</v>
      </c>
      <c r="C74" s="790">
        <f t="shared" si="6"/>
        <v>190.69800000000001</v>
      </c>
      <c r="D74" s="131">
        <v>190.69800000000001</v>
      </c>
      <c r="E74" s="131"/>
      <c r="F74" s="131"/>
      <c r="G74" s="131"/>
      <c r="H74" s="131"/>
      <c r="I74" s="413"/>
      <c r="J74" s="413"/>
      <c r="K74" s="790"/>
      <c r="L74" s="790"/>
      <c r="M74" s="836"/>
      <c r="N74" s="836"/>
      <c r="O74" s="836"/>
    </row>
    <row r="75" spans="1:15" ht="30.75" hidden="1" customHeight="1" x14ac:dyDescent="0.25">
      <c r="A75" s="788"/>
      <c r="B75" s="789" t="s">
        <v>755</v>
      </c>
      <c r="C75" s="790">
        <f t="shared" si="6"/>
        <v>33.21</v>
      </c>
      <c r="D75" s="131">
        <v>33.21</v>
      </c>
      <c r="E75" s="131"/>
      <c r="F75" s="131"/>
      <c r="G75" s="131"/>
      <c r="H75" s="131"/>
      <c r="I75" s="413"/>
      <c r="J75" s="413"/>
      <c r="K75" s="790"/>
      <c r="L75" s="790"/>
      <c r="M75" s="836"/>
      <c r="N75" s="836"/>
      <c r="O75" s="836"/>
    </row>
    <row r="76" spans="1:15" s="782" customFormat="1" ht="30.75" customHeight="1" x14ac:dyDescent="0.2">
      <c r="A76" s="795">
        <v>5</v>
      </c>
      <c r="B76" s="796" t="s">
        <v>756</v>
      </c>
      <c r="C76" s="797">
        <f t="shared" si="6"/>
        <v>430.2912</v>
      </c>
      <c r="D76" s="127">
        <v>429.16800000000001</v>
      </c>
      <c r="E76" s="127"/>
      <c r="F76" s="127"/>
      <c r="G76" s="127"/>
      <c r="H76" s="127">
        <f>SUM(H77:H78)</f>
        <v>1.1232</v>
      </c>
      <c r="I76" s="787"/>
      <c r="J76" s="787"/>
      <c r="K76" s="787">
        <f>SUM(K77:K78)</f>
        <v>0</v>
      </c>
      <c r="L76" s="787">
        <f>SUM(L77:L78)</f>
        <v>0</v>
      </c>
      <c r="M76" s="833"/>
      <c r="N76" s="833"/>
      <c r="O76" s="833"/>
    </row>
    <row r="77" spans="1:15" ht="30.75" hidden="1" customHeight="1" x14ac:dyDescent="0.25">
      <c r="A77" s="788"/>
      <c r="B77" s="789" t="s">
        <v>754</v>
      </c>
      <c r="C77" s="790">
        <f t="shared" si="6"/>
        <v>351.86320000000001</v>
      </c>
      <c r="D77" s="131">
        <v>350.74</v>
      </c>
      <c r="E77" s="131"/>
      <c r="F77" s="131"/>
      <c r="G77" s="131"/>
      <c r="H77" s="131">
        <v>1.1232</v>
      </c>
      <c r="I77" s="413"/>
      <c r="J77" s="413"/>
      <c r="K77" s="790"/>
      <c r="L77" s="790"/>
      <c r="M77" s="836"/>
      <c r="N77" s="836"/>
      <c r="O77" s="836"/>
    </row>
    <row r="78" spans="1:15" ht="30.75" hidden="1" customHeight="1" x14ac:dyDescent="0.25">
      <c r="A78" s="788"/>
      <c r="B78" s="789" t="s">
        <v>757</v>
      </c>
      <c r="C78" s="790">
        <f t="shared" si="6"/>
        <v>54.31</v>
      </c>
      <c r="D78" s="131">
        <v>54.31</v>
      </c>
      <c r="E78" s="131"/>
      <c r="F78" s="131"/>
      <c r="G78" s="131"/>
      <c r="H78" s="131"/>
      <c r="I78" s="413"/>
      <c r="J78" s="413"/>
      <c r="K78" s="790"/>
      <c r="L78" s="790"/>
      <c r="M78" s="836"/>
      <c r="N78" s="836"/>
      <c r="O78" s="836"/>
    </row>
    <row r="79" spans="1:15" s="782" customFormat="1" ht="30.75" customHeight="1" x14ac:dyDescent="0.2">
      <c r="A79" s="795">
        <v>6</v>
      </c>
      <c r="B79" s="796" t="s">
        <v>165</v>
      </c>
      <c r="C79" s="797">
        <f t="shared" si="6"/>
        <v>239.33340000000004</v>
      </c>
      <c r="D79" s="127">
        <v>238.38300000000004</v>
      </c>
      <c r="E79" s="127"/>
      <c r="F79" s="127"/>
      <c r="G79" s="127"/>
      <c r="H79" s="127">
        <v>0.95039999999999991</v>
      </c>
      <c r="I79" s="787"/>
      <c r="J79" s="787"/>
      <c r="K79" s="797"/>
      <c r="L79" s="797"/>
      <c r="M79" s="837"/>
      <c r="N79" s="837"/>
      <c r="O79" s="837"/>
    </row>
    <row r="80" spans="1:15" s="782" customFormat="1" ht="30.75" customHeight="1" x14ac:dyDescent="0.2">
      <c r="A80" s="795">
        <v>7</v>
      </c>
      <c r="B80" s="796" t="s">
        <v>161</v>
      </c>
      <c r="C80" s="797">
        <f t="shared" si="6"/>
        <v>210.65075568000006</v>
      </c>
      <c r="D80" s="127">
        <v>209.28995568000005</v>
      </c>
      <c r="E80" s="127"/>
      <c r="F80" s="127"/>
      <c r="G80" s="127"/>
      <c r="H80" s="127">
        <v>1.3607999999999998</v>
      </c>
      <c r="I80" s="787"/>
      <c r="J80" s="787"/>
      <c r="K80" s="797"/>
      <c r="L80" s="797"/>
      <c r="M80" s="837"/>
      <c r="N80" s="837"/>
      <c r="O80" s="837"/>
    </row>
    <row r="81" spans="1:15" s="782" customFormat="1" ht="30.75" customHeight="1" x14ac:dyDescent="0.2">
      <c r="A81" s="795">
        <v>8</v>
      </c>
      <c r="B81" s="796" t="s">
        <v>758</v>
      </c>
      <c r="C81" s="797">
        <f t="shared" si="6"/>
        <v>252.43181279999911</v>
      </c>
      <c r="D81" s="127">
        <v>251.22221279999911</v>
      </c>
      <c r="E81" s="127"/>
      <c r="F81" s="127"/>
      <c r="G81" s="127"/>
      <c r="H81" s="127">
        <f>H82</f>
        <v>1.2096</v>
      </c>
      <c r="I81" s="787"/>
      <c r="J81" s="787"/>
      <c r="K81" s="787">
        <f>SUM(K82:K83)</f>
        <v>0</v>
      </c>
      <c r="L81" s="787">
        <f>SUM(L82:L83)</f>
        <v>0</v>
      </c>
      <c r="M81" s="833"/>
      <c r="N81" s="833"/>
      <c r="O81" s="833"/>
    </row>
    <row r="82" spans="1:15" ht="30.75" hidden="1" customHeight="1" x14ac:dyDescent="0.25">
      <c r="A82" s="788"/>
      <c r="B82" s="789" t="s">
        <v>754</v>
      </c>
      <c r="C82" s="790">
        <f t="shared" si="6"/>
        <v>178.9256</v>
      </c>
      <c r="D82" s="131">
        <v>177.71600000000001</v>
      </c>
      <c r="E82" s="131"/>
      <c r="F82" s="131"/>
      <c r="G82" s="131"/>
      <c r="H82" s="131">
        <v>1.2096</v>
      </c>
      <c r="I82" s="413"/>
      <c r="J82" s="413"/>
      <c r="K82" s="790"/>
      <c r="L82" s="790"/>
      <c r="M82" s="836"/>
      <c r="N82" s="836"/>
      <c r="O82" s="836"/>
    </row>
    <row r="83" spans="1:15" ht="30.75" hidden="1" customHeight="1" x14ac:dyDescent="0.25">
      <c r="A83" s="788"/>
      <c r="B83" s="789" t="s">
        <v>759</v>
      </c>
      <c r="C83" s="790">
        <f t="shared" si="6"/>
        <v>104.518</v>
      </c>
      <c r="D83" s="131">
        <v>104.518</v>
      </c>
      <c r="E83" s="131"/>
      <c r="F83" s="131"/>
      <c r="G83" s="131"/>
      <c r="H83" s="131"/>
      <c r="I83" s="413"/>
      <c r="J83" s="413"/>
      <c r="K83" s="790"/>
      <c r="L83" s="790"/>
      <c r="M83" s="836"/>
      <c r="N83" s="836"/>
      <c r="O83" s="836"/>
    </row>
    <row r="84" spans="1:15" s="782" customFormat="1" ht="30.75" customHeight="1" x14ac:dyDescent="0.2">
      <c r="A84" s="795">
        <v>9</v>
      </c>
      <c r="B84" s="796" t="s">
        <v>160</v>
      </c>
      <c r="C84" s="797">
        <f t="shared" si="6"/>
        <v>372.80690207999959</v>
      </c>
      <c r="D84" s="127">
        <v>372.80690207999959</v>
      </c>
      <c r="E84" s="127"/>
      <c r="F84" s="127"/>
      <c r="G84" s="127"/>
      <c r="H84" s="127"/>
      <c r="I84" s="787"/>
      <c r="J84" s="787"/>
      <c r="K84" s="787">
        <f>K85+K90</f>
        <v>0</v>
      </c>
      <c r="L84" s="787">
        <f>L85+L90</f>
        <v>0</v>
      </c>
      <c r="M84" s="833"/>
      <c r="N84" s="833"/>
      <c r="O84" s="833"/>
    </row>
    <row r="85" spans="1:15" ht="30.75" hidden="1" customHeight="1" x14ac:dyDescent="0.25">
      <c r="A85" s="788"/>
      <c r="B85" s="789" t="s">
        <v>754</v>
      </c>
      <c r="C85" s="790">
        <f t="shared" si="6"/>
        <v>362.98200000000003</v>
      </c>
      <c r="D85" s="131">
        <v>362.98200000000003</v>
      </c>
      <c r="E85" s="131"/>
      <c r="F85" s="131"/>
      <c r="G85" s="131"/>
      <c r="H85" s="131"/>
      <c r="I85" s="413"/>
      <c r="J85" s="413"/>
      <c r="K85" s="413">
        <f>SUM(K86:K89)</f>
        <v>0</v>
      </c>
      <c r="L85" s="413">
        <f>SUM(L86:L89)</f>
        <v>0</v>
      </c>
      <c r="M85" s="835"/>
      <c r="N85" s="835"/>
      <c r="O85" s="835"/>
    </row>
    <row r="86" spans="1:15" ht="30.75" hidden="1" customHeight="1" x14ac:dyDescent="0.25">
      <c r="A86" s="788"/>
      <c r="B86" s="792" t="s">
        <v>760</v>
      </c>
      <c r="C86" s="790">
        <f t="shared" si="6"/>
        <v>724</v>
      </c>
      <c r="D86" s="131">
        <v>724</v>
      </c>
      <c r="E86" s="131"/>
      <c r="F86" s="131"/>
      <c r="G86" s="131"/>
      <c r="H86" s="131"/>
      <c r="I86" s="413"/>
      <c r="J86" s="413"/>
      <c r="K86" s="790"/>
      <c r="L86" s="790"/>
      <c r="M86" s="836"/>
      <c r="N86" s="836"/>
      <c r="O86" s="836"/>
    </row>
    <row r="87" spans="1:15" ht="30.75" hidden="1" customHeight="1" x14ac:dyDescent="0.25">
      <c r="A87" s="788"/>
      <c r="B87" s="792" t="s">
        <v>761</v>
      </c>
      <c r="C87" s="790">
        <f t="shared" si="6"/>
        <v>276</v>
      </c>
      <c r="D87" s="131">
        <v>276</v>
      </c>
      <c r="E87" s="131"/>
      <c r="F87" s="131"/>
      <c r="G87" s="131"/>
      <c r="H87" s="131"/>
      <c r="I87" s="413"/>
      <c r="J87" s="413"/>
      <c r="K87" s="790"/>
      <c r="L87" s="790"/>
      <c r="M87" s="836"/>
      <c r="N87" s="836"/>
      <c r="O87" s="836"/>
    </row>
    <row r="88" spans="1:15" ht="30.75" hidden="1" customHeight="1" x14ac:dyDescent="0.25">
      <c r="A88" s="788"/>
      <c r="B88" s="792" t="s">
        <v>762</v>
      </c>
      <c r="C88" s="790">
        <f t="shared" si="6"/>
        <v>197</v>
      </c>
      <c r="D88" s="131">
        <v>197</v>
      </c>
      <c r="E88" s="131"/>
      <c r="F88" s="131"/>
      <c r="G88" s="131"/>
      <c r="H88" s="131"/>
      <c r="I88" s="413"/>
      <c r="J88" s="413"/>
      <c r="K88" s="790"/>
      <c r="L88" s="790"/>
      <c r="M88" s="836"/>
      <c r="N88" s="836"/>
      <c r="O88" s="836"/>
    </row>
    <row r="89" spans="1:15" ht="30.75" hidden="1" customHeight="1" x14ac:dyDescent="0.25">
      <c r="A89" s="788"/>
      <c r="B89" s="792" t="s">
        <v>763</v>
      </c>
      <c r="C89" s="790">
        <f t="shared" si="6"/>
        <v>107</v>
      </c>
      <c r="D89" s="131">
        <v>107</v>
      </c>
      <c r="E89" s="131"/>
      <c r="F89" s="131"/>
      <c r="G89" s="131"/>
      <c r="H89" s="131"/>
      <c r="I89" s="413"/>
      <c r="J89" s="413"/>
      <c r="K89" s="790"/>
      <c r="L89" s="790"/>
      <c r="M89" s="836"/>
      <c r="N89" s="836"/>
      <c r="O89" s="836"/>
    </row>
    <row r="90" spans="1:15" ht="30.75" hidden="1" customHeight="1" x14ac:dyDescent="0.25">
      <c r="A90" s="788"/>
      <c r="B90" s="789" t="s">
        <v>757</v>
      </c>
      <c r="C90" s="790">
        <f t="shared" si="6"/>
        <v>27.012</v>
      </c>
      <c r="D90" s="131">
        <v>27.012</v>
      </c>
      <c r="E90" s="131"/>
      <c r="F90" s="131"/>
      <c r="G90" s="131"/>
      <c r="H90" s="131"/>
      <c r="I90" s="413"/>
      <c r="J90" s="413"/>
      <c r="K90" s="790"/>
      <c r="L90" s="790"/>
      <c r="M90" s="836"/>
      <c r="N90" s="836"/>
      <c r="O90" s="836"/>
    </row>
    <row r="91" spans="1:15" s="782" customFormat="1" ht="30.75" customHeight="1" x14ac:dyDescent="0.2">
      <c r="A91" s="795">
        <v>10</v>
      </c>
      <c r="B91" s="796" t="s">
        <v>163</v>
      </c>
      <c r="C91" s="797">
        <f t="shared" si="6"/>
        <v>372.49373123999959</v>
      </c>
      <c r="D91" s="127">
        <v>371.39213123999957</v>
      </c>
      <c r="E91" s="127">
        <f>SUM(E92:E93)</f>
        <v>0</v>
      </c>
      <c r="F91" s="127">
        <f>SUM(F92:F93)</f>
        <v>0</v>
      </c>
      <c r="G91" s="127">
        <f>SUM(G92:G93)</f>
        <v>0</v>
      </c>
      <c r="H91" s="127">
        <f>H92</f>
        <v>1.1015999999999999</v>
      </c>
      <c r="I91" s="787"/>
      <c r="J91" s="787"/>
      <c r="K91" s="787">
        <f>K92+K93</f>
        <v>0</v>
      </c>
      <c r="L91" s="787">
        <f>L92+L93</f>
        <v>0</v>
      </c>
      <c r="M91" s="833"/>
      <c r="N91" s="833"/>
      <c r="O91" s="833"/>
    </row>
    <row r="92" spans="1:15" ht="30.75" hidden="1" customHeight="1" x14ac:dyDescent="0.25">
      <c r="A92" s="788"/>
      <c r="B92" s="789" t="s">
        <v>754</v>
      </c>
      <c r="C92" s="790">
        <f t="shared" si="6"/>
        <v>208.6146</v>
      </c>
      <c r="D92" s="131">
        <v>207.51300000000001</v>
      </c>
      <c r="E92" s="131"/>
      <c r="F92" s="131"/>
      <c r="G92" s="131"/>
      <c r="H92" s="131">
        <v>1.1015999999999999</v>
      </c>
      <c r="I92" s="413"/>
      <c r="J92" s="413"/>
      <c r="K92" s="790"/>
      <c r="L92" s="790"/>
      <c r="M92" s="836"/>
      <c r="N92" s="836"/>
      <c r="O92" s="836"/>
    </row>
    <row r="93" spans="1:15" ht="30.75" hidden="1" customHeight="1" x14ac:dyDescent="0.25">
      <c r="A93" s="788"/>
      <c r="B93" s="789" t="s">
        <v>757</v>
      </c>
      <c r="C93" s="790">
        <f t="shared" si="6"/>
        <v>201</v>
      </c>
      <c r="D93" s="131">
        <v>201</v>
      </c>
      <c r="E93" s="131"/>
      <c r="F93" s="131"/>
      <c r="G93" s="131"/>
      <c r="H93" s="131"/>
      <c r="I93" s="413"/>
      <c r="J93" s="413"/>
      <c r="K93" s="413">
        <f>SUM(K94:K96)</f>
        <v>0</v>
      </c>
      <c r="L93" s="413">
        <f>SUM(L94:L96)</f>
        <v>0</v>
      </c>
      <c r="M93" s="835"/>
      <c r="N93" s="835"/>
      <c r="O93" s="835"/>
    </row>
    <row r="94" spans="1:15" ht="30.75" hidden="1" customHeight="1" x14ac:dyDescent="0.25">
      <c r="A94" s="788"/>
      <c r="B94" s="789" t="s">
        <v>764</v>
      </c>
      <c r="C94" s="790">
        <f t="shared" si="6"/>
        <v>605</v>
      </c>
      <c r="D94" s="131">
        <f>556-20</f>
        <v>536</v>
      </c>
      <c r="E94" s="131">
        <v>7</v>
      </c>
      <c r="F94" s="131">
        <v>7</v>
      </c>
      <c r="G94" s="131">
        <v>55</v>
      </c>
      <c r="H94" s="131"/>
      <c r="I94" s="413"/>
      <c r="J94" s="413"/>
      <c r="K94" s="790"/>
      <c r="L94" s="790"/>
      <c r="M94" s="836"/>
      <c r="N94" s="836"/>
      <c r="O94" s="836"/>
    </row>
    <row r="95" spans="1:15" ht="30.75" hidden="1" customHeight="1" x14ac:dyDescent="0.25">
      <c r="A95" s="788"/>
      <c r="B95" s="789" t="s">
        <v>765</v>
      </c>
      <c r="C95" s="790">
        <f t="shared" si="6"/>
        <v>261</v>
      </c>
      <c r="D95" s="131">
        <v>261</v>
      </c>
      <c r="E95" s="131"/>
      <c r="F95" s="131"/>
      <c r="G95" s="131"/>
      <c r="H95" s="131"/>
      <c r="I95" s="413"/>
      <c r="J95" s="413"/>
      <c r="K95" s="790"/>
      <c r="L95" s="790"/>
      <c r="M95" s="836"/>
      <c r="N95" s="836"/>
      <c r="O95" s="836"/>
    </row>
    <row r="96" spans="1:15" ht="30.75" hidden="1" customHeight="1" x14ac:dyDescent="0.25">
      <c r="A96" s="788"/>
      <c r="B96" s="792" t="s">
        <v>766</v>
      </c>
      <c r="C96" s="790">
        <f t="shared" si="6"/>
        <v>145</v>
      </c>
      <c r="D96" s="131">
        <v>145</v>
      </c>
      <c r="E96" s="131"/>
      <c r="F96" s="131"/>
      <c r="G96" s="131"/>
      <c r="H96" s="131"/>
      <c r="I96" s="413"/>
      <c r="J96" s="413"/>
      <c r="K96" s="790"/>
      <c r="L96" s="790"/>
      <c r="M96" s="836"/>
      <c r="N96" s="836"/>
      <c r="O96" s="836"/>
    </row>
    <row r="97" spans="1:15" s="782" customFormat="1" ht="30.75" customHeight="1" x14ac:dyDescent="0.2">
      <c r="A97" s="795">
        <v>11</v>
      </c>
      <c r="B97" s="796" t="s">
        <v>767</v>
      </c>
      <c r="C97" s="797">
        <f t="shared" si="6"/>
        <v>265.87774368000021</v>
      </c>
      <c r="D97" s="127">
        <v>265.14334368000021</v>
      </c>
      <c r="E97" s="127"/>
      <c r="F97" s="127"/>
      <c r="G97" s="127"/>
      <c r="H97" s="127">
        <f>H98</f>
        <v>0.73439999999999994</v>
      </c>
      <c r="I97" s="787"/>
      <c r="J97" s="787"/>
      <c r="K97" s="787">
        <f>SUM(K98:K99)</f>
        <v>0</v>
      </c>
      <c r="L97" s="787">
        <f>SUM(L98:L99)</f>
        <v>0</v>
      </c>
      <c r="M97" s="833"/>
      <c r="N97" s="833"/>
      <c r="O97" s="833"/>
    </row>
    <row r="98" spans="1:15" ht="30.75" hidden="1" customHeight="1" x14ac:dyDescent="0.25">
      <c r="A98" s="788"/>
      <c r="B98" s="792" t="s">
        <v>754</v>
      </c>
      <c r="C98" s="790">
        <f t="shared" si="6"/>
        <v>198.04139999999998</v>
      </c>
      <c r="D98" s="131">
        <v>197.30699999999999</v>
      </c>
      <c r="E98" s="131"/>
      <c r="F98" s="131"/>
      <c r="G98" s="131"/>
      <c r="H98" s="131">
        <v>0.73439999999999994</v>
      </c>
      <c r="I98" s="413"/>
      <c r="J98" s="413"/>
      <c r="K98" s="790"/>
      <c r="L98" s="790"/>
      <c r="M98" s="836"/>
      <c r="N98" s="836"/>
      <c r="O98" s="836"/>
    </row>
    <row r="99" spans="1:15" ht="30.75" hidden="1" customHeight="1" x14ac:dyDescent="0.25">
      <c r="A99" s="788"/>
      <c r="B99" s="792" t="s">
        <v>757</v>
      </c>
      <c r="C99" s="790">
        <f t="shared" si="6"/>
        <v>67.808000000000007</v>
      </c>
      <c r="D99" s="131">
        <v>67.808000000000007</v>
      </c>
      <c r="E99" s="131"/>
      <c r="F99" s="131"/>
      <c r="G99" s="131"/>
      <c r="H99" s="131"/>
      <c r="I99" s="413"/>
      <c r="J99" s="413"/>
      <c r="K99" s="790"/>
      <c r="L99" s="790"/>
      <c r="M99" s="836"/>
      <c r="N99" s="836"/>
      <c r="O99" s="836"/>
    </row>
    <row r="100" spans="1:15" s="782" customFormat="1" ht="30.75" customHeight="1" x14ac:dyDescent="0.2">
      <c r="A100" s="795">
        <v>12</v>
      </c>
      <c r="B100" s="796" t="s">
        <v>176</v>
      </c>
      <c r="C100" s="797">
        <f t="shared" si="6"/>
        <v>396.92643839999954</v>
      </c>
      <c r="D100" s="127">
        <v>396.32163839999953</v>
      </c>
      <c r="E100" s="127"/>
      <c r="F100" s="127"/>
      <c r="G100" s="127"/>
      <c r="H100" s="127">
        <v>0.6048</v>
      </c>
      <c r="I100" s="787"/>
      <c r="J100" s="787"/>
      <c r="K100" s="797"/>
      <c r="L100" s="797"/>
      <c r="M100" s="837"/>
      <c r="N100" s="837"/>
      <c r="O100" s="837"/>
    </row>
    <row r="101" spans="1:15" s="782" customFormat="1" ht="30.75" customHeight="1" x14ac:dyDescent="0.2">
      <c r="A101" s="795">
        <v>13</v>
      </c>
      <c r="B101" s="796" t="s">
        <v>768</v>
      </c>
      <c r="C101" s="797">
        <f t="shared" si="6"/>
        <v>587.86919999999998</v>
      </c>
      <c r="D101" s="127">
        <v>586.63800000000003</v>
      </c>
      <c r="E101" s="127">
        <f>E102+E105+E109+E103</f>
        <v>0</v>
      </c>
      <c r="F101" s="127">
        <f>F102+F105+F109+F103</f>
        <v>0</v>
      </c>
      <c r="G101" s="127">
        <f>G102+G105+G109+G103</f>
        <v>0</v>
      </c>
      <c r="H101" s="127">
        <f>H102</f>
        <v>1.2311999999999999</v>
      </c>
      <c r="I101" s="787"/>
      <c r="J101" s="787"/>
      <c r="K101" s="787">
        <f>K102+K105+K109+K103</f>
        <v>0</v>
      </c>
      <c r="L101" s="787">
        <f>L102+L105+L109+L103</f>
        <v>0</v>
      </c>
      <c r="M101" s="833"/>
      <c r="N101" s="833"/>
      <c r="O101" s="833"/>
    </row>
    <row r="102" spans="1:15" ht="30.75" hidden="1" customHeight="1" x14ac:dyDescent="0.25">
      <c r="A102" s="788"/>
      <c r="B102" s="789" t="s">
        <v>754</v>
      </c>
      <c r="C102" s="790">
        <f t="shared" si="6"/>
        <v>247.94720000000001</v>
      </c>
      <c r="D102" s="131">
        <f>2*123.358</f>
        <v>246.71600000000001</v>
      </c>
      <c r="E102" s="131"/>
      <c r="F102" s="131"/>
      <c r="G102" s="131"/>
      <c r="H102" s="131">
        <v>1.2311999999999999</v>
      </c>
      <c r="I102" s="413"/>
      <c r="J102" s="413"/>
      <c r="K102" s="790"/>
      <c r="L102" s="790"/>
      <c r="M102" s="836"/>
      <c r="N102" s="836"/>
      <c r="O102" s="836"/>
    </row>
    <row r="103" spans="1:15" ht="30.75" hidden="1" customHeight="1" x14ac:dyDescent="0.25">
      <c r="A103" s="788"/>
      <c r="B103" s="792" t="s">
        <v>769</v>
      </c>
      <c r="C103" s="790">
        <f t="shared" si="6"/>
        <v>25.138000000000002</v>
      </c>
      <c r="D103" s="131">
        <f>2*12.569</f>
        <v>25.138000000000002</v>
      </c>
      <c r="E103" s="131">
        <f>E104</f>
        <v>0</v>
      </c>
      <c r="F103" s="131">
        <f>F104</f>
        <v>0</v>
      </c>
      <c r="G103" s="131">
        <f>G104</f>
        <v>0</v>
      </c>
      <c r="H103" s="131"/>
      <c r="I103" s="413"/>
      <c r="J103" s="413"/>
      <c r="K103" s="790"/>
      <c r="L103" s="790"/>
      <c r="M103" s="836"/>
      <c r="N103" s="836"/>
      <c r="O103" s="836"/>
    </row>
    <row r="104" spans="1:15" ht="30.75" hidden="1" customHeight="1" x14ac:dyDescent="0.25">
      <c r="A104" s="788"/>
      <c r="B104" s="789" t="s">
        <v>770</v>
      </c>
      <c r="C104" s="790">
        <f t="shared" si="6"/>
        <v>1129</v>
      </c>
      <c r="D104" s="131">
        <f>1165-36</f>
        <v>1129</v>
      </c>
      <c r="E104" s="131"/>
      <c r="F104" s="131"/>
      <c r="G104" s="131"/>
      <c r="H104" s="131"/>
      <c r="I104" s="413"/>
      <c r="J104" s="413"/>
      <c r="K104" s="790"/>
      <c r="L104" s="790"/>
      <c r="M104" s="836"/>
      <c r="N104" s="836"/>
      <c r="O104" s="836"/>
    </row>
    <row r="105" spans="1:15" ht="30.75" hidden="1" customHeight="1" x14ac:dyDescent="0.25">
      <c r="A105" s="788"/>
      <c r="B105" s="789" t="s">
        <v>771</v>
      </c>
      <c r="C105" s="790">
        <f t="shared" si="6"/>
        <v>280.07799999999997</v>
      </c>
      <c r="D105" s="131">
        <f>2*140.039</f>
        <v>280.07799999999997</v>
      </c>
      <c r="E105" s="131">
        <f>SUM(E106:E108)</f>
        <v>0</v>
      </c>
      <c r="F105" s="131">
        <f>SUM(F106:F108)</f>
        <v>0</v>
      </c>
      <c r="G105" s="131">
        <f>SUM(G106:G108)</f>
        <v>0</v>
      </c>
      <c r="H105" s="131"/>
      <c r="I105" s="413"/>
      <c r="J105" s="413"/>
      <c r="K105" s="413">
        <f>SUM(K106:K108)</f>
        <v>0</v>
      </c>
      <c r="L105" s="413">
        <f>SUM(L106:L108)</f>
        <v>0</v>
      </c>
      <c r="M105" s="835"/>
      <c r="N105" s="835"/>
      <c r="O105" s="835"/>
    </row>
    <row r="106" spans="1:15" ht="30.75" hidden="1" customHeight="1" x14ac:dyDescent="0.25">
      <c r="A106" s="788"/>
      <c r="B106" s="792" t="s">
        <v>772</v>
      </c>
      <c r="C106" s="790">
        <f t="shared" si="6"/>
        <v>833</v>
      </c>
      <c r="D106" s="131">
        <v>833</v>
      </c>
      <c r="E106" s="131"/>
      <c r="F106" s="131"/>
      <c r="G106" s="131"/>
      <c r="H106" s="131"/>
      <c r="I106" s="413"/>
      <c r="J106" s="413"/>
      <c r="K106" s="790"/>
      <c r="L106" s="790"/>
      <c r="M106" s="836"/>
      <c r="N106" s="836"/>
      <c r="O106" s="836"/>
    </row>
    <row r="107" spans="1:15" ht="30.75" hidden="1" customHeight="1" x14ac:dyDescent="0.25">
      <c r="A107" s="788"/>
      <c r="B107" s="789" t="s">
        <v>773</v>
      </c>
      <c r="C107" s="790">
        <f t="shared" si="6"/>
        <v>363</v>
      </c>
      <c r="D107" s="131">
        <f>414-51</f>
        <v>363</v>
      </c>
      <c r="E107" s="131"/>
      <c r="F107" s="131"/>
      <c r="G107" s="131"/>
      <c r="H107" s="131"/>
      <c r="I107" s="413"/>
      <c r="J107" s="413"/>
      <c r="K107" s="790"/>
      <c r="L107" s="790"/>
      <c r="M107" s="836"/>
      <c r="N107" s="836"/>
      <c r="O107" s="836"/>
    </row>
    <row r="108" spans="1:15" ht="37.5" hidden="1" customHeight="1" x14ac:dyDescent="0.25">
      <c r="A108" s="788"/>
      <c r="B108" s="794" t="s">
        <v>774</v>
      </c>
      <c r="C108" s="790">
        <f t="shared" si="6"/>
        <v>74</v>
      </c>
      <c r="D108" s="131">
        <v>74</v>
      </c>
      <c r="E108" s="131"/>
      <c r="F108" s="131"/>
      <c r="G108" s="131"/>
      <c r="H108" s="131"/>
      <c r="I108" s="413"/>
      <c r="J108" s="413"/>
      <c r="K108" s="790"/>
      <c r="L108" s="790"/>
      <c r="M108" s="836"/>
      <c r="N108" s="836"/>
      <c r="O108" s="836"/>
    </row>
    <row r="109" spans="1:15" ht="30.75" hidden="1" customHeight="1" x14ac:dyDescent="0.25">
      <c r="A109" s="788"/>
      <c r="B109" s="793" t="s">
        <v>775</v>
      </c>
      <c r="C109" s="790">
        <f t="shared" si="6"/>
        <v>48.213999999999999</v>
      </c>
      <c r="D109" s="131">
        <f>2*24.107</f>
        <v>48.213999999999999</v>
      </c>
      <c r="E109" s="131"/>
      <c r="F109" s="131"/>
      <c r="G109" s="131"/>
      <c r="H109" s="131"/>
      <c r="I109" s="413"/>
      <c r="J109" s="413"/>
      <c r="K109" s="790"/>
      <c r="L109" s="790"/>
      <c r="M109" s="836"/>
      <c r="N109" s="836"/>
      <c r="O109" s="836"/>
    </row>
    <row r="110" spans="1:15" s="782" customFormat="1" ht="30.75" customHeight="1" x14ac:dyDescent="0.2">
      <c r="A110" s="795">
        <v>14</v>
      </c>
      <c r="B110" s="799" t="s">
        <v>776</v>
      </c>
      <c r="C110" s="797">
        <f t="shared" si="6"/>
        <v>812.72953583999822</v>
      </c>
      <c r="D110" s="127">
        <v>811.75753583999824</v>
      </c>
      <c r="E110" s="127">
        <f>E111+E112+E118+E119</f>
        <v>0</v>
      </c>
      <c r="F110" s="127">
        <f t="shared" ref="F110:K110" si="7">F111+F112+F118+F119</f>
        <v>0</v>
      </c>
      <c r="G110" s="127">
        <f t="shared" si="7"/>
        <v>0</v>
      </c>
      <c r="H110" s="127">
        <f t="shared" si="7"/>
        <v>0.97199999999999998</v>
      </c>
      <c r="I110" s="787">
        <f t="shared" si="7"/>
        <v>0</v>
      </c>
      <c r="J110" s="787">
        <f t="shared" si="7"/>
        <v>0</v>
      </c>
      <c r="K110" s="787">
        <f t="shared" si="7"/>
        <v>0</v>
      </c>
      <c r="L110" s="787">
        <f>L111+L112+L118+L119</f>
        <v>0</v>
      </c>
      <c r="M110" s="833"/>
      <c r="N110" s="833"/>
      <c r="O110" s="833"/>
    </row>
    <row r="111" spans="1:15" ht="30.75" hidden="1" customHeight="1" x14ac:dyDescent="0.25">
      <c r="A111" s="788"/>
      <c r="B111" s="792" t="s">
        <v>754</v>
      </c>
      <c r="C111" s="790">
        <f t="shared" si="6"/>
        <v>275.43199999999996</v>
      </c>
      <c r="D111" s="131">
        <v>274.45999999999998</v>
      </c>
      <c r="E111" s="131"/>
      <c r="F111" s="131"/>
      <c r="G111" s="131"/>
      <c r="H111" s="131">
        <v>0.97199999999999998</v>
      </c>
      <c r="I111" s="413"/>
      <c r="J111" s="413"/>
      <c r="K111" s="790"/>
      <c r="L111" s="790"/>
      <c r="M111" s="836"/>
      <c r="N111" s="836"/>
      <c r="O111" s="836"/>
    </row>
    <row r="112" spans="1:15" ht="30.75" hidden="1" customHeight="1" x14ac:dyDescent="0.25">
      <c r="A112" s="788"/>
      <c r="B112" s="792" t="s">
        <v>777</v>
      </c>
      <c r="C112" s="790">
        <f t="shared" si="6"/>
        <v>541.51199999999994</v>
      </c>
      <c r="D112" s="131">
        <v>541.51199999999994</v>
      </c>
      <c r="E112" s="131"/>
      <c r="F112" s="131"/>
      <c r="G112" s="131"/>
      <c r="H112" s="131"/>
      <c r="I112" s="413"/>
      <c r="J112" s="413"/>
      <c r="K112" s="413">
        <f>SUM(K113:K117)</f>
        <v>0</v>
      </c>
      <c r="L112" s="413">
        <f>SUM(L113:L117)</f>
        <v>0</v>
      </c>
      <c r="M112" s="835"/>
      <c r="N112" s="835"/>
      <c r="O112" s="835"/>
    </row>
    <row r="113" spans="1:15" ht="30.75" hidden="1" customHeight="1" x14ac:dyDescent="0.25">
      <c r="A113" s="788"/>
      <c r="B113" s="792" t="s">
        <v>778</v>
      </c>
      <c r="C113" s="790">
        <f t="shared" si="6"/>
        <v>523</v>
      </c>
      <c r="D113" s="131">
        <v>523</v>
      </c>
      <c r="E113" s="131"/>
      <c r="F113" s="131"/>
      <c r="G113" s="131"/>
      <c r="H113" s="131"/>
      <c r="I113" s="413"/>
      <c r="J113" s="413"/>
      <c r="K113" s="790"/>
      <c r="L113" s="790"/>
      <c r="M113" s="836"/>
      <c r="N113" s="836"/>
      <c r="O113" s="836"/>
    </row>
    <row r="114" spans="1:15" ht="30.75" hidden="1" customHeight="1" x14ac:dyDescent="0.25">
      <c r="A114" s="788"/>
      <c r="B114" s="792" t="s">
        <v>779</v>
      </c>
      <c r="C114" s="790">
        <f t="shared" si="6"/>
        <v>778</v>
      </c>
      <c r="D114" s="131">
        <f>552-130</f>
        <v>422</v>
      </c>
      <c r="E114" s="131"/>
      <c r="F114" s="131"/>
      <c r="G114" s="131">
        <v>356</v>
      </c>
      <c r="H114" s="131"/>
      <c r="I114" s="413"/>
      <c r="J114" s="413"/>
      <c r="K114" s="790"/>
      <c r="L114" s="790"/>
      <c r="M114" s="836"/>
      <c r="N114" s="836"/>
      <c r="O114" s="836"/>
    </row>
    <row r="115" spans="1:15" ht="30.75" hidden="1" customHeight="1" x14ac:dyDescent="0.25">
      <c r="A115" s="788"/>
      <c r="B115" s="792" t="s">
        <v>780</v>
      </c>
      <c r="C115" s="790">
        <f t="shared" si="6"/>
        <v>753</v>
      </c>
      <c r="D115" s="131">
        <v>753</v>
      </c>
      <c r="E115" s="131"/>
      <c r="F115" s="131"/>
      <c r="G115" s="131"/>
      <c r="H115" s="131"/>
      <c r="I115" s="413"/>
      <c r="J115" s="413"/>
      <c r="K115" s="790"/>
      <c r="L115" s="790"/>
      <c r="M115" s="836"/>
      <c r="N115" s="836"/>
      <c r="O115" s="836"/>
    </row>
    <row r="116" spans="1:15" ht="30.75" hidden="1" customHeight="1" x14ac:dyDescent="0.25">
      <c r="A116" s="788"/>
      <c r="B116" s="792" t="s">
        <v>781</v>
      </c>
      <c r="C116" s="790">
        <f t="shared" si="6"/>
        <v>254</v>
      </c>
      <c r="D116" s="131">
        <v>254</v>
      </c>
      <c r="E116" s="131"/>
      <c r="F116" s="131"/>
      <c r="G116" s="131"/>
      <c r="H116" s="131"/>
      <c r="I116" s="413"/>
      <c r="J116" s="413"/>
      <c r="K116" s="790"/>
      <c r="L116" s="790"/>
      <c r="M116" s="836"/>
      <c r="N116" s="836"/>
      <c r="O116" s="836"/>
    </row>
    <row r="117" spans="1:15" ht="30.75" hidden="1" customHeight="1" x14ac:dyDescent="0.25">
      <c r="A117" s="788"/>
      <c r="B117" s="792" t="s">
        <v>782</v>
      </c>
      <c r="C117" s="790">
        <f t="shared" si="6"/>
        <v>196</v>
      </c>
      <c r="D117" s="131">
        <v>196</v>
      </c>
      <c r="E117" s="131"/>
      <c r="F117" s="131"/>
      <c r="G117" s="131"/>
      <c r="H117" s="131"/>
      <c r="I117" s="413"/>
      <c r="J117" s="413"/>
      <c r="K117" s="790"/>
      <c r="L117" s="790"/>
      <c r="M117" s="836"/>
      <c r="N117" s="836"/>
      <c r="O117" s="836"/>
    </row>
    <row r="118" spans="1:15" s="804" customFormat="1" ht="30.75" hidden="1" customHeight="1" x14ac:dyDescent="0.25">
      <c r="A118" s="800"/>
      <c r="B118" s="801"/>
      <c r="C118" s="802"/>
      <c r="D118" s="144"/>
      <c r="E118" s="144"/>
      <c r="F118" s="144"/>
      <c r="G118" s="144"/>
      <c r="H118" s="144"/>
      <c r="I118" s="803"/>
      <c r="J118" s="803"/>
      <c r="K118" s="802"/>
      <c r="L118" s="802"/>
      <c r="M118" s="838"/>
      <c r="N118" s="838"/>
      <c r="O118" s="838"/>
    </row>
    <row r="119" spans="1:15" s="804" customFormat="1" ht="35.25" hidden="1" customHeight="1" x14ac:dyDescent="0.25">
      <c r="A119" s="800"/>
      <c r="B119" s="793" t="s">
        <v>783</v>
      </c>
      <c r="C119" s="802">
        <f t="shared" si="6"/>
        <v>35.963999999999999</v>
      </c>
      <c r="D119" s="133">
        <v>35.963999999999999</v>
      </c>
      <c r="E119" s="133"/>
      <c r="F119" s="133"/>
      <c r="G119" s="133"/>
      <c r="H119" s="133"/>
      <c r="I119" s="790"/>
      <c r="J119" s="790"/>
      <c r="K119" s="790"/>
      <c r="L119" s="790"/>
      <c r="M119" s="836"/>
      <c r="N119" s="836"/>
      <c r="O119" s="836"/>
    </row>
    <row r="120" spans="1:15" s="782" customFormat="1" ht="30.75" customHeight="1" x14ac:dyDescent="0.2">
      <c r="A120" s="795">
        <v>15</v>
      </c>
      <c r="B120" s="799" t="s">
        <v>169</v>
      </c>
      <c r="C120" s="797">
        <f t="shared" si="6"/>
        <v>302.58349631999948</v>
      </c>
      <c r="D120" s="127">
        <v>301.24429631999948</v>
      </c>
      <c r="E120" s="127">
        <f>E121+E124</f>
        <v>0</v>
      </c>
      <c r="F120" s="127">
        <f>F121+F124</f>
        <v>0</v>
      </c>
      <c r="G120" s="127">
        <f>G121+G124</f>
        <v>0</v>
      </c>
      <c r="H120" s="127">
        <f>H121</f>
        <v>1.3391999999999999</v>
      </c>
      <c r="I120" s="787"/>
      <c r="J120" s="787"/>
      <c r="K120" s="787">
        <f>K121+K124</f>
        <v>0</v>
      </c>
      <c r="L120" s="787">
        <f>L121+L124</f>
        <v>0</v>
      </c>
      <c r="M120" s="833"/>
      <c r="N120" s="833"/>
      <c r="O120" s="833"/>
    </row>
    <row r="121" spans="1:15" ht="30.75" hidden="1" customHeight="1" x14ac:dyDescent="0.25">
      <c r="A121" s="788"/>
      <c r="B121" s="792" t="s">
        <v>754</v>
      </c>
      <c r="C121" s="790">
        <f t="shared" si="6"/>
        <v>207.43720000000002</v>
      </c>
      <c r="D121" s="131">
        <v>206.09800000000001</v>
      </c>
      <c r="E121" s="131"/>
      <c r="F121" s="131"/>
      <c r="G121" s="131"/>
      <c r="H121" s="131">
        <v>1.3391999999999999</v>
      </c>
      <c r="I121" s="413"/>
      <c r="J121" s="413"/>
      <c r="K121" s="790"/>
      <c r="L121" s="790"/>
      <c r="M121" s="836"/>
      <c r="N121" s="836"/>
      <c r="O121" s="836"/>
    </row>
    <row r="122" spans="1:15" ht="30.75" hidden="1" customHeight="1" x14ac:dyDescent="0.25">
      <c r="A122" s="788"/>
      <c r="B122" s="792" t="s">
        <v>784</v>
      </c>
      <c r="C122" s="790">
        <f t="shared" si="6"/>
        <v>698</v>
      </c>
      <c r="D122" s="131">
        <v>698</v>
      </c>
      <c r="E122" s="131"/>
      <c r="F122" s="131"/>
      <c r="G122" s="131"/>
      <c r="H122" s="131"/>
      <c r="I122" s="413"/>
      <c r="J122" s="413"/>
      <c r="K122" s="790"/>
      <c r="L122" s="790"/>
      <c r="M122" s="836"/>
      <c r="N122" s="836"/>
      <c r="O122" s="836"/>
    </row>
    <row r="123" spans="1:15" ht="30.75" hidden="1" customHeight="1" x14ac:dyDescent="0.25">
      <c r="A123" s="788"/>
      <c r="B123" s="792" t="s">
        <v>785</v>
      </c>
      <c r="C123" s="790">
        <f t="shared" si="6"/>
        <v>197</v>
      </c>
      <c r="D123" s="131">
        <v>197</v>
      </c>
      <c r="E123" s="131"/>
      <c r="F123" s="131"/>
      <c r="G123" s="131"/>
      <c r="H123" s="131"/>
      <c r="I123" s="413"/>
      <c r="J123" s="413"/>
      <c r="K123" s="790"/>
      <c r="L123" s="790"/>
      <c r="M123" s="836"/>
      <c r="N123" s="836"/>
      <c r="O123" s="836"/>
    </row>
    <row r="124" spans="1:15" ht="30.75" hidden="1" customHeight="1" x14ac:dyDescent="0.25">
      <c r="A124" s="788"/>
      <c r="B124" s="792" t="s">
        <v>786</v>
      </c>
      <c r="C124" s="790">
        <f t="shared" si="6"/>
        <v>80.692999999999998</v>
      </c>
      <c r="D124" s="131">
        <v>80.692999999999998</v>
      </c>
      <c r="E124" s="131"/>
      <c r="F124" s="131"/>
      <c r="G124" s="131"/>
      <c r="H124" s="131"/>
      <c r="I124" s="413"/>
      <c r="J124" s="413"/>
      <c r="K124" s="790"/>
      <c r="L124" s="790"/>
      <c r="M124" s="836"/>
      <c r="N124" s="836"/>
      <c r="O124" s="836"/>
    </row>
    <row r="125" spans="1:15" s="782" customFormat="1" ht="30.75" customHeight="1" x14ac:dyDescent="0.2">
      <c r="A125" s="795">
        <v>16</v>
      </c>
      <c r="B125" s="799" t="s">
        <v>162</v>
      </c>
      <c r="C125" s="797">
        <f t="shared" si="6"/>
        <v>401.20960000000002</v>
      </c>
      <c r="D125" s="127">
        <v>400</v>
      </c>
      <c r="E125" s="127"/>
      <c r="F125" s="127"/>
      <c r="G125" s="127"/>
      <c r="H125" s="127">
        <v>1.2096</v>
      </c>
      <c r="I125" s="787"/>
      <c r="J125" s="787"/>
      <c r="K125" s="797"/>
      <c r="L125" s="797"/>
      <c r="M125" s="837"/>
      <c r="N125" s="837"/>
      <c r="O125" s="837"/>
    </row>
    <row r="126" spans="1:15" s="782" customFormat="1" ht="30.75" customHeight="1" x14ac:dyDescent="0.2">
      <c r="A126" s="795">
        <v>17</v>
      </c>
      <c r="B126" s="799" t="s">
        <v>787</v>
      </c>
      <c r="C126" s="797">
        <f t="shared" si="6"/>
        <v>222.50967840000004</v>
      </c>
      <c r="D126" s="127">
        <v>221.55927840000004</v>
      </c>
      <c r="E126" s="127"/>
      <c r="F126" s="127"/>
      <c r="G126" s="127"/>
      <c r="H126" s="127">
        <v>0.95039999999999991</v>
      </c>
      <c r="I126" s="787"/>
      <c r="J126" s="787"/>
      <c r="K126" s="797"/>
      <c r="L126" s="797"/>
      <c r="M126" s="837"/>
      <c r="N126" s="837"/>
      <c r="O126" s="837"/>
    </row>
    <row r="127" spans="1:15" s="782" customFormat="1" ht="30.75" customHeight="1" x14ac:dyDescent="0.2">
      <c r="A127" s="795">
        <v>18</v>
      </c>
      <c r="B127" s="799" t="s">
        <v>170</v>
      </c>
      <c r="C127" s="797">
        <f t="shared" si="6"/>
        <v>3601.0027523999902</v>
      </c>
      <c r="D127" s="127">
        <v>3002.9362523999903</v>
      </c>
      <c r="E127" s="127">
        <f t="shared" ref="E127:L127" si="8">E128+E137</f>
        <v>0</v>
      </c>
      <c r="F127" s="127">
        <f t="shared" si="8"/>
        <v>10.17</v>
      </c>
      <c r="G127" s="127">
        <f t="shared" si="8"/>
        <v>585.95249999999999</v>
      </c>
      <c r="H127" s="127">
        <f t="shared" si="8"/>
        <v>1.944</v>
      </c>
      <c r="I127" s="787">
        <f t="shared" si="8"/>
        <v>0</v>
      </c>
      <c r="J127" s="787">
        <f t="shared" si="8"/>
        <v>0</v>
      </c>
      <c r="K127" s="787">
        <f t="shared" si="8"/>
        <v>0</v>
      </c>
      <c r="L127" s="787">
        <f t="shared" si="8"/>
        <v>0</v>
      </c>
      <c r="M127" s="833"/>
      <c r="N127" s="833"/>
      <c r="O127" s="833"/>
    </row>
    <row r="128" spans="1:15" ht="30.75" hidden="1" customHeight="1" x14ac:dyDescent="0.25">
      <c r="A128" s="788"/>
      <c r="B128" s="792" t="s">
        <v>754</v>
      </c>
      <c r="C128" s="790">
        <f t="shared" si="6"/>
        <v>2432.4594999999999</v>
      </c>
      <c r="D128" s="131">
        <v>2062.174</v>
      </c>
      <c r="E128" s="131">
        <f>SUM(E129:E136)</f>
        <v>0</v>
      </c>
      <c r="F128" s="131">
        <f>SUM(F129:F136)</f>
        <v>0</v>
      </c>
      <c r="G128" s="131">
        <f>245.561/8*12</f>
        <v>368.3415</v>
      </c>
      <c r="H128" s="131">
        <v>1.944</v>
      </c>
      <c r="I128" s="413"/>
      <c r="J128" s="413"/>
      <c r="K128" s="413">
        <f>SUM(K129:K136)</f>
        <v>0</v>
      </c>
      <c r="L128" s="413">
        <f>SUM(L129:L136)</f>
        <v>0</v>
      </c>
      <c r="M128" s="835"/>
      <c r="N128" s="835"/>
      <c r="O128" s="835"/>
    </row>
    <row r="129" spans="1:15" ht="30.75" hidden="1" customHeight="1" x14ac:dyDescent="0.25">
      <c r="A129" s="788"/>
      <c r="B129" s="792" t="s">
        <v>687</v>
      </c>
      <c r="C129" s="790">
        <f t="shared" si="6"/>
        <v>774</v>
      </c>
      <c r="D129" s="131">
        <v>758</v>
      </c>
      <c r="E129" s="131"/>
      <c r="F129" s="131"/>
      <c r="G129" s="131"/>
      <c r="H129" s="131">
        <v>16</v>
      </c>
      <c r="I129" s="413"/>
      <c r="J129" s="413"/>
      <c r="K129" s="790"/>
      <c r="L129" s="790"/>
      <c r="M129" s="836"/>
      <c r="N129" s="836"/>
      <c r="O129" s="836"/>
    </row>
    <row r="130" spans="1:15" ht="30.75" hidden="1" customHeight="1" x14ac:dyDescent="0.25">
      <c r="A130" s="788"/>
      <c r="B130" s="792" t="s">
        <v>788</v>
      </c>
      <c r="C130" s="790">
        <f t="shared" si="6"/>
        <v>279</v>
      </c>
      <c r="D130" s="131">
        <v>279</v>
      </c>
      <c r="E130" s="131"/>
      <c r="F130" s="131"/>
      <c r="G130" s="131"/>
      <c r="H130" s="131"/>
      <c r="I130" s="413"/>
      <c r="J130" s="413"/>
      <c r="K130" s="790"/>
      <c r="L130" s="790"/>
      <c r="M130" s="836"/>
      <c r="N130" s="836"/>
      <c r="O130" s="836"/>
    </row>
    <row r="131" spans="1:15" ht="30.75" hidden="1" customHeight="1" x14ac:dyDescent="0.25">
      <c r="A131" s="788"/>
      <c r="B131" s="792" t="s">
        <v>789</v>
      </c>
      <c r="C131" s="790">
        <f t="shared" si="6"/>
        <v>190</v>
      </c>
      <c r="D131" s="131">
        <v>190</v>
      </c>
      <c r="E131" s="131"/>
      <c r="F131" s="131"/>
      <c r="G131" s="131"/>
      <c r="H131" s="131"/>
      <c r="I131" s="413"/>
      <c r="J131" s="413"/>
      <c r="K131" s="790"/>
      <c r="L131" s="790"/>
      <c r="M131" s="836"/>
      <c r="N131" s="836"/>
      <c r="O131" s="836"/>
    </row>
    <row r="132" spans="1:15" ht="30.75" hidden="1" customHeight="1" x14ac:dyDescent="0.25">
      <c r="A132" s="788"/>
      <c r="B132" s="792" t="s">
        <v>790</v>
      </c>
      <c r="C132" s="790">
        <f t="shared" si="6"/>
        <v>298</v>
      </c>
      <c r="D132" s="131">
        <v>298</v>
      </c>
      <c r="E132" s="131"/>
      <c r="F132" s="131"/>
      <c r="G132" s="131"/>
      <c r="H132" s="131"/>
      <c r="I132" s="413"/>
      <c r="J132" s="413"/>
      <c r="K132" s="790"/>
      <c r="L132" s="790"/>
      <c r="M132" s="836"/>
      <c r="N132" s="836"/>
      <c r="O132" s="836"/>
    </row>
    <row r="133" spans="1:15" ht="30.75" hidden="1" customHeight="1" x14ac:dyDescent="0.25">
      <c r="A133" s="788"/>
      <c r="B133" s="792" t="s">
        <v>791</v>
      </c>
      <c r="C133" s="790">
        <f t="shared" si="6"/>
        <v>172</v>
      </c>
      <c r="D133" s="131">
        <v>172</v>
      </c>
      <c r="E133" s="131"/>
      <c r="F133" s="131"/>
      <c r="G133" s="131"/>
      <c r="H133" s="131"/>
      <c r="I133" s="413"/>
      <c r="J133" s="413"/>
      <c r="K133" s="790"/>
      <c r="L133" s="790"/>
      <c r="M133" s="836"/>
      <c r="N133" s="836"/>
      <c r="O133" s="836"/>
    </row>
    <row r="134" spans="1:15" ht="30.75" hidden="1" customHeight="1" x14ac:dyDescent="0.25">
      <c r="A134" s="788"/>
      <c r="B134" s="792" t="s">
        <v>792</v>
      </c>
      <c r="C134" s="790">
        <f t="shared" si="6"/>
        <v>340</v>
      </c>
      <c r="D134" s="131">
        <v>340</v>
      </c>
      <c r="E134" s="131"/>
      <c r="F134" s="131"/>
      <c r="G134" s="131"/>
      <c r="H134" s="131"/>
      <c r="I134" s="413"/>
      <c r="J134" s="413"/>
      <c r="K134" s="790"/>
      <c r="L134" s="790"/>
      <c r="M134" s="836"/>
      <c r="N134" s="836"/>
      <c r="O134" s="836"/>
    </row>
    <row r="135" spans="1:15" ht="30.75" hidden="1" customHeight="1" x14ac:dyDescent="0.25">
      <c r="A135" s="788"/>
      <c r="B135" s="792" t="s">
        <v>793</v>
      </c>
      <c r="C135" s="790">
        <f t="shared" ref="C135:C162" si="9">SUM(D135:K135)</f>
        <v>312</v>
      </c>
      <c r="D135" s="131">
        <v>312</v>
      </c>
      <c r="E135" s="131"/>
      <c r="F135" s="131"/>
      <c r="G135" s="131"/>
      <c r="H135" s="131"/>
      <c r="I135" s="413"/>
      <c r="J135" s="413"/>
      <c r="K135" s="790"/>
      <c r="L135" s="790"/>
      <c r="M135" s="836"/>
      <c r="N135" s="836"/>
      <c r="O135" s="836"/>
    </row>
    <row r="136" spans="1:15" ht="48.75" hidden="1" customHeight="1" x14ac:dyDescent="0.25">
      <c r="A136" s="788"/>
      <c r="B136" s="793" t="s">
        <v>794</v>
      </c>
      <c r="C136" s="790">
        <f t="shared" si="9"/>
        <v>9226</v>
      </c>
      <c r="D136" s="131">
        <f>7631-917</f>
        <v>6714</v>
      </c>
      <c r="E136" s="131"/>
      <c r="F136" s="131"/>
      <c r="G136" s="131">
        <v>2512</v>
      </c>
      <c r="H136" s="131"/>
      <c r="I136" s="413"/>
      <c r="J136" s="413"/>
      <c r="K136" s="790"/>
      <c r="L136" s="790"/>
      <c r="M136" s="836"/>
      <c r="N136" s="836"/>
      <c r="O136" s="836"/>
    </row>
    <row r="137" spans="1:15" ht="30.75" hidden="1" customHeight="1" x14ac:dyDescent="0.25">
      <c r="A137" s="788"/>
      <c r="B137" s="792" t="s">
        <v>757</v>
      </c>
      <c r="C137" s="790">
        <f t="shared" si="9"/>
        <v>1260.4870000000001</v>
      </c>
      <c r="D137" s="131">
        <v>1032.7059999999999</v>
      </c>
      <c r="E137" s="131"/>
      <c r="F137" s="131">
        <f>6.78/8*12</f>
        <v>10.17</v>
      </c>
      <c r="G137" s="131">
        <f>145.074/8*12</f>
        <v>217.61100000000002</v>
      </c>
      <c r="H137" s="131"/>
      <c r="I137" s="413"/>
      <c r="J137" s="413"/>
      <c r="K137" s="413">
        <f>SUM(K138:K143)</f>
        <v>0</v>
      </c>
      <c r="L137" s="413">
        <f>SUM(L138:L143)</f>
        <v>0</v>
      </c>
      <c r="M137" s="835"/>
      <c r="N137" s="835"/>
      <c r="O137" s="835"/>
    </row>
    <row r="138" spans="1:15" ht="30.75" hidden="1" customHeight="1" x14ac:dyDescent="0.25">
      <c r="A138" s="788"/>
      <c r="B138" s="792" t="s">
        <v>792</v>
      </c>
      <c r="C138" s="790">
        <f t="shared" si="9"/>
        <v>2518</v>
      </c>
      <c r="D138" s="131">
        <f>758-43</f>
        <v>715</v>
      </c>
      <c r="E138" s="131"/>
      <c r="F138" s="131"/>
      <c r="G138" s="131">
        <v>119</v>
      </c>
      <c r="H138" s="131"/>
      <c r="I138" s="413">
        <v>1684</v>
      </c>
      <c r="J138" s="413"/>
      <c r="K138" s="790"/>
      <c r="L138" s="790"/>
      <c r="M138" s="836"/>
      <c r="N138" s="836"/>
      <c r="O138" s="836"/>
    </row>
    <row r="139" spans="1:15" ht="30.75" hidden="1" customHeight="1" x14ac:dyDescent="0.25">
      <c r="A139" s="788"/>
      <c r="B139" s="792" t="s">
        <v>793</v>
      </c>
      <c r="C139" s="790">
        <f t="shared" si="9"/>
        <v>801</v>
      </c>
      <c r="D139" s="131">
        <f>700-47</f>
        <v>653</v>
      </c>
      <c r="E139" s="131">
        <v>10</v>
      </c>
      <c r="F139" s="131">
        <v>10</v>
      </c>
      <c r="G139" s="131">
        <v>128</v>
      </c>
      <c r="H139" s="131"/>
      <c r="I139" s="413"/>
      <c r="J139" s="413"/>
      <c r="K139" s="790"/>
      <c r="L139" s="790"/>
      <c r="M139" s="836"/>
      <c r="N139" s="836"/>
      <c r="O139" s="836"/>
    </row>
    <row r="140" spans="1:15" ht="30.75" hidden="1" customHeight="1" x14ac:dyDescent="0.25">
      <c r="A140" s="788"/>
      <c r="B140" s="792" t="s">
        <v>795</v>
      </c>
      <c r="C140" s="790">
        <f t="shared" si="9"/>
        <v>1907</v>
      </c>
      <c r="D140" s="131">
        <f>1290-275</f>
        <v>1015</v>
      </c>
      <c r="E140" s="131">
        <v>69</v>
      </c>
      <c r="F140" s="131">
        <v>69</v>
      </c>
      <c r="G140" s="131">
        <v>754</v>
      </c>
      <c r="H140" s="131"/>
      <c r="I140" s="413"/>
      <c r="J140" s="413"/>
      <c r="K140" s="790"/>
      <c r="L140" s="790"/>
      <c r="M140" s="836"/>
      <c r="N140" s="836"/>
      <c r="O140" s="836"/>
    </row>
    <row r="141" spans="1:15" ht="30.75" hidden="1" customHeight="1" x14ac:dyDescent="0.25">
      <c r="A141" s="788"/>
      <c r="B141" s="792" t="s">
        <v>796</v>
      </c>
      <c r="C141" s="790">
        <f t="shared" si="9"/>
        <v>344</v>
      </c>
      <c r="D141" s="131">
        <v>266</v>
      </c>
      <c r="E141" s="131">
        <v>39</v>
      </c>
      <c r="F141" s="131">
        <v>39</v>
      </c>
      <c r="G141" s="131"/>
      <c r="H141" s="131"/>
      <c r="I141" s="413"/>
      <c r="J141" s="413"/>
      <c r="K141" s="790"/>
      <c r="L141" s="790"/>
      <c r="M141" s="836"/>
      <c r="N141" s="836"/>
      <c r="O141" s="836"/>
    </row>
    <row r="142" spans="1:15" ht="30.75" hidden="1" customHeight="1" x14ac:dyDescent="0.25">
      <c r="A142" s="788"/>
      <c r="B142" s="792" t="s">
        <v>797</v>
      </c>
      <c r="C142" s="790">
        <f t="shared" si="9"/>
        <v>948</v>
      </c>
      <c r="D142" s="131">
        <f>850-57</f>
        <v>793</v>
      </c>
      <c r="E142" s="131"/>
      <c r="F142" s="131"/>
      <c r="G142" s="131">
        <v>155</v>
      </c>
      <c r="H142" s="131"/>
      <c r="I142" s="413"/>
      <c r="J142" s="413"/>
      <c r="K142" s="790"/>
      <c r="L142" s="790"/>
      <c r="M142" s="836"/>
      <c r="N142" s="836"/>
      <c r="O142" s="836"/>
    </row>
    <row r="143" spans="1:15" ht="30.75" hidden="1" customHeight="1" x14ac:dyDescent="0.25">
      <c r="A143" s="788"/>
      <c r="B143" s="792" t="s">
        <v>798</v>
      </c>
      <c r="C143" s="790">
        <f t="shared" si="9"/>
        <v>260</v>
      </c>
      <c r="D143" s="131">
        <v>260</v>
      </c>
      <c r="E143" s="131"/>
      <c r="F143" s="131"/>
      <c r="G143" s="131"/>
      <c r="H143" s="131"/>
      <c r="I143" s="413"/>
      <c r="J143" s="413"/>
      <c r="K143" s="790"/>
      <c r="L143" s="790"/>
      <c r="M143" s="836"/>
      <c r="N143" s="836"/>
      <c r="O143" s="836"/>
    </row>
    <row r="144" spans="1:15" s="782" customFormat="1" ht="30.75" customHeight="1" x14ac:dyDescent="0.2">
      <c r="A144" s="795">
        <v>19</v>
      </c>
      <c r="B144" s="799" t="s">
        <v>604</v>
      </c>
      <c r="C144" s="797">
        <f t="shared" si="9"/>
        <v>484.79471999999942</v>
      </c>
      <c r="D144" s="127">
        <v>484.79471999999942</v>
      </c>
      <c r="E144" s="127"/>
      <c r="F144" s="127"/>
      <c r="G144" s="127"/>
      <c r="H144" s="127"/>
      <c r="I144" s="787"/>
      <c r="J144" s="787"/>
      <c r="K144" s="797"/>
      <c r="L144" s="797"/>
      <c r="M144" s="837"/>
      <c r="N144" s="837"/>
      <c r="O144" s="837"/>
    </row>
    <row r="145" spans="1:15" s="782" customFormat="1" ht="30.75" customHeight="1" x14ac:dyDescent="0.2">
      <c r="A145" s="795">
        <v>20</v>
      </c>
      <c r="B145" s="799" t="s">
        <v>799</v>
      </c>
      <c r="C145" s="797">
        <f t="shared" si="9"/>
        <v>319.49093519999917</v>
      </c>
      <c r="D145" s="127">
        <v>318.15173519999917</v>
      </c>
      <c r="E145" s="127"/>
      <c r="F145" s="127"/>
      <c r="G145" s="127"/>
      <c r="H145" s="127">
        <f>H146</f>
        <v>1.3391999999999999</v>
      </c>
      <c r="I145" s="787"/>
      <c r="J145" s="787"/>
      <c r="K145" s="787">
        <f>SUM(K146:K147)</f>
        <v>0</v>
      </c>
      <c r="L145" s="787">
        <f>SUM(L146:L147)</f>
        <v>0</v>
      </c>
      <c r="M145" s="833"/>
      <c r="N145" s="833"/>
      <c r="O145" s="833"/>
    </row>
    <row r="146" spans="1:15" ht="30.75" hidden="1" customHeight="1" x14ac:dyDescent="0.25">
      <c r="A146" s="788"/>
      <c r="B146" s="792" t="s">
        <v>800</v>
      </c>
      <c r="C146" s="790">
        <f t="shared" si="9"/>
        <v>195.2542</v>
      </c>
      <c r="D146" s="131">
        <v>193.91499999999999</v>
      </c>
      <c r="E146" s="131"/>
      <c r="F146" s="131"/>
      <c r="G146" s="131"/>
      <c r="H146" s="131">
        <v>1.3391999999999999</v>
      </c>
      <c r="I146" s="413"/>
      <c r="J146" s="413"/>
      <c r="K146" s="790"/>
      <c r="L146" s="790"/>
      <c r="M146" s="836"/>
      <c r="N146" s="836"/>
      <c r="O146" s="836"/>
    </row>
    <row r="147" spans="1:15" ht="30.75" hidden="1" customHeight="1" x14ac:dyDescent="0.25">
      <c r="A147" s="788"/>
      <c r="B147" s="792" t="s">
        <v>801</v>
      </c>
      <c r="C147" s="790">
        <f t="shared" si="9"/>
        <v>122.83799999999999</v>
      </c>
      <c r="D147" s="131">
        <v>122.83799999999999</v>
      </c>
      <c r="E147" s="131"/>
      <c r="F147" s="131"/>
      <c r="G147" s="131"/>
      <c r="H147" s="131"/>
      <c r="I147" s="413"/>
      <c r="J147" s="413"/>
      <c r="K147" s="790"/>
      <c r="L147" s="790"/>
      <c r="M147" s="836"/>
      <c r="N147" s="836"/>
      <c r="O147" s="836"/>
    </row>
    <row r="148" spans="1:15" s="782" customFormat="1" ht="30.75" customHeight="1" x14ac:dyDescent="0.2">
      <c r="A148" s="795">
        <v>21</v>
      </c>
      <c r="B148" s="799" t="s">
        <v>802</v>
      </c>
      <c r="C148" s="797">
        <f t="shared" si="9"/>
        <v>628.32047759999944</v>
      </c>
      <c r="D148" s="127">
        <v>626.98127759999943</v>
      </c>
      <c r="E148" s="127"/>
      <c r="F148" s="127"/>
      <c r="G148" s="127"/>
      <c r="H148" s="127">
        <f>H149+H152</f>
        <v>1.3391999999999999</v>
      </c>
      <c r="I148" s="787"/>
      <c r="J148" s="787"/>
      <c r="K148" s="787">
        <f>K149+K152</f>
        <v>0</v>
      </c>
      <c r="L148" s="787">
        <f>L149+L152</f>
        <v>0</v>
      </c>
      <c r="M148" s="833"/>
      <c r="N148" s="833"/>
      <c r="O148" s="833"/>
    </row>
    <row r="149" spans="1:15" ht="30.75" hidden="1" customHeight="1" x14ac:dyDescent="0.25">
      <c r="A149" s="788"/>
      <c r="B149" s="792" t="s">
        <v>754</v>
      </c>
      <c r="C149" s="790">
        <f t="shared" si="9"/>
        <v>272.25119999999998</v>
      </c>
      <c r="D149" s="131">
        <v>270.91199999999998</v>
      </c>
      <c r="E149" s="131"/>
      <c r="F149" s="131"/>
      <c r="G149" s="131"/>
      <c r="H149" s="131">
        <v>1.3391999999999999</v>
      </c>
      <c r="I149" s="413"/>
      <c r="J149" s="413"/>
      <c r="K149" s="790"/>
      <c r="L149" s="790"/>
      <c r="M149" s="836"/>
      <c r="N149" s="836"/>
      <c r="O149" s="836"/>
    </row>
    <row r="150" spans="1:15" ht="30.75" hidden="1" customHeight="1" x14ac:dyDescent="0.25">
      <c r="A150" s="788"/>
      <c r="B150" s="792" t="s">
        <v>687</v>
      </c>
      <c r="C150" s="790">
        <f t="shared" si="9"/>
        <v>808</v>
      </c>
      <c r="D150" s="131">
        <v>808</v>
      </c>
      <c r="E150" s="131"/>
      <c r="F150" s="131"/>
      <c r="G150" s="131"/>
      <c r="H150" s="131"/>
      <c r="I150" s="413"/>
      <c r="J150" s="413"/>
      <c r="K150" s="790"/>
      <c r="L150" s="790"/>
      <c r="M150" s="836"/>
      <c r="N150" s="836"/>
      <c r="O150" s="836"/>
    </row>
    <row r="151" spans="1:15" ht="30.75" hidden="1" customHeight="1" x14ac:dyDescent="0.25">
      <c r="A151" s="788"/>
      <c r="B151" s="792" t="s">
        <v>803</v>
      </c>
      <c r="C151" s="790">
        <f t="shared" si="9"/>
        <v>188</v>
      </c>
      <c r="D151" s="131">
        <v>188</v>
      </c>
      <c r="E151" s="131"/>
      <c r="F151" s="131"/>
      <c r="G151" s="131"/>
      <c r="H151" s="131"/>
      <c r="I151" s="413"/>
      <c r="J151" s="413"/>
      <c r="K151" s="790"/>
      <c r="L151" s="790"/>
      <c r="M151" s="836"/>
      <c r="N151" s="836"/>
      <c r="O151" s="836"/>
    </row>
    <row r="152" spans="1:15" ht="30.75" hidden="1" customHeight="1" x14ac:dyDescent="0.25">
      <c r="A152" s="788"/>
      <c r="B152" s="792" t="s">
        <v>757</v>
      </c>
      <c r="C152" s="790">
        <f t="shared" si="9"/>
        <v>370.16300000000001</v>
      </c>
      <c r="D152" s="131">
        <v>370.16300000000001</v>
      </c>
      <c r="E152" s="131"/>
      <c r="F152" s="131"/>
      <c r="G152" s="131"/>
      <c r="H152" s="131"/>
      <c r="I152" s="413"/>
      <c r="J152" s="413"/>
      <c r="K152" s="413">
        <f>SUM(K153:K157)</f>
        <v>0</v>
      </c>
      <c r="L152" s="413">
        <f>SUM(L153:L157)</f>
        <v>0</v>
      </c>
      <c r="M152" s="835"/>
      <c r="N152" s="835"/>
      <c r="O152" s="835"/>
    </row>
    <row r="153" spans="1:15" ht="30.75" hidden="1" customHeight="1" x14ac:dyDescent="0.25">
      <c r="A153" s="788"/>
      <c r="B153" s="792" t="s">
        <v>804</v>
      </c>
      <c r="C153" s="790">
        <f t="shared" si="9"/>
        <v>273</v>
      </c>
      <c r="D153" s="131">
        <v>273</v>
      </c>
      <c r="E153" s="131"/>
      <c r="F153" s="131"/>
      <c r="G153" s="131"/>
      <c r="H153" s="131"/>
      <c r="I153" s="413"/>
      <c r="J153" s="413"/>
      <c r="K153" s="790"/>
      <c r="L153" s="790"/>
      <c r="M153" s="836"/>
      <c r="N153" s="836"/>
      <c r="O153" s="836"/>
    </row>
    <row r="154" spans="1:15" ht="30.75" hidden="1" customHeight="1" x14ac:dyDescent="0.25">
      <c r="A154" s="788"/>
      <c r="B154" s="792" t="s">
        <v>805</v>
      </c>
      <c r="C154" s="790">
        <f t="shared" si="9"/>
        <v>92</v>
      </c>
      <c r="D154" s="131">
        <v>92</v>
      </c>
      <c r="E154" s="131"/>
      <c r="F154" s="131"/>
      <c r="G154" s="131"/>
      <c r="H154" s="131"/>
      <c r="I154" s="413"/>
      <c r="J154" s="413"/>
      <c r="K154" s="790"/>
      <c r="L154" s="790"/>
      <c r="M154" s="836"/>
      <c r="N154" s="836"/>
      <c r="O154" s="836"/>
    </row>
    <row r="155" spans="1:15" ht="30.75" hidden="1" customHeight="1" x14ac:dyDescent="0.25">
      <c r="A155" s="788"/>
      <c r="B155" s="792" t="s">
        <v>806</v>
      </c>
      <c r="C155" s="790">
        <f t="shared" si="9"/>
        <v>183</v>
      </c>
      <c r="D155" s="131">
        <v>183</v>
      </c>
      <c r="E155" s="131"/>
      <c r="F155" s="131"/>
      <c r="G155" s="131"/>
      <c r="H155" s="131"/>
      <c r="I155" s="413"/>
      <c r="J155" s="413"/>
      <c r="K155" s="790"/>
      <c r="L155" s="790"/>
      <c r="M155" s="836"/>
      <c r="N155" s="836"/>
      <c r="O155" s="836"/>
    </row>
    <row r="156" spans="1:15" ht="38.25" hidden="1" customHeight="1" x14ac:dyDescent="0.25">
      <c r="A156" s="788"/>
      <c r="B156" s="793" t="s">
        <v>807</v>
      </c>
      <c r="C156" s="790">
        <f t="shared" si="9"/>
        <v>275</v>
      </c>
      <c r="D156" s="131">
        <v>275</v>
      </c>
      <c r="E156" s="131"/>
      <c r="F156" s="131"/>
      <c r="G156" s="131"/>
      <c r="H156" s="131"/>
      <c r="I156" s="413"/>
      <c r="J156" s="413"/>
      <c r="K156" s="790"/>
      <c r="L156" s="790"/>
      <c r="M156" s="836"/>
      <c r="N156" s="836"/>
      <c r="O156" s="836"/>
    </row>
    <row r="157" spans="1:15" ht="30.75" hidden="1" customHeight="1" x14ac:dyDescent="0.25">
      <c r="A157" s="788"/>
      <c r="B157" s="793" t="s">
        <v>808</v>
      </c>
      <c r="C157" s="790">
        <f t="shared" si="9"/>
        <v>203</v>
      </c>
      <c r="D157" s="131">
        <v>203</v>
      </c>
      <c r="E157" s="131"/>
      <c r="F157" s="131"/>
      <c r="G157" s="131"/>
      <c r="H157" s="131"/>
      <c r="I157" s="413"/>
      <c r="J157" s="413"/>
      <c r="K157" s="790"/>
      <c r="L157" s="790"/>
      <c r="M157" s="836"/>
      <c r="N157" s="836"/>
      <c r="O157" s="836"/>
    </row>
    <row r="158" spans="1:15" s="782" customFormat="1" ht="30.75" customHeight="1" x14ac:dyDescent="0.2">
      <c r="A158" s="795">
        <v>22</v>
      </c>
      <c r="B158" s="799" t="s">
        <v>607</v>
      </c>
      <c r="C158" s="797">
        <f t="shared" si="9"/>
        <v>117.89293823999981</v>
      </c>
      <c r="D158" s="127">
        <v>117.89293823999981</v>
      </c>
      <c r="E158" s="127"/>
      <c r="F158" s="127"/>
      <c r="G158" s="127"/>
      <c r="H158" s="127"/>
      <c r="I158" s="787"/>
      <c r="J158" s="787"/>
      <c r="K158" s="797"/>
      <c r="L158" s="797"/>
      <c r="M158" s="837"/>
      <c r="N158" s="837"/>
      <c r="O158" s="837"/>
    </row>
    <row r="159" spans="1:15" s="782" customFormat="1" ht="30.75" customHeight="1" x14ac:dyDescent="0.2">
      <c r="A159" s="795">
        <v>23</v>
      </c>
      <c r="B159" s="799" t="s">
        <v>809</v>
      </c>
      <c r="C159" s="797">
        <f t="shared" si="9"/>
        <v>140.24188799999993</v>
      </c>
      <c r="D159" s="127">
        <v>139.14028799999994</v>
      </c>
      <c r="E159" s="127"/>
      <c r="F159" s="127"/>
      <c r="G159" s="127"/>
      <c r="H159" s="127">
        <f>SUM(H160:H161)</f>
        <v>1.1015999999999999</v>
      </c>
      <c r="I159" s="787"/>
      <c r="J159" s="787"/>
      <c r="K159" s="787">
        <f>SUM(K160:K161)</f>
        <v>0</v>
      </c>
      <c r="L159" s="787">
        <f>SUM(L160:L161)</f>
        <v>0</v>
      </c>
      <c r="M159" s="833"/>
      <c r="N159" s="833"/>
      <c r="O159" s="833"/>
    </row>
    <row r="160" spans="1:15" ht="30.75" hidden="1" customHeight="1" x14ac:dyDescent="0.25">
      <c r="A160" s="788"/>
      <c r="B160" s="792" t="s">
        <v>754</v>
      </c>
      <c r="C160" s="790">
        <f t="shared" si="9"/>
        <v>89.075600000000009</v>
      </c>
      <c r="D160" s="131">
        <v>87.974000000000004</v>
      </c>
      <c r="E160" s="131"/>
      <c r="F160" s="131"/>
      <c r="G160" s="131"/>
      <c r="H160" s="127">
        <v>1.1015999999999999</v>
      </c>
      <c r="I160" s="413"/>
      <c r="J160" s="413"/>
      <c r="K160" s="790"/>
      <c r="L160" s="790"/>
      <c r="M160" s="836"/>
      <c r="N160" s="836"/>
      <c r="O160" s="836"/>
    </row>
    <row r="161" spans="1:15" ht="30.75" hidden="1" customHeight="1" x14ac:dyDescent="0.25">
      <c r="A161" s="788"/>
      <c r="B161" s="792" t="s">
        <v>757</v>
      </c>
      <c r="C161" s="790">
        <f t="shared" si="9"/>
        <v>46.652000000000001</v>
      </c>
      <c r="D161" s="131">
        <v>46.652000000000001</v>
      </c>
      <c r="E161" s="131"/>
      <c r="F161" s="131"/>
      <c r="G161" s="131"/>
      <c r="H161" s="131"/>
      <c r="I161" s="413"/>
      <c r="J161" s="413"/>
      <c r="K161" s="790"/>
      <c r="L161" s="790"/>
      <c r="M161" s="836"/>
      <c r="N161" s="836"/>
      <c r="O161" s="836"/>
    </row>
    <row r="162" spans="1:15" s="782" customFormat="1" ht="30.75" customHeight="1" x14ac:dyDescent="0.2">
      <c r="A162" s="795">
        <v>24</v>
      </c>
      <c r="B162" s="799" t="s">
        <v>810</v>
      </c>
      <c r="C162" s="797">
        <f t="shared" si="9"/>
        <v>330.13699199999849</v>
      </c>
      <c r="D162" s="127">
        <v>328.79779199999848</v>
      </c>
      <c r="E162" s="127"/>
      <c r="F162" s="127"/>
      <c r="G162" s="127"/>
      <c r="H162" s="127">
        <v>1.3391999999999999</v>
      </c>
      <c r="I162" s="787"/>
      <c r="J162" s="787"/>
      <c r="K162" s="797"/>
      <c r="L162" s="797"/>
      <c r="M162" s="837"/>
      <c r="N162" s="837"/>
      <c r="O162" s="837"/>
    </row>
    <row r="163" spans="1:15" s="782" customFormat="1" ht="24" customHeight="1" x14ac:dyDescent="0.2">
      <c r="A163" s="805">
        <v>25</v>
      </c>
      <c r="B163" s="403" t="s">
        <v>811</v>
      </c>
      <c r="C163" s="787">
        <f>SUM(C164:C173)</f>
        <v>2095.0534331999966</v>
      </c>
      <c r="D163" s="127">
        <f>SUM(D164:D173)</f>
        <v>2092.8286331999966</v>
      </c>
      <c r="E163" s="127"/>
      <c r="F163" s="127"/>
      <c r="G163" s="127"/>
      <c r="H163" s="127">
        <f>SUM(H164:H173)</f>
        <v>2.2248000000000001</v>
      </c>
      <c r="I163" s="787"/>
      <c r="J163" s="787"/>
      <c r="K163" s="787">
        <f>SUM(K164:K173)</f>
        <v>0</v>
      </c>
      <c r="L163" s="787">
        <f>SUM(L164:L173)</f>
        <v>0</v>
      </c>
      <c r="M163" s="833"/>
      <c r="N163" s="833"/>
      <c r="O163" s="833"/>
    </row>
    <row r="164" spans="1:15" ht="26.25" hidden="1" customHeight="1" x14ac:dyDescent="0.25">
      <c r="A164" s="806" t="s">
        <v>288</v>
      </c>
      <c r="B164" s="807" t="s">
        <v>812</v>
      </c>
      <c r="C164" s="790">
        <f t="shared" ref="C164:C199" si="10">SUM(D164:K164)</f>
        <v>481.78235159999895</v>
      </c>
      <c r="D164" s="133">
        <v>480.65915159999895</v>
      </c>
      <c r="E164" s="133"/>
      <c r="F164" s="133"/>
      <c r="G164" s="133"/>
      <c r="H164" s="133">
        <v>1.1232</v>
      </c>
      <c r="I164" s="790"/>
      <c r="J164" s="790"/>
      <c r="K164" s="790"/>
      <c r="L164" s="790"/>
      <c r="M164" s="836"/>
      <c r="N164" s="836"/>
      <c r="O164" s="836"/>
    </row>
    <row r="165" spans="1:15" ht="26.25" hidden="1" customHeight="1" x14ac:dyDescent="0.25">
      <c r="A165" s="806" t="s">
        <v>288</v>
      </c>
      <c r="B165" s="807" t="s">
        <v>813</v>
      </c>
      <c r="C165" s="790">
        <f t="shared" si="10"/>
        <v>122.02500959999929</v>
      </c>
      <c r="D165" s="133">
        <v>122.02500959999929</v>
      </c>
      <c r="E165" s="133"/>
      <c r="F165" s="133"/>
      <c r="G165" s="133"/>
      <c r="H165" s="133"/>
      <c r="I165" s="790"/>
      <c r="J165" s="790"/>
      <c r="K165" s="790"/>
      <c r="L165" s="790"/>
      <c r="M165" s="836"/>
      <c r="N165" s="836"/>
      <c r="O165" s="836"/>
    </row>
    <row r="166" spans="1:15" ht="26.25" hidden="1" customHeight="1" x14ac:dyDescent="0.25">
      <c r="A166" s="806" t="s">
        <v>288</v>
      </c>
      <c r="B166" s="807" t="s">
        <v>814</v>
      </c>
      <c r="C166" s="790">
        <f t="shared" si="10"/>
        <v>145.55514239999945</v>
      </c>
      <c r="D166" s="133">
        <v>145.55514239999945</v>
      </c>
      <c r="E166" s="133"/>
      <c r="F166" s="133"/>
      <c r="G166" s="133"/>
      <c r="H166" s="133"/>
      <c r="I166" s="790"/>
      <c r="J166" s="790"/>
      <c r="K166" s="790"/>
      <c r="L166" s="790"/>
      <c r="M166" s="836"/>
      <c r="N166" s="836"/>
      <c r="O166" s="836"/>
    </row>
    <row r="167" spans="1:15" ht="26.25" hidden="1" customHeight="1" x14ac:dyDescent="0.25">
      <c r="A167" s="806" t="s">
        <v>288</v>
      </c>
      <c r="B167" s="807" t="s">
        <v>815</v>
      </c>
      <c r="C167" s="790">
        <f t="shared" si="10"/>
        <v>166.44026880000013</v>
      </c>
      <c r="D167" s="133">
        <v>166.44026880000013</v>
      </c>
      <c r="E167" s="133"/>
      <c r="F167" s="133"/>
      <c r="G167" s="133"/>
      <c r="H167" s="133"/>
      <c r="I167" s="790"/>
      <c r="J167" s="790"/>
      <c r="K167" s="790"/>
      <c r="L167" s="790"/>
      <c r="M167" s="836"/>
      <c r="N167" s="836"/>
      <c r="O167" s="836"/>
    </row>
    <row r="168" spans="1:15" ht="26.25" hidden="1" customHeight="1" x14ac:dyDescent="0.25">
      <c r="A168" s="806" t="s">
        <v>288</v>
      </c>
      <c r="B168" s="807" t="s">
        <v>816</v>
      </c>
      <c r="C168" s="790">
        <f t="shared" si="10"/>
        <v>159.57561599999997</v>
      </c>
      <c r="D168" s="133">
        <v>159.57561599999997</v>
      </c>
      <c r="E168" s="133"/>
      <c r="F168" s="133"/>
      <c r="G168" s="133"/>
      <c r="H168" s="133"/>
      <c r="I168" s="790"/>
      <c r="J168" s="790"/>
      <c r="K168" s="790"/>
      <c r="L168" s="790"/>
      <c r="M168" s="836"/>
      <c r="N168" s="836"/>
      <c r="O168" s="836"/>
    </row>
    <row r="169" spans="1:15" ht="26.25" hidden="1" customHeight="1" x14ac:dyDescent="0.25">
      <c r="A169" s="806" t="s">
        <v>288</v>
      </c>
      <c r="B169" s="807" t="s">
        <v>817</v>
      </c>
      <c r="C169" s="790">
        <f t="shared" si="10"/>
        <v>207.06062399999973</v>
      </c>
      <c r="D169" s="133">
        <v>207.06062399999973</v>
      </c>
      <c r="E169" s="133"/>
      <c r="F169" s="133"/>
      <c r="G169" s="133"/>
      <c r="H169" s="133"/>
      <c r="I169" s="790"/>
      <c r="J169" s="790"/>
      <c r="K169" s="790"/>
      <c r="L169" s="790"/>
      <c r="M169" s="836"/>
      <c r="N169" s="836"/>
      <c r="O169" s="836"/>
    </row>
    <row r="170" spans="1:15" ht="26.25" hidden="1" customHeight="1" x14ac:dyDescent="0.25">
      <c r="A170" s="806" t="s">
        <v>288</v>
      </c>
      <c r="B170" s="807" t="s">
        <v>818</v>
      </c>
      <c r="C170" s="790">
        <f t="shared" si="10"/>
        <v>266.32752479999908</v>
      </c>
      <c r="D170" s="133">
        <v>266.32752479999908</v>
      </c>
      <c r="E170" s="133"/>
      <c r="F170" s="133"/>
      <c r="G170" s="133"/>
      <c r="H170" s="133"/>
      <c r="I170" s="790"/>
      <c r="J170" s="790"/>
      <c r="K170" s="790"/>
      <c r="L170" s="790"/>
      <c r="M170" s="836"/>
      <c r="N170" s="836"/>
      <c r="O170" s="836"/>
    </row>
    <row r="171" spans="1:15" ht="26.25" hidden="1" customHeight="1" x14ac:dyDescent="0.25">
      <c r="A171" s="806" t="s">
        <v>288</v>
      </c>
      <c r="B171" s="807" t="s">
        <v>819</v>
      </c>
      <c r="C171" s="790">
        <f t="shared" si="10"/>
        <v>249.53097599999978</v>
      </c>
      <c r="D171" s="133">
        <v>249.53097599999978</v>
      </c>
      <c r="E171" s="133"/>
      <c r="F171" s="133"/>
      <c r="G171" s="133"/>
      <c r="H171" s="133"/>
      <c r="I171" s="790"/>
      <c r="J171" s="790"/>
      <c r="K171" s="790"/>
      <c r="L171" s="790"/>
      <c r="M171" s="836"/>
      <c r="N171" s="836"/>
      <c r="O171" s="836"/>
    </row>
    <row r="172" spans="1:15" ht="26.25" hidden="1" customHeight="1" x14ac:dyDescent="0.25">
      <c r="A172" s="806" t="s">
        <v>288</v>
      </c>
      <c r="B172" s="807" t="s">
        <v>820</v>
      </c>
      <c r="C172" s="790">
        <f t="shared" si="10"/>
        <v>205.22527199999982</v>
      </c>
      <c r="D172" s="133">
        <v>204.12367199999983</v>
      </c>
      <c r="E172" s="133"/>
      <c r="F172" s="133"/>
      <c r="G172" s="133"/>
      <c r="H172" s="133">
        <v>1.1015999999999999</v>
      </c>
      <c r="I172" s="790"/>
      <c r="J172" s="790"/>
      <c r="K172" s="790"/>
      <c r="L172" s="790"/>
      <c r="M172" s="836"/>
      <c r="N172" s="836"/>
      <c r="O172" s="836"/>
    </row>
    <row r="173" spans="1:15" ht="26.25" hidden="1" customHeight="1" x14ac:dyDescent="0.25">
      <c r="A173" s="806" t="s">
        <v>288</v>
      </c>
      <c r="B173" s="807" t="s">
        <v>821</v>
      </c>
      <c r="C173" s="790">
        <f t="shared" si="10"/>
        <v>91.530648000000213</v>
      </c>
      <c r="D173" s="133">
        <v>91.530648000000213</v>
      </c>
      <c r="E173" s="133"/>
      <c r="F173" s="133"/>
      <c r="G173" s="133"/>
      <c r="H173" s="133"/>
      <c r="I173" s="790"/>
      <c r="J173" s="790"/>
      <c r="K173" s="790"/>
      <c r="L173" s="790"/>
      <c r="M173" s="836"/>
      <c r="N173" s="836"/>
      <c r="O173" s="836"/>
    </row>
    <row r="174" spans="1:15" s="782" customFormat="1" ht="26.25" customHeight="1" x14ac:dyDescent="0.2">
      <c r="A174" s="795">
        <v>26</v>
      </c>
      <c r="B174" s="799" t="s">
        <v>186</v>
      </c>
      <c r="C174" s="797">
        <f t="shared" si="10"/>
        <v>253.34674127999961</v>
      </c>
      <c r="D174" s="139">
        <v>253.34674127999961</v>
      </c>
      <c r="E174" s="139"/>
      <c r="F174" s="139"/>
      <c r="G174" s="139"/>
      <c r="H174" s="139"/>
      <c r="I174" s="797"/>
      <c r="J174" s="797"/>
      <c r="K174" s="797"/>
      <c r="L174" s="797"/>
      <c r="M174" s="837"/>
      <c r="N174" s="837"/>
      <c r="O174" s="837"/>
    </row>
    <row r="175" spans="1:15" s="782" customFormat="1" ht="26.25" customHeight="1" x14ac:dyDescent="0.2">
      <c r="A175" s="795">
        <v>27</v>
      </c>
      <c r="B175" s="799" t="s">
        <v>822</v>
      </c>
      <c r="C175" s="797">
        <f t="shared" si="10"/>
        <v>187.91675999999995</v>
      </c>
      <c r="D175" s="139">
        <v>187.91675999999995</v>
      </c>
      <c r="E175" s="139"/>
      <c r="F175" s="139"/>
      <c r="G175" s="139"/>
      <c r="H175" s="139"/>
      <c r="I175" s="797"/>
      <c r="J175" s="797"/>
      <c r="K175" s="797"/>
      <c r="L175" s="797"/>
      <c r="M175" s="837"/>
      <c r="N175" s="837"/>
      <c r="O175" s="837"/>
    </row>
    <row r="176" spans="1:15" s="782" customFormat="1" ht="26.25" customHeight="1" x14ac:dyDescent="0.2">
      <c r="A176" s="795">
        <v>28</v>
      </c>
      <c r="B176" s="799" t="s">
        <v>191</v>
      </c>
      <c r="C176" s="797">
        <f t="shared" si="10"/>
        <v>196.55459999999994</v>
      </c>
      <c r="D176" s="139">
        <v>196.55459999999994</v>
      </c>
      <c r="E176" s="139"/>
      <c r="F176" s="139"/>
      <c r="G176" s="139"/>
      <c r="H176" s="139"/>
      <c r="I176" s="797"/>
      <c r="J176" s="797"/>
      <c r="K176" s="797"/>
      <c r="L176" s="797"/>
      <c r="M176" s="837"/>
      <c r="N176" s="837"/>
      <c r="O176" s="837"/>
    </row>
    <row r="177" spans="1:15" s="782" customFormat="1" ht="26.25" customHeight="1" x14ac:dyDescent="0.2">
      <c r="A177" s="795">
        <v>29</v>
      </c>
      <c r="B177" s="799" t="s">
        <v>823</v>
      </c>
      <c r="C177" s="797">
        <f t="shared" si="10"/>
        <v>177.70786559999976</v>
      </c>
      <c r="D177" s="139">
        <v>177.70786559999976</v>
      </c>
      <c r="E177" s="139"/>
      <c r="F177" s="139"/>
      <c r="G177" s="139"/>
      <c r="H177" s="139"/>
      <c r="I177" s="797"/>
      <c r="J177" s="797"/>
      <c r="K177" s="797"/>
      <c r="L177" s="797"/>
      <c r="M177" s="837"/>
      <c r="N177" s="837"/>
      <c r="O177" s="837"/>
    </row>
    <row r="178" spans="1:15" s="782" customFormat="1" ht="26.25" customHeight="1" x14ac:dyDescent="0.2">
      <c r="A178" s="795">
        <v>30</v>
      </c>
      <c r="B178" s="799" t="s">
        <v>824</v>
      </c>
      <c r="C178" s="808">
        <f t="shared" si="10"/>
        <v>0</v>
      </c>
      <c r="D178" s="139"/>
      <c r="E178" s="139"/>
      <c r="F178" s="139"/>
      <c r="G178" s="139"/>
      <c r="H178" s="139"/>
      <c r="I178" s="797"/>
      <c r="J178" s="797"/>
      <c r="K178" s="797"/>
      <c r="L178" s="797"/>
      <c r="M178" s="837"/>
      <c r="N178" s="837"/>
      <c r="O178" s="837"/>
    </row>
    <row r="179" spans="1:15" s="782" customFormat="1" ht="26.25" customHeight="1" x14ac:dyDescent="0.2">
      <c r="A179" s="795">
        <v>31</v>
      </c>
      <c r="B179" s="799" t="s">
        <v>825</v>
      </c>
      <c r="C179" s="797">
        <f t="shared" si="10"/>
        <v>85.772735999999668</v>
      </c>
      <c r="D179" s="139">
        <v>85.772735999999668</v>
      </c>
      <c r="E179" s="139"/>
      <c r="F179" s="139"/>
      <c r="G179" s="139"/>
      <c r="H179" s="139"/>
      <c r="I179" s="797"/>
      <c r="J179" s="797"/>
      <c r="K179" s="797"/>
      <c r="L179" s="797"/>
      <c r="M179" s="837"/>
      <c r="N179" s="837"/>
      <c r="O179" s="837"/>
    </row>
    <row r="180" spans="1:15" s="782" customFormat="1" ht="26.25" customHeight="1" x14ac:dyDescent="0.2">
      <c r="A180" s="795">
        <v>32</v>
      </c>
      <c r="B180" s="799" t="s">
        <v>826</v>
      </c>
      <c r="C180" s="797">
        <f t="shared" si="10"/>
        <v>145.85443200000009</v>
      </c>
      <c r="D180" s="139">
        <v>145.85443200000009</v>
      </c>
      <c r="E180" s="139"/>
      <c r="F180" s="139"/>
      <c r="G180" s="139"/>
      <c r="H180" s="139"/>
      <c r="I180" s="797"/>
      <c r="J180" s="797"/>
      <c r="K180" s="797"/>
      <c r="L180" s="797"/>
      <c r="M180" s="837"/>
      <c r="N180" s="837"/>
      <c r="O180" s="837"/>
    </row>
    <row r="181" spans="1:15" s="782" customFormat="1" ht="26.25" customHeight="1" x14ac:dyDescent="0.2">
      <c r="A181" s="795">
        <v>33</v>
      </c>
      <c r="B181" s="799" t="s">
        <v>827</v>
      </c>
      <c r="C181" s="797">
        <f t="shared" si="10"/>
        <v>41.253913439999877</v>
      </c>
      <c r="D181" s="139">
        <v>41.253913439999877</v>
      </c>
      <c r="E181" s="139"/>
      <c r="F181" s="139"/>
      <c r="G181" s="139"/>
      <c r="H181" s="139"/>
      <c r="I181" s="797"/>
      <c r="J181" s="797"/>
      <c r="K181" s="797"/>
      <c r="L181" s="797"/>
      <c r="M181" s="837"/>
      <c r="N181" s="837"/>
      <c r="O181" s="837"/>
    </row>
    <row r="182" spans="1:15" s="782" customFormat="1" ht="26.25" customHeight="1" x14ac:dyDescent="0.2">
      <c r="A182" s="795">
        <v>34</v>
      </c>
      <c r="B182" s="799" t="s">
        <v>828</v>
      </c>
      <c r="C182" s="797">
        <f t="shared" si="10"/>
        <v>35.568287999999853</v>
      </c>
      <c r="D182" s="139">
        <v>35.568287999999853</v>
      </c>
      <c r="E182" s="139"/>
      <c r="F182" s="139"/>
      <c r="G182" s="139"/>
      <c r="H182" s="139"/>
      <c r="I182" s="797"/>
      <c r="J182" s="797"/>
      <c r="K182" s="797"/>
      <c r="L182" s="797"/>
      <c r="M182" s="837"/>
      <c r="N182" s="837"/>
      <c r="O182" s="837"/>
    </row>
    <row r="183" spans="1:15" s="782" customFormat="1" ht="26.25" customHeight="1" x14ac:dyDescent="0.2">
      <c r="A183" s="795">
        <v>35</v>
      </c>
      <c r="B183" s="799" t="s">
        <v>829</v>
      </c>
      <c r="C183" s="797">
        <f t="shared" si="10"/>
        <v>18.130608000000009</v>
      </c>
      <c r="D183" s="139">
        <v>18.130608000000009</v>
      </c>
      <c r="E183" s="139"/>
      <c r="F183" s="139"/>
      <c r="G183" s="139"/>
      <c r="H183" s="139"/>
      <c r="I183" s="797"/>
      <c r="J183" s="797"/>
      <c r="K183" s="797"/>
      <c r="L183" s="797"/>
      <c r="M183" s="837"/>
      <c r="N183" s="837"/>
      <c r="O183" s="837"/>
    </row>
    <row r="184" spans="1:15" s="782" customFormat="1" ht="26.25" customHeight="1" x14ac:dyDescent="0.2">
      <c r="A184" s="795">
        <v>36</v>
      </c>
      <c r="B184" s="799" t="s">
        <v>830</v>
      </c>
      <c r="C184" s="797">
        <f t="shared" si="10"/>
        <v>40.462433279999971</v>
      </c>
      <c r="D184" s="139">
        <v>40.462433279999971</v>
      </c>
      <c r="E184" s="139"/>
      <c r="F184" s="139"/>
      <c r="G184" s="139"/>
      <c r="H184" s="139"/>
      <c r="I184" s="797"/>
      <c r="J184" s="797"/>
      <c r="K184" s="797"/>
      <c r="L184" s="797"/>
      <c r="M184" s="837"/>
      <c r="N184" s="837"/>
      <c r="O184" s="837"/>
    </row>
    <row r="185" spans="1:15" s="782" customFormat="1" ht="26.25" customHeight="1" x14ac:dyDescent="0.2">
      <c r="A185" s="795">
        <v>37</v>
      </c>
      <c r="B185" s="799" t="s">
        <v>831</v>
      </c>
      <c r="C185" s="797">
        <f t="shared" si="10"/>
        <v>70.622279999999762</v>
      </c>
      <c r="D185" s="139">
        <v>70.622279999999762</v>
      </c>
      <c r="E185" s="139"/>
      <c r="F185" s="139"/>
      <c r="G185" s="139"/>
      <c r="H185" s="139"/>
      <c r="I185" s="797"/>
      <c r="J185" s="797"/>
      <c r="K185" s="797"/>
      <c r="L185" s="797"/>
      <c r="M185" s="837"/>
      <c r="N185" s="837"/>
      <c r="O185" s="837"/>
    </row>
    <row r="186" spans="1:15" s="782" customFormat="1" ht="26.25" customHeight="1" x14ac:dyDescent="0.2">
      <c r="A186" s="795">
        <v>38</v>
      </c>
      <c r="B186" s="799" t="s">
        <v>832</v>
      </c>
      <c r="C186" s="797">
        <f t="shared" si="10"/>
        <v>11.409983999999984</v>
      </c>
      <c r="D186" s="139">
        <v>8.7099839999999844</v>
      </c>
      <c r="E186" s="139"/>
      <c r="F186" s="139"/>
      <c r="G186" s="139"/>
      <c r="H186" s="139"/>
      <c r="I186" s="797"/>
      <c r="J186" s="797"/>
      <c r="K186" s="797">
        <v>2.7</v>
      </c>
      <c r="L186" s="797"/>
      <c r="M186" s="837"/>
      <c r="N186" s="837"/>
      <c r="O186" s="837"/>
    </row>
    <row r="187" spans="1:15" s="782" customFormat="1" ht="26.25" customHeight="1" x14ac:dyDescent="0.2">
      <c r="A187" s="795">
        <v>39</v>
      </c>
      <c r="B187" s="799" t="s">
        <v>833</v>
      </c>
      <c r="C187" s="797">
        <f t="shared" si="10"/>
        <v>6.5996639999999873</v>
      </c>
      <c r="D187" s="139">
        <v>3.8996639999999871</v>
      </c>
      <c r="E187" s="139"/>
      <c r="F187" s="139"/>
      <c r="G187" s="139"/>
      <c r="H187" s="139"/>
      <c r="I187" s="797"/>
      <c r="J187" s="797"/>
      <c r="K187" s="797">
        <v>2.7</v>
      </c>
      <c r="L187" s="797"/>
      <c r="M187" s="837"/>
      <c r="N187" s="837"/>
      <c r="O187" s="837"/>
    </row>
    <row r="188" spans="1:15" s="782" customFormat="1" ht="33" customHeight="1" x14ac:dyDescent="0.2">
      <c r="A188" s="795">
        <v>40</v>
      </c>
      <c r="B188" s="809" t="s">
        <v>834</v>
      </c>
      <c r="C188" s="797">
        <f t="shared" si="10"/>
        <v>6.5996639999999873</v>
      </c>
      <c r="D188" s="139">
        <v>3.8996639999999871</v>
      </c>
      <c r="E188" s="139"/>
      <c r="F188" s="139"/>
      <c r="G188" s="139"/>
      <c r="H188" s="139"/>
      <c r="I188" s="797"/>
      <c r="J188" s="797"/>
      <c r="K188" s="797">
        <v>2.7</v>
      </c>
      <c r="L188" s="797"/>
      <c r="M188" s="837"/>
      <c r="N188" s="837"/>
      <c r="O188" s="837"/>
    </row>
    <row r="189" spans="1:15" s="782" customFormat="1" ht="26.25" customHeight="1" x14ac:dyDescent="0.2">
      <c r="A189" s="795">
        <v>41</v>
      </c>
      <c r="B189" s="799" t="s">
        <v>835</v>
      </c>
      <c r="C189" s="797">
        <f t="shared" si="10"/>
        <v>9.2111039999999882</v>
      </c>
      <c r="D189" s="139">
        <v>6.5111039999999889</v>
      </c>
      <c r="E189" s="139"/>
      <c r="F189" s="139"/>
      <c r="G189" s="139"/>
      <c r="H189" s="139"/>
      <c r="I189" s="797"/>
      <c r="J189" s="797"/>
      <c r="K189" s="797">
        <v>2.7</v>
      </c>
      <c r="L189" s="797"/>
      <c r="M189" s="837"/>
      <c r="N189" s="837"/>
      <c r="O189" s="837"/>
    </row>
    <row r="190" spans="1:15" s="782" customFormat="1" ht="36" customHeight="1" x14ac:dyDescent="0.2">
      <c r="A190" s="795">
        <v>42</v>
      </c>
      <c r="B190" s="809" t="s">
        <v>836</v>
      </c>
      <c r="C190" s="797">
        <f t="shared" si="10"/>
        <v>10.7</v>
      </c>
      <c r="D190" s="139">
        <v>8</v>
      </c>
      <c r="E190" s="139"/>
      <c r="F190" s="139"/>
      <c r="G190" s="139"/>
      <c r="H190" s="139"/>
      <c r="I190" s="797"/>
      <c r="J190" s="797"/>
      <c r="K190" s="797">
        <v>2.7</v>
      </c>
      <c r="L190" s="797"/>
      <c r="M190" s="837"/>
      <c r="N190" s="837"/>
      <c r="O190" s="837"/>
    </row>
    <row r="191" spans="1:15" s="782" customFormat="1" ht="26.25" customHeight="1" x14ac:dyDescent="0.2">
      <c r="A191" s="795">
        <v>43</v>
      </c>
      <c r="B191" s="809" t="s">
        <v>182</v>
      </c>
      <c r="C191" s="797">
        <f t="shared" si="10"/>
        <v>13.463279999999983</v>
      </c>
      <c r="D191" s="139">
        <v>13.463279999999983</v>
      </c>
      <c r="E191" s="139"/>
      <c r="F191" s="139"/>
      <c r="G191" s="139"/>
      <c r="H191" s="139"/>
      <c r="I191" s="797"/>
      <c r="J191" s="797"/>
      <c r="K191" s="797"/>
      <c r="L191" s="797"/>
      <c r="M191" s="837"/>
      <c r="N191" s="837"/>
      <c r="O191" s="837"/>
    </row>
    <row r="192" spans="1:15" s="782" customFormat="1" ht="26.25" hidden="1" customHeight="1" x14ac:dyDescent="0.2">
      <c r="A192" s="795"/>
      <c r="B192" s="809"/>
      <c r="C192" s="797"/>
      <c r="D192" s="139"/>
      <c r="E192" s="139"/>
      <c r="F192" s="139"/>
      <c r="G192" s="139"/>
      <c r="H192" s="139"/>
      <c r="I192" s="797"/>
      <c r="J192" s="797"/>
      <c r="K192" s="797"/>
      <c r="L192" s="797"/>
      <c r="M192" s="837"/>
      <c r="N192" s="837"/>
      <c r="O192" s="837"/>
    </row>
    <row r="193" spans="1:16" s="782" customFormat="1" ht="26.25" customHeight="1" x14ac:dyDescent="0.2">
      <c r="A193" s="795">
        <v>45</v>
      </c>
      <c r="B193" s="809" t="s">
        <v>200</v>
      </c>
      <c r="C193" s="797">
        <f t="shared" si="10"/>
        <v>7.4969279999999801</v>
      </c>
      <c r="D193" s="139">
        <v>4.7969279999999799</v>
      </c>
      <c r="E193" s="139"/>
      <c r="F193" s="139"/>
      <c r="G193" s="139"/>
      <c r="H193" s="139"/>
      <c r="I193" s="797"/>
      <c r="J193" s="797"/>
      <c r="K193" s="797">
        <v>2.7</v>
      </c>
      <c r="L193" s="797"/>
      <c r="M193" s="837"/>
      <c r="N193" s="837"/>
      <c r="O193" s="837"/>
    </row>
    <row r="194" spans="1:16" s="782" customFormat="1" ht="26.25" hidden="1" customHeight="1" x14ac:dyDescent="0.2">
      <c r="A194" s="795"/>
      <c r="B194" s="809"/>
      <c r="C194" s="797"/>
      <c r="D194" s="139"/>
      <c r="E194" s="139"/>
      <c r="F194" s="139"/>
      <c r="G194" s="139"/>
      <c r="H194" s="139"/>
      <c r="I194" s="797"/>
      <c r="J194" s="797"/>
      <c r="K194" s="797"/>
      <c r="L194" s="797"/>
      <c r="M194" s="837"/>
      <c r="N194" s="837"/>
      <c r="O194" s="837"/>
    </row>
    <row r="195" spans="1:16" s="782" customFormat="1" ht="26.25" customHeight="1" x14ac:dyDescent="0.2">
      <c r="A195" s="795">
        <v>47</v>
      </c>
      <c r="B195" s="809" t="s">
        <v>216</v>
      </c>
      <c r="C195" s="797">
        <f t="shared" si="10"/>
        <v>0</v>
      </c>
      <c r="D195" s="139"/>
      <c r="E195" s="139"/>
      <c r="F195" s="139"/>
      <c r="G195" s="139"/>
      <c r="H195" s="139"/>
      <c r="I195" s="797"/>
      <c r="J195" s="797"/>
      <c r="K195" s="797"/>
      <c r="L195" s="797"/>
      <c r="M195" s="837"/>
      <c r="N195" s="837"/>
      <c r="O195" s="837"/>
    </row>
    <row r="196" spans="1:16" s="782" customFormat="1" ht="26.25" customHeight="1" x14ac:dyDescent="0.2">
      <c r="A196" s="795">
        <v>48</v>
      </c>
      <c r="B196" s="809" t="s">
        <v>838</v>
      </c>
      <c r="C196" s="797">
        <f t="shared" si="10"/>
        <v>68.081471999999849</v>
      </c>
      <c r="D196" s="139">
        <v>68.081471999999849</v>
      </c>
      <c r="E196" s="139"/>
      <c r="F196" s="139"/>
      <c r="G196" s="139"/>
      <c r="H196" s="139"/>
      <c r="I196" s="797"/>
      <c r="J196" s="797"/>
      <c r="K196" s="797"/>
      <c r="L196" s="797"/>
      <c r="M196" s="837"/>
      <c r="N196" s="837"/>
      <c r="O196" s="837"/>
    </row>
    <row r="197" spans="1:16" s="782" customFormat="1" ht="26.25" customHeight="1" x14ac:dyDescent="0.2">
      <c r="A197" s="795">
        <v>49</v>
      </c>
      <c r="B197" s="809" t="s">
        <v>839</v>
      </c>
      <c r="C197" s="797">
        <f t="shared" si="10"/>
        <v>8.7769439999999648</v>
      </c>
      <c r="D197" s="139">
        <v>8.7769439999999648</v>
      </c>
      <c r="E197" s="139"/>
      <c r="F197" s="139"/>
      <c r="G197" s="139"/>
      <c r="H197" s="139"/>
      <c r="I197" s="797"/>
      <c r="J197" s="797"/>
      <c r="K197" s="797"/>
      <c r="L197" s="797"/>
      <c r="M197" s="837"/>
      <c r="N197" s="837"/>
      <c r="O197" s="837"/>
    </row>
    <row r="198" spans="1:16" s="782" customFormat="1" ht="26.25" customHeight="1" x14ac:dyDescent="0.2">
      <c r="A198" s="795">
        <v>50</v>
      </c>
      <c r="B198" s="809" t="s">
        <v>840</v>
      </c>
      <c r="C198" s="797">
        <f t="shared" si="10"/>
        <v>285.26035679999927</v>
      </c>
      <c r="D198" s="139">
        <v>285.26035679999927</v>
      </c>
      <c r="E198" s="139"/>
      <c r="F198" s="139"/>
      <c r="G198" s="139"/>
      <c r="H198" s="139"/>
      <c r="I198" s="797"/>
      <c r="J198" s="797"/>
      <c r="K198" s="797"/>
      <c r="L198" s="797"/>
      <c r="M198" s="837"/>
      <c r="N198" s="837"/>
      <c r="O198" s="837"/>
    </row>
    <row r="199" spans="1:16" s="813" customFormat="1" ht="26.25" customHeight="1" x14ac:dyDescent="0.2">
      <c r="A199" s="810"/>
      <c r="B199" s="811"/>
      <c r="C199" s="808">
        <f t="shared" si="10"/>
        <v>0</v>
      </c>
      <c r="D199" s="812"/>
      <c r="E199" s="812"/>
      <c r="F199" s="812"/>
      <c r="G199" s="812"/>
      <c r="H199" s="812"/>
      <c r="I199" s="808"/>
      <c r="J199" s="808"/>
      <c r="K199" s="808"/>
      <c r="L199" s="808"/>
      <c r="M199" s="839"/>
      <c r="N199" s="839"/>
      <c r="O199" s="839"/>
    </row>
    <row r="200" spans="1:16" s="782" customFormat="1" ht="26.25" customHeight="1" x14ac:dyDescent="0.2">
      <c r="A200" s="814" t="s">
        <v>11</v>
      </c>
      <c r="B200" s="815" t="s">
        <v>841</v>
      </c>
      <c r="C200" s="816">
        <f>SUM(D200:L200)</f>
        <v>65511.588799999998</v>
      </c>
      <c r="D200" s="817">
        <f t="shared" ref="D200:L200" si="11">D209+D231+D254+D276+D297+D319+D341+D365</f>
        <v>73211</v>
      </c>
      <c r="E200" s="818">
        <f t="shared" si="11"/>
        <v>-258</v>
      </c>
      <c r="F200" s="818">
        <f t="shared" si="11"/>
        <v>-665</v>
      </c>
      <c r="G200" s="818">
        <f t="shared" si="11"/>
        <v>-284</v>
      </c>
      <c r="H200" s="817">
        <f t="shared" si="11"/>
        <v>3053</v>
      </c>
      <c r="I200" s="816">
        <f t="shared" si="11"/>
        <v>-10782</v>
      </c>
      <c r="J200" s="816">
        <f t="shared" si="11"/>
        <v>686</v>
      </c>
      <c r="K200" s="816">
        <f t="shared" si="11"/>
        <v>415</v>
      </c>
      <c r="L200" s="816">
        <f t="shared" si="11"/>
        <v>135.58879999999999</v>
      </c>
      <c r="M200" s="840"/>
      <c r="N200" s="840"/>
      <c r="O200" s="840"/>
    </row>
    <row r="201" spans="1:16" s="782" customFormat="1" ht="26.25" customHeight="1" x14ac:dyDescent="0.2">
      <c r="A201" s="814"/>
      <c r="B201" s="819" t="s">
        <v>1483</v>
      </c>
      <c r="C201" s="816"/>
      <c r="D201" s="817"/>
      <c r="E201" s="818"/>
      <c r="F201" s="818"/>
      <c r="G201" s="818"/>
      <c r="H201" s="817"/>
      <c r="I201" s="816"/>
      <c r="J201" s="816"/>
      <c r="K201" s="816"/>
      <c r="L201" s="816"/>
      <c r="M201" s="840"/>
      <c r="N201" s="840"/>
      <c r="O201" s="840"/>
    </row>
    <row r="202" spans="1:16" s="782" customFormat="1" ht="26.25" customHeight="1" x14ac:dyDescent="0.25">
      <c r="A202" s="820" t="s">
        <v>288</v>
      </c>
      <c r="B202" s="821" t="s">
        <v>842</v>
      </c>
      <c r="C202" s="790" t="e">
        <f>SUM(D202:L202)</f>
        <v>#REF!</v>
      </c>
      <c r="D202" s="817" t="e">
        <f>D210+D232+D255+D277+D298+D320+D342+D366+#REF!</f>
        <v>#REF!</v>
      </c>
      <c r="E202" s="817">
        <f>E210+E232+E255+E277+E298+E320+E342+E366</f>
        <v>0</v>
      </c>
      <c r="F202" s="817">
        <f>F210+F232+F255+F277+F298+F320+F342+F366+F341/2</f>
        <v>-664.5</v>
      </c>
      <c r="G202" s="817">
        <f>G210+G232+G255+G277+G298+G320+G342+G366+G341/2</f>
        <v>-284</v>
      </c>
      <c r="H202" s="817">
        <f>H210+H232+H255+H277+H298+H320+H342+H366</f>
        <v>0</v>
      </c>
      <c r="I202" s="817">
        <f>I210+I232+I255+I277+I298+I320+I342+I366</f>
        <v>-10782</v>
      </c>
      <c r="J202" s="817">
        <f>J210+J232+J255+J277+J298+J320+J342+J366</f>
        <v>0</v>
      </c>
      <c r="K202" s="817">
        <f>K210+K232+K255+K277+K298+K320+K342+K366</f>
        <v>415</v>
      </c>
      <c r="L202" s="817">
        <f>L210+L232+L255+L277+L298+L320+L342+L366</f>
        <v>0</v>
      </c>
      <c r="M202" s="841"/>
      <c r="N202" s="841"/>
      <c r="O202" s="841"/>
      <c r="P202" s="782" t="e">
        <f>SUM(C202:C208)</f>
        <v>#REF!</v>
      </c>
    </row>
    <row r="203" spans="1:16" s="782" customFormat="1" ht="26.25" customHeight="1" x14ac:dyDescent="0.25">
      <c r="A203" s="820" t="s">
        <v>288</v>
      </c>
      <c r="B203" s="822" t="s">
        <v>849</v>
      </c>
      <c r="C203" s="790">
        <f t="shared" ref="C203:C207" si="12">SUM(D203:L203)</f>
        <v>686</v>
      </c>
      <c r="D203" s="817">
        <f t="shared" ref="D203:L203" si="13">D223+D244+D267+D289+D310+D332+D356+D380</f>
        <v>0</v>
      </c>
      <c r="E203" s="817">
        <f t="shared" si="13"/>
        <v>0</v>
      </c>
      <c r="F203" s="817">
        <f t="shared" si="13"/>
        <v>0</v>
      </c>
      <c r="G203" s="817">
        <f t="shared" si="13"/>
        <v>0</v>
      </c>
      <c r="H203" s="817">
        <f t="shared" si="13"/>
        <v>0</v>
      </c>
      <c r="I203" s="817">
        <f t="shared" si="13"/>
        <v>0</v>
      </c>
      <c r="J203" s="817">
        <f t="shared" si="13"/>
        <v>686</v>
      </c>
      <c r="K203" s="817">
        <f t="shared" si="13"/>
        <v>0</v>
      </c>
      <c r="L203" s="817">
        <f t="shared" si="13"/>
        <v>0</v>
      </c>
      <c r="M203" s="841"/>
      <c r="N203" s="841"/>
      <c r="O203" s="841"/>
      <c r="P203" s="782" t="e">
        <f>P202-C200</f>
        <v>#REF!</v>
      </c>
    </row>
    <row r="204" spans="1:16" s="782" customFormat="1" ht="26.25" customHeight="1" x14ac:dyDescent="0.25">
      <c r="A204" s="820" t="s">
        <v>288</v>
      </c>
      <c r="B204" s="821" t="s">
        <v>850</v>
      </c>
      <c r="C204" s="790">
        <f t="shared" si="12"/>
        <v>47176.5</v>
      </c>
      <c r="D204" s="817">
        <f>D224+D246+D268+D290+D311+D333+D357+D381</f>
        <v>48642</v>
      </c>
      <c r="E204" s="817">
        <f>E224+E246+E268+E290+E311+E333+E357+E381+E341</f>
        <v>-516</v>
      </c>
      <c r="F204" s="817">
        <f>F224+F246+F268+F290+F311+F333+F357+F381+F341/2</f>
        <v>-665.5</v>
      </c>
      <c r="G204" s="817">
        <f>G224+G246+G268+G290+G311+G333+G357+G381+G341/2</f>
        <v>-284</v>
      </c>
      <c r="H204" s="817">
        <f>H224+H246+H268+H290+H311+H333+H357+H381</f>
        <v>0</v>
      </c>
      <c r="I204" s="817">
        <f>I224+I246+I268+I290+I311+I333+I357+I381</f>
        <v>0</v>
      </c>
      <c r="J204" s="817">
        <f>J224+J246+J268+J290+J311+J333+J357+J381</f>
        <v>0</v>
      </c>
      <c r="K204" s="817">
        <f>K224+K246+K268+K290+K311+K333+K357+K381</f>
        <v>0</v>
      </c>
      <c r="L204" s="817">
        <f>L224+L246+L268+L290+L311+L333+L357+L381</f>
        <v>0</v>
      </c>
      <c r="M204" s="841"/>
      <c r="N204" s="841"/>
      <c r="O204" s="841"/>
    </row>
    <row r="205" spans="1:16" s="782" customFormat="1" ht="26.25" customHeight="1" x14ac:dyDescent="0.25">
      <c r="A205" s="820" t="s">
        <v>288</v>
      </c>
      <c r="B205" s="821" t="s">
        <v>1484</v>
      </c>
      <c r="C205" s="790">
        <f t="shared" si="12"/>
        <v>611</v>
      </c>
      <c r="D205" s="817">
        <f t="shared" ref="D205:L205" si="14">D226+D248+D270+D292+D313+D335+D359+D383</f>
        <v>611</v>
      </c>
      <c r="E205" s="817">
        <f t="shared" si="14"/>
        <v>0</v>
      </c>
      <c r="F205" s="817">
        <f t="shared" si="14"/>
        <v>0</v>
      </c>
      <c r="G205" s="817">
        <f t="shared" si="14"/>
        <v>0</v>
      </c>
      <c r="H205" s="817">
        <f t="shared" si="14"/>
        <v>0</v>
      </c>
      <c r="I205" s="817">
        <f t="shared" si="14"/>
        <v>0</v>
      </c>
      <c r="J205" s="817">
        <f t="shared" si="14"/>
        <v>0</v>
      </c>
      <c r="K205" s="817">
        <f t="shared" si="14"/>
        <v>0</v>
      </c>
      <c r="L205" s="817">
        <f t="shared" si="14"/>
        <v>0</v>
      </c>
      <c r="M205" s="841"/>
      <c r="N205" s="841"/>
      <c r="O205" s="841"/>
    </row>
    <row r="206" spans="1:16" s="782" customFormat="1" ht="26.25" customHeight="1" x14ac:dyDescent="0.25">
      <c r="A206" s="820" t="s">
        <v>288</v>
      </c>
      <c r="B206" s="821" t="s">
        <v>854</v>
      </c>
      <c r="C206" s="790">
        <f t="shared" si="12"/>
        <v>3053</v>
      </c>
      <c r="D206" s="817">
        <f>D229+D252+D274+D295+D317+D339+D363+D387</f>
        <v>0</v>
      </c>
      <c r="E206" s="817">
        <f t="shared" ref="E206:L207" si="15">E229+E252+E274+E295+E317+E339+E363+E387</f>
        <v>0</v>
      </c>
      <c r="F206" s="817">
        <f t="shared" si="15"/>
        <v>0</v>
      </c>
      <c r="G206" s="817">
        <f t="shared" si="15"/>
        <v>0</v>
      </c>
      <c r="H206" s="817">
        <f t="shared" si="15"/>
        <v>3053</v>
      </c>
      <c r="I206" s="817">
        <f t="shared" si="15"/>
        <v>0</v>
      </c>
      <c r="J206" s="817">
        <f t="shared" si="15"/>
        <v>0</v>
      </c>
      <c r="K206" s="817">
        <f t="shared" si="15"/>
        <v>0</v>
      </c>
      <c r="L206" s="817">
        <f t="shared" si="15"/>
        <v>0</v>
      </c>
      <c r="M206" s="841"/>
      <c r="N206" s="841"/>
      <c r="O206" s="841"/>
    </row>
    <row r="207" spans="1:16" s="782" customFormat="1" ht="26.25" customHeight="1" x14ac:dyDescent="0.25">
      <c r="A207" s="820" t="s">
        <v>288</v>
      </c>
      <c r="B207" s="821" t="s">
        <v>855</v>
      </c>
      <c r="C207" s="790">
        <f t="shared" si="12"/>
        <v>413.58879999999999</v>
      </c>
      <c r="D207" s="817">
        <f>D230+D253+D275+D296+D318+D340+D364+D388</f>
        <v>278</v>
      </c>
      <c r="E207" s="817">
        <f t="shared" si="15"/>
        <v>0</v>
      </c>
      <c r="F207" s="817">
        <f t="shared" si="15"/>
        <v>0</v>
      </c>
      <c r="G207" s="817">
        <f t="shared" si="15"/>
        <v>0</v>
      </c>
      <c r="H207" s="817">
        <f t="shared" si="15"/>
        <v>0</v>
      </c>
      <c r="I207" s="817">
        <f t="shared" si="15"/>
        <v>0</v>
      </c>
      <c r="J207" s="817">
        <f t="shared" si="15"/>
        <v>0</v>
      </c>
      <c r="K207" s="817">
        <f t="shared" si="15"/>
        <v>0</v>
      </c>
      <c r="L207" s="817">
        <f t="shared" si="15"/>
        <v>135.58879999999999</v>
      </c>
      <c r="M207" s="841"/>
      <c r="N207" s="841"/>
      <c r="O207" s="841"/>
    </row>
    <row r="208" spans="1:16" s="782" customFormat="1" ht="26.25" customHeight="1" x14ac:dyDescent="0.25">
      <c r="A208" s="2139" t="s">
        <v>96</v>
      </c>
      <c r="B208" s="2140"/>
      <c r="C208" s="790"/>
      <c r="D208" s="817"/>
      <c r="E208" s="818"/>
      <c r="F208" s="818"/>
      <c r="G208" s="818"/>
      <c r="H208" s="817"/>
      <c r="I208" s="816"/>
      <c r="J208" s="816"/>
      <c r="K208" s="816"/>
      <c r="L208" s="816"/>
      <c r="M208" s="840"/>
      <c r="N208" s="840"/>
      <c r="O208" s="840"/>
    </row>
    <row r="209" spans="1:15" s="782" customFormat="1" ht="18.75" customHeight="1" x14ac:dyDescent="0.2">
      <c r="A209" s="814">
        <v>1</v>
      </c>
      <c r="B209" s="823" t="s">
        <v>148</v>
      </c>
      <c r="C209" s="797">
        <f>SUM(D209:L209)</f>
        <v>5783.8991999999998</v>
      </c>
      <c r="D209" s="139">
        <f t="shared" ref="D209:L209" si="16">D210+SUM(D222:D230)</f>
        <v>5980</v>
      </c>
      <c r="E209" s="812">
        <f t="shared" si="16"/>
        <v>0</v>
      </c>
      <c r="F209" s="812">
        <f t="shared" si="16"/>
        <v>0</v>
      </c>
      <c r="G209" s="812">
        <f t="shared" si="16"/>
        <v>0</v>
      </c>
      <c r="H209" s="139">
        <f t="shared" si="16"/>
        <v>257</v>
      </c>
      <c r="I209" s="797">
        <f t="shared" si="16"/>
        <v>-566</v>
      </c>
      <c r="J209" s="797">
        <f t="shared" si="16"/>
        <v>40</v>
      </c>
      <c r="K209" s="797">
        <f t="shared" si="16"/>
        <v>64</v>
      </c>
      <c r="L209" s="797">
        <f t="shared" si="16"/>
        <v>8.8992000000000004</v>
      </c>
      <c r="M209" s="837"/>
      <c r="N209" s="844">
        <f>SUM(N210:N230)</f>
        <v>4685</v>
      </c>
      <c r="O209" s="844"/>
    </row>
    <row r="210" spans="1:15" s="194" customFormat="1" ht="18.75" customHeight="1" x14ac:dyDescent="0.25">
      <c r="A210" s="846" t="s">
        <v>288</v>
      </c>
      <c r="B210" s="847" t="s">
        <v>842</v>
      </c>
      <c r="C210" s="848">
        <f>SUM(D210:K210)</f>
        <v>1344</v>
      </c>
      <c r="D210" s="848">
        <f t="shared" ref="D210:L210" si="17">SUM(D211:D216)+D219</f>
        <v>1846</v>
      </c>
      <c r="E210" s="849">
        <f t="shared" si="17"/>
        <v>0</v>
      </c>
      <c r="F210" s="849">
        <f t="shared" si="17"/>
        <v>0</v>
      </c>
      <c r="G210" s="849">
        <f t="shared" si="17"/>
        <v>0</v>
      </c>
      <c r="H210" s="848">
        <f t="shared" si="17"/>
        <v>0</v>
      </c>
      <c r="I210" s="848">
        <f t="shared" si="17"/>
        <v>-566</v>
      </c>
      <c r="J210" s="849">
        <f t="shared" si="17"/>
        <v>0</v>
      </c>
      <c r="K210" s="848">
        <f t="shared" si="17"/>
        <v>64</v>
      </c>
      <c r="L210" s="848">
        <f t="shared" si="17"/>
        <v>0</v>
      </c>
      <c r="M210" s="845"/>
      <c r="N210" s="845">
        <f>C210</f>
        <v>1344</v>
      </c>
      <c r="O210" s="845"/>
    </row>
    <row r="211" spans="1:15" ht="18.75" customHeight="1" x14ac:dyDescent="0.25">
      <c r="A211" s="820"/>
      <c r="B211" s="821" t="s">
        <v>843</v>
      </c>
      <c r="C211" s="790">
        <f t="shared" ref="C211:C226" si="18">SUM(D211:K211)</f>
        <v>524</v>
      </c>
      <c r="D211" s="133">
        <v>524</v>
      </c>
      <c r="E211" s="824"/>
      <c r="F211" s="824"/>
      <c r="G211" s="824"/>
      <c r="H211" s="133"/>
      <c r="I211" s="790"/>
      <c r="J211" s="790"/>
      <c r="K211" s="790"/>
      <c r="L211" s="790"/>
      <c r="M211" s="836"/>
      <c r="N211" s="845"/>
      <c r="O211" s="845"/>
    </row>
    <row r="212" spans="1:15" ht="18.75" customHeight="1" x14ac:dyDescent="0.25">
      <c r="A212" s="820"/>
      <c r="B212" s="821" t="s">
        <v>844</v>
      </c>
      <c r="C212" s="790">
        <f>SUM(D212:K212)</f>
        <v>283</v>
      </c>
      <c r="D212" s="133">
        <v>283</v>
      </c>
      <c r="E212" s="824"/>
      <c r="F212" s="824"/>
      <c r="G212" s="824"/>
      <c r="H212" s="133"/>
      <c r="I212" s="790"/>
      <c r="J212" s="790"/>
      <c r="K212" s="790"/>
      <c r="L212" s="790"/>
      <c r="M212" s="836"/>
      <c r="N212" s="845"/>
      <c r="O212" s="845"/>
    </row>
    <row r="213" spans="1:15" ht="18.75" hidden="1" customHeight="1" x14ac:dyDescent="0.25">
      <c r="A213" s="820"/>
      <c r="B213" s="821"/>
      <c r="C213" s="790"/>
      <c r="D213" s="133"/>
      <c r="E213" s="824"/>
      <c r="F213" s="824"/>
      <c r="G213" s="824"/>
      <c r="H213" s="133"/>
      <c r="I213" s="790"/>
      <c r="J213" s="790"/>
      <c r="K213" s="790"/>
      <c r="L213" s="790"/>
      <c r="M213" s="836"/>
      <c r="N213" s="845"/>
      <c r="O213" s="845"/>
    </row>
    <row r="214" spans="1:15" ht="18.75" customHeight="1" x14ac:dyDescent="0.25">
      <c r="A214" s="820"/>
      <c r="B214" s="821" t="s">
        <v>845</v>
      </c>
      <c r="C214" s="790">
        <f t="shared" si="18"/>
        <v>230</v>
      </c>
      <c r="D214" s="133">
        <f>5+161</f>
        <v>166</v>
      </c>
      <c r="E214" s="824"/>
      <c r="F214" s="824"/>
      <c r="G214" s="824"/>
      <c r="H214" s="133"/>
      <c r="I214" s="790"/>
      <c r="J214" s="790"/>
      <c r="K214" s="790">
        <v>64</v>
      </c>
      <c r="L214" s="790"/>
      <c r="M214" s="836"/>
      <c r="N214" s="845"/>
      <c r="O214" s="845"/>
    </row>
    <row r="215" spans="1:15" ht="27.75" customHeight="1" x14ac:dyDescent="0.25">
      <c r="A215" s="820"/>
      <c r="B215" s="822" t="s">
        <v>846</v>
      </c>
      <c r="C215" s="790">
        <f t="shared" si="18"/>
        <v>228</v>
      </c>
      <c r="D215" s="133">
        <v>794</v>
      </c>
      <c r="E215" s="824"/>
      <c r="F215" s="824"/>
      <c r="G215" s="824"/>
      <c r="H215" s="133"/>
      <c r="I215" s="790">
        <v>-566</v>
      </c>
      <c r="J215" s="790"/>
      <c r="K215" s="790"/>
      <c r="L215" s="790"/>
      <c r="M215" s="836"/>
      <c r="N215" s="845"/>
      <c r="O215" s="845"/>
    </row>
    <row r="216" spans="1:15" ht="18.75" customHeight="1" x14ac:dyDescent="0.25">
      <c r="A216" s="820"/>
      <c r="B216" s="822" t="s">
        <v>847</v>
      </c>
      <c r="C216" s="790">
        <f t="shared" si="18"/>
        <v>13</v>
      </c>
      <c r="D216" s="133">
        <v>13</v>
      </c>
      <c r="E216" s="824"/>
      <c r="F216" s="824"/>
      <c r="G216" s="824"/>
      <c r="H216" s="133"/>
      <c r="I216" s="790"/>
      <c r="J216" s="790"/>
      <c r="K216" s="790"/>
      <c r="L216" s="790"/>
      <c r="M216" s="836"/>
      <c r="N216" s="845"/>
      <c r="O216" s="845"/>
    </row>
    <row r="217" spans="1:15" ht="26.25" hidden="1" customHeight="1" x14ac:dyDescent="0.25">
      <c r="A217" s="820"/>
      <c r="B217" s="821"/>
      <c r="C217" s="790"/>
      <c r="D217" s="133"/>
      <c r="E217" s="824"/>
      <c r="F217" s="824"/>
      <c r="G217" s="824"/>
      <c r="H217" s="133"/>
      <c r="I217" s="790"/>
      <c r="J217" s="790"/>
      <c r="K217" s="790"/>
      <c r="L217" s="790"/>
      <c r="M217" s="836"/>
      <c r="N217" s="845"/>
      <c r="O217" s="845"/>
    </row>
    <row r="218" spans="1:15" ht="26.25" hidden="1" customHeight="1" x14ac:dyDescent="0.25">
      <c r="A218" s="820"/>
      <c r="B218" s="821"/>
      <c r="C218" s="790"/>
      <c r="D218" s="133"/>
      <c r="E218" s="824"/>
      <c r="F218" s="824"/>
      <c r="G218" s="824"/>
      <c r="H218" s="133"/>
      <c r="I218" s="790"/>
      <c r="J218" s="790"/>
      <c r="K218" s="790"/>
      <c r="L218" s="790"/>
      <c r="M218" s="836"/>
      <c r="N218" s="845"/>
      <c r="O218" s="845"/>
    </row>
    <row r="219" spans="1:15" ht="15.75" customHeight="1" x14ac:dyDescent="0.25">
      <c r="A219" s="820"/>
      <c r="B219" s="821" t="s">
        <v>848</v>
      </c>
      <c r="C219" s="790">
        <f t="shared" si="18"/>
        <v>66</v>
      </c>
      <c r="D219" s="133">
        <v>66</v>
      </c>
      <c r="E219" s="824"/>
      <c r="F219" s="824"/>
      <c r="G219" s="824"/>
      <c r="H219" s="133"/>
      <c r="I219" s="790"/>
      <c r="J219" s="790"/>
      <c r="K219" s="790"/>
      <c r="L219" s="790"/>
      <c r="M219" s="836"/>
      <c r="N219" s="845"/>
      <c r="O219" s="845"/>
    </row>
    <row r="220" spans="1:15" ht="26.25" hidden="1" customHeight="1" x14ac:dyDescent="0.25">
      <c r="A220" s="820"/>
      <c r="B220" s="821"/>
      <c r="C220" s="790"/>
      <c r="D220" s="133"/>
      <c r="E220" s="824"/>
      <c r="F220" s="824"/>
      <c r="G220" s="824"/>
      <c r="H220" s="133"/>
      <c r="I220" s="790"/>
      <c r="J220" s="790"/>
      <c r="K220" s="790"/>
      <c r="L220" s="790"/>
      <c r="M220" s="836"/>
      <c r="N220" s="845"/>
      <c r="O220" s="845"/>
    </row>
    <row r="221" spans="1:15" ht="26.25" hidden="1" customHeight="1" x14ac:dyDescent="0.25">
      <c r="A221" s="820"/>
      <c r="B221" s="821"/>
      <c r="C221" s="790"/>
      <c r="D221" s="133"/>
      <c r="E221" s="824"/>
      <c r="F221" s="824"/>
      <c r="G221" s="824"/>
      <c r="H221" s="133"/>
      <c r="I221" s="790"/>
      <c r="J221" s="790"/>
      <c r="K221" s="790"/>
      <c r="L221" s="790"/>
      <c r="M221" s="836"/>
      <c r="N221" s="845"/>
      <c r="O221" s="845"/>
    </row>
    <row r="222" spans="1:15" ht="26.25" hidden="1" customHeight="1" x14ac:dyDescent="0.25">
      <c r="A222" s="820"/>
      <c r="B222" s="821"/>
      <c r="C222" s="790"/>
      <c r="D222" s="133"/>
      <c r="E222" s="824"/>
      <c r="F222" s="824"/>
      <c r="G222" s="824"/>
      <c r="H222" s="133"/>
      <c r="I222" s="790"/>
      <c r="J222" s="790"/>
      <c r="K222" s="790"/>
      <c r="L222" s="790"/>
      <c r="M222" s="836"/>
      <c r="N222" s="845"/>
      <c r="O222" s="845"/>
    </row>
    <row r="223" spans="1:15" s="194" customFormat="1" ht="20.25" customHeight="1" x14ac:dyDescent="0.25">
      <c r="A223" s="846" t="s">
        <v>288</v>
      </c>
      <c r="B223" s="850" t="s">
        <v>849</v>
      </c>
      <c r="C223" s="848">
        <f t="shared" si="18"/>
        <v>40</v>
      </c>
      <c r="D223" s="848"/>
      <c r="E223" s="849"/>
      <c r="F223" s="849"/>
      <c r="G223" s="849"/>
      <c r="H223" s="848"/>
      <c r="I223" s="848"/>
      <c r="J223" s="848">
        <v>40</v>
      </c>
      <c r="K223" s="848"/>
      <c r="L223" s="848"/>
      <c r="M223" s="845"/>
      <c r="N223" s="845">
        <f>C223</f>
        <v>40</v>
      </c>
      <c r="O223" s="845"/>
    </row>
    <row r="224" spans="1:15" s="194" customFormat="1" ht="20.25" customHeight="1" x14ac:dyDescent="0.25">
      <c r="A224" s="846" t="s">
        <v>288</v>
      </c>
      <c r="B224" s="847" t="s">
        <v>850</v>
      </c>
      <c r="C224" s="848">
        <f t="shared" si="18"/>
        <v>4004</v>
      </c>
      <c r="D224" s="848">
        <v>4004</v>
      </c>
      <c r="E224" s="849"/>
      <c r="F224" s="849"/>
      <c r="G224" s="849"/>
      <c r="H224" s="848"/>
      <c r="I224" s="848"/>
      <c r="J224" s="848"/>
      <c r="K224" s="848"/>
      <c r="L224" s="848"/>
      <c r="M224" s="845"/>
      <c r="N224" s="845">
        <f>C224-1099</f>
        <v>2905</v>
      </c>
      <c r="O224" s="845"/>
    </row>
    <row r="225" spans="1:15" s="194" customFormat="1" ht="26.25" hidden="1" customHeight="1" x14ac:dyDescent="0.25">
      <c r="A225" s="846"/>
      <c r="B225" s="850"/>
      <c r="C225" s="848"/>
      <c r="D225" s="848"/>
      <c r="E225" s="849"/>
      <c r="F225" s="849"/>
      <c r="G225" s="849"/>
      <c r="H225" s="848"/>
      <c r="I225" s="848"/>
      <c r="J225" s="848"/>
      <c r="K225" s="848"/>
      <c r="L225" s="848"/>
      <c r="M225" s="845"/>
      <c r="N225" s="845"/>
      <c r="O225" s="845"/>
    </row>
    <row r="226" spans="1:15" s="194" customFormat="1" ht="16.5" customHeight="1" x14ac:dyDescent="0.25">
      <c r="A226" s="846" t="s">
        <v>288</v>
      </c>
      <c r="B226" s="847" t="s">
        <v>1484</v>
      </c>
      <c r="C226" s="848">
        <f t="shared" si="18"/>
        <v>76</v>
      </c>
      <c r="D226" s="848">
        <v>76</v>
      </c>
      <c r="E226" s="849"/>
      <c r="F226" s="849"/>
      <c r="G226" s="849"/>
      <c r="H226" s="848"/>
      <c r="I226" s="848"/>
      <c r="J226" s="848"/>
      <c r="K226" s="848"/>
      <c r="L226" s="848"/>
      <c r="M226" s="845"/>
      <c r="N226" s="845">
        <f>C226</f>
        <v>76</v>
      </c>
      <c r="O226" s="845"/>
    </row>
    <row r="227" spans="1:15" s="194" customFormat="1" ht="16.5" hidden="1" customHeight="1" x14ac:dyDescent="0.25">
      <c r="A227" s="846"/>
      <c r="B227" s="847"/>
      <c r="C227" s="848"/>
      <c r="D227" s="848"/>
      <c r="E227" s="849"/>
      <c r="F227" s="849"/>
      <c r="G227" s="849"/>
      <c r="H227" s="848"/>
      <c r="I227" s="848"/>
      <c r="J227" s="848"/>
      <c r="K227" s="848"/>
      <c r="L227" s="848"/>
      <c r="M227" s="845"/>
      <c r="N227" s="845">
        <f t="shared" ref="N227:N229" si="19">C227</f>
        <v>0</v>
      </c>
      <c r="O227" s="845"/>
    </row>
    <row r="228" spans="1:15" s="194" customFormat="1" ht="26.25" hidden="1" customHeight="1" x14ac:dyDescent="0.25">
      <c r="A228" s="846"/>
      <c r="B228" s="847"/>
      <c r="C228" s="848"/>
      <c r="D228" s="848"/>
      <c r="E228" s="849"/>
      <c r="F228" s="849"/>
      <c r="G228" s="849"/>
      <c r="H228" s="848"/>
      <c r="I228" s="848"/>
      <c r="J228" s="848"/>
      <c r="K228" s="848"/>
      <c r="L228" s="848"/>
      <c r="M228" s="845"/>
      <c r="N228" s="845">
        <f t="shared" si="19"/>
        <v>0</v>
      </c>
      <c r="O228" s="845"/>
    </row>
    <row r="229" spans="1:15" s="194" customFormat="1" ht="15.75" customHeight="1" x14ac:dyDescent="0.25">
      <c r="A229" s="846" t="s">
        <v>288</v>
      </c>
      <c r="B229" s="847" t="s">
        <v>854</v>
      </c>
      <c r="C229" s="848">
        <f t="shared" ref="C229:C290" si="20">SUM(D229:K229)</f>
        <v>257</v>
      </c>
      <c r="D229" s="848"/>
      <c r="E229" s="849"/>
      <c r="F229" s="849"/>
      <c r="G229" s="849"/>
      <c r="H229" s="848">
        <v>257</v>
      </c>
      <c r="I229" s="848"/>
      <c r="J229" s="848"/>
      <c r="K229" s="848"/>
      <c r="L229" s="848"/>
      <c r="M229" s="845"/>
      <c r="N229" s="845">
        <f t="shared" si="19"/>
        <v>257</v>
      </c>
      <c r="O229" s="845"/>
    </row>
    <row r="230" spans="1:15" s="194" customFormat="1" ht="15.75" customHeight="1" x14ac:dyDescent="0.25">
      <c r="A230" s="846" t="s">
        <v>288</v>
      </c>
      <c r="B230" s="847" t="s">
        <v>855</v>
      </c>
      <c r="C230" s="848">
        <f>SUM(D230:L230)</f>
        <v>62.8992</v>
      </c>
      <c r="D230" s="848">
        <v>54</v>
      </c>
      <c r="E230" s="849"/>
      <c r="F230" s="849"/>
      <c r="G230" s="849"/>
      <c r="H230" s="848"/>
      <c r="I230" s="848"/>
      <c r="J230" s="848"/>
      <c r="K230" s="848"/>
      <c r="L230" s="848">
        <f>8*0.09*12+8*0.09*12*3%</f>
        <v>8.8992000000000004</v>
      </c>
      <c r="M230" s="845"/>
      <c r="N230" s="845">
        <v>63</v>
      </c>
      <c r="O230" s="845"/>
    </row>
    <row r="231" spans="1:15" s="782" customFormat="1" ht="18" customHeight="1" x14ac:dyDescent="0.2">
      <c r="A231" s="814">
        <v>2</v>
      </c>
      <c r="B231" s="823" t="s">
        <v>153</v>
      </c>
      <c r="C231" s="797">
        <f>SUM(D231:L231)</f>
        <v>6846.2363999999998</v>
      </c>
      <c r="D231" s="139">
        <f t="shared" ref="D231:I231" si="21">D232+SUM(D245:D253)</f>
        <v>8551</v>
      </c>
      <c r="E231" s="812">
        <f t="shared" si="21"/>
        <v>0</v>
      </c>
      <c r="F231" s="812">
        <f t="shared" si="21"/>
        <v>0</v>
      </c>
      <c r="G231" s="812">
        <f t="shared" si="21"/>
        <v>0</v>
      </c>
      <c r="H231" s="139">
        <f t="shared" si="21"/>
        <v>311</v>
      </c>
      <c r="I231" s="797">
        <f t="shared" si="21"/>
        <v>-2122</v>
      </c>
      <c r="J231" s="797">
        <f>J232+SUM(J244:J253)</f>
        <v>52</v>
      </c>
      <c r="K231" s="797">
        <f>K232+SUM(K245:K253)</f>
        <v>42</v>
      </c>
      <c r="L231" s="797">
        <f>L232+SUM(L245:L253)</f>
        <v>12.2364</v>
      </c>
      <c r="M231" s="837">
        <f>SUM(M232:M253)</f>
        <v>6846</v>
      </c>
      <c r="N231" s="837"/>
      <c r="O231" s="837"/>
    </row>
    <row r="232" spans="1:15" ht="18" customHeight="1" x14ac:dyDescent="0.25">
      <c r="A232" s="820" t="s">
        <v>288</v>
      </c>
      <c r="B232" s="821" t="s">
        <v>842</v>
      </c>
      <c r="C232" s="797">
        <f t="shared" si="20"/>
        <v>510</v>
      </c>
      <c r="D232" s="139">
        <f t="shared" ref="D232:K232" si="22">SUM(D233:D238)+D241</f>
        <v>2590</v>
      </c>
      <c r="E232" s="824">
        <f>SUM(E233:E238)+E241</f>
        <v>0</v>
      </c>
      <c r="F232" s="824">
        <f t="shared" si="22"/>
        <v>0</v>
      </c>
      <c r="G232" s="824">
        <f t="shared" si="22"/>
        <v>0</v>
      </c>
      <c r="H232" s="824">
        <f t="shared" si="22"/>
        <v>0</v>
      </c>
      <c r="I232" s="790">
        <f t="shared" si="22"/>
        <v>-2122</v>
      </c>
      <c r="J232" s="790"/>
      <c r="K232" s="790">
        <f t="shared" si="22"/>
        <v>42</v>
      </c>
      <c r="L232" s="790">
        <f>SUM(L233:L238)+L241</f>
        <v>0</v>
      </c>
      <c r="M232" s="836">
        <f>C232</f>
        <v>510</v>
      </c>
      <c r="N232" s="836"/>
      <c r="O232" s="836"/>
    </row>
    <row r="233" spans="1:15" ht="18" customHeight="1" x14ac:dyDescent="0.25">
      <c r="A233" s="820"/>
      <c r="B233" s="821" t="s">
        <v>843</v>
      </c>
      <c r="C233" s="790">
        <f t="shared" si="20"/>
        <v>537</v>
      </c>
      <c r="D233" s="133">
        <v>537</v>
      </c>
      <c r="E233" s="824"/>
      <c r="F233" s="824"/>
      <c r="G233" s="824"/>
      <c r="H233" s="133"/>
      <c r="I233" s="790"/>
      <c r="J233" s="790"/>
      <c r="K233" s="790"/>
      <c r="L233" s="790"/>
      <c r="M233" s="836"/>
      <c r="N233" s="836"/>
      <c r="O233" s="836"/>
    </row>
    <row r="234" spans="1:15" ht="15.75" customHeight="1" x14ac:dyDescent="0.25">
      <c r="A234" s="820"/>
      <c r="B234" s="821" t="s">
        <v>844</v>
      </c>
      <c r="C234" s="790">
        <f t="shared" si="20"/>
        <v>245</v>
      </c>
      <c r="D234" s="133">
        <v>245</v>
      </c>
      <c r="E234" s="824"/>
      <c r="F234" s="824"/>
      <c r="G234" s="824"/>
      <c r="H234" s="133"/>
      <c r="I234" s="790"/>
      <c r="J234" s="790"/>
      <c r="K234" s="790"/>
      <c r="L234" s="790"/>
      <c r="M234" s="836"/>
      <c r="N234" s="836"/>
      <c r="O234" s="836"/>
    </row>
    <row r="235" spans="1:15" ht="26.25" hidden="1" customHeight="1" x14ac:dyDescent="0.25">
      <c r="A235" s="820"/>
      <c r="B235" s="821"/>
      <c r="C235" s="790"/>
      <c r="D235" s="133"/>
      <c r="E235" s="824"/>
      <c r="F235" s="824"/>
      <c r="G235" s="824"/>
      <c r="H235" s="133"/>
      <c r="I235" s="790"/>
      <c r="J235" s="790"/>
      <c r="K235" s="790"/>
      <c r="L235" s="790"/>
      <c r="M235" s="836"/>
      <c r="N235" s="836"/>
      <c r="O235" s="836"/>
    </row>
    <row r="236" spans="1:15" ht="18.75" customHeight="1" x14ac:dyDescent="0.25">
      <c r="A236" s="820"/>
      <c r="B236" s="821" t="s">
        <v>845</v>
      </c>
      <c r="C236" s="790">
        <f t="shared" si="20"/>
        <v>190</v>
      </c>
      <c r="D236" s="133">
        <v>148</v>
      </c>
      <c r="E236" s="824"/>
      <c r="F236" s="824"/>
      <c r="G236" s="824"/>
      <c r="H236" s="133"/>
      <c r="I236" s="790"/>
      <c r="J236" s="790"/>
      <c r="K236" s="790">
        <v>42</v>
      </c>
      <c r="L236" s="790"/>
      <c r="M236" s="836"/>
      <c r="N236" s="836"/>
      <c r="O236" s="836"/>
    </row>
    <row r="237" spans="1:15" ht="26.25" customHeight="1" x14ac:dyDescent="0.25">
      <c r="A237" s="820"/>
      <c r="B237" s="822" t="s">
        <v>846</v>
      </c>
      <c r="C237" s="790">
        <f t="shared" si="20"/>
        <v>-564</v>
      </c>
      <c r="D237" s="133">
        <v>1558</v>
      </c>
      <c r="E237" s="824"/>
      <c r="F237" s="824"/>
      <c r="G237" s="824"/>
      <c r="H237" s="133"/>
      <c r="I237" s="790">
        <v>-2122</v>
      </c>
      <c r="J237" s="790"/>
      <c r="K237" s="790"/>
      <c r="L237" s="790"/>
      <c r="M237" s="836"/>
      <c r="N237" s="836"/>
      <c r="O237" s="836"/>
    </row>
    <row r="238" spans="1:15" ht="16.5" customHeight="1" x14ac:dyDescent="0.25">
      <c r="A238" s="820"/>
      <c r="B238" s="822" t="s">
        <v>847</v>
      </c>
      <c r="C238" s="790">
        <f t="shared" si="20"/>
        <v>13</v>
      </c>
      <c r="D238" s="133">
        <v>13</v>
      </c>
      <c r="E238" s="824"/>
      <c r="F238" s="824"/>
      <c r="G238" s="824"/>
      <c r="H238" s="133"/>
      <c r="I238" s="790"/>
      <c r="J238" s="790"/>
      <c r="K238" s="790"/>
      <c r="L238" s="790"/>
      <c r="M238" s="836"/>
      <c r="N238" s="836"/>
      <c r="O238" s="836"/>
    </row>
    <row r="239" spans="1:15" ht="26.25" hidden="1" customHeight="1" x14ac:dyDescent="0.25">
      <c r="A239" s="820"/>
      <c r="B239" s="821"/>
      <c r="C239" s="790"/>
      <c r="D239" s="133"/>
      <c r="E239" s="824"/>
      <c r="F239" s="824"/>
      <c r="G239" s="824"/>
      <c r="H239" s="133"/>
      <c r="I239" s="790"/>
      <c r="J239" s="790"/>
      <c r="K239" s="790"/>
      <c r="L239" s="790"/>
      <c r="M239" s="836"/>
      <c r="N239" s="836"/>
      <c r="O239" s="836"/>
    </row>
    <row r="240" spans="1:15" ht="26.25" hidden="1" customHeight="1" x14ac:dyDescent="0.25">
      <c r="A240" s="820"/>
      <c r="B240" s="821"/>
      <c r="C240" s="790"/>
      <c r="D240" s="133"/>
      <c r="E240" s="824"/>
      <c r="F240" s="824"/>
      <c r="G240" s="824"/>
      <c r="H240" s="133"/>
      <c r="I240" s="790"/>
      <c r="J240" s="790"/>
      <c r="K240" s="790"/>
      <c r="L240" s="790"/>
      <c r="M240" s="836"/>
      <c r="N240" s="836"/>
      <c r="O240" s="836"/>
    </row>
    <row r="241" spans="1:15" ht="16.5" customHeight="1" x14ac:dyDescent="0.25">
      <c r="A241" s="820"/>
      <c r="B241" s="821" t="s">
        <v>848</v>
      </c>
      <c r="C241" s="790">
        <f t="shared" si="20"/>
        <v>89</v>
      </c>
      <c r="D241" s="133">
        <v>89</v>
      </c>
      <c r="E241" s="824"/>
      <c r="F241" s="824"/>
      <c r="G241" s="824"/>
      <c r="H241" s="133"/>
      <c r="I241" s="790"/>
      <c r="J241" s="790"/>
      <c r="K241" s="790"/>
      <c r="L241" s="790"/>
      <c r="M241" s="836"/>
      <c r="N241" s="836"/>
      <c r="O241" s="836"/>
    </row>
    <row r="242" spans="1:15" ht="26.25" hidden="1" customHeight="1" x14ac:dyDescent="0.25">
      <c r="A242" s="820"/>
      <c r="B242" s="821"/>
      <c r="C242" s="790"/>
      <c r="D242" s="133"/>
      <c r="E242" s="824"/>
      <c r="F242" s="824"/>
      <c r="G242" s="824"/>
      <c r="H242" s="133"/>
      <c r="I242" s="790"/>
      <c r="J242" s="790"/>
      <c r="K242" s="790"/>
      <c r="L242" s="790"/>
      <c r="M242" s="836"/>
      <c r="N242" s="836"/>
      <c r="O242" s="836"/>
    </row>
    <row r="243" spans="1:15" ht="26.25" hidden="1" customHeight="1" x14ac:dyDescent="0.25">
      <c r="A243" s="820"/>
      <c r="B243" s="821"/>
      <c r="C243" s="790"/>
      <c r="D243" s="133"/>
      <c r="E243" s="824"/>
      <c r="F243" s="824"/>
      <c r="G243" s="824"/>
      <c r="H243" s="133"/>
      <c r="I243" s="790"/>
      <c r="J243" s="790"/>
      <c r="K243" s="790"/>
      <c r="L243" s="790"/>
      <c r="M243" s="836"/>
      <c r="N243" s="836"/>
      <c r="O243" s="836"/>
    </row>
    <row r="244" spans="1:15" ht="20.25" customHeight="1" x14ac:dyDescent="0.25">
      <c r="A244" s="820" t="s">
        <v>288</v>
      </c>
      <c r="B244" s="822" t="s">
        <v>849</v>
      </c>
      <c r="C244" s="790">
        <f t="shared" si="20"/>
        <v>52</v>
      </c>
      <c r="D244" s="133"/>
      <c r="E244" s="824"/>
      <c r="F244" s="824"/>
      <c r="G244" s="824"/>
      <c r="H244" s="133"/>
      <c r="I244" s="790"/>
      <c r="J244" s="790">
        <v>52</v>
      </c>
      <c r="K244" s="790"/>
      <c r="L244" s="790"/>
      <c r="M244" s="836">
        <f>C244</f>
        <v>52</v>
      </c>
      <c r="N244" s="836"/>
      <c r="O244" s="836"/>
    </row>
    <row r="245" spans="1:15" ht="26.25" hidden="1" customHeight="1" x14ac:dyDescent="0.25">
      <c r="A245" s="820"/>
      <c r="B245" s="821"/>
      <c r="C245" s="790"/>
      <c r="D245" s="133"/>
      <c r="E245" s="824"/>
      <c r="F245" s="824"/>
      <c r="G245" s="824"/>
      <c r="H245" s="133"/>
      <c r="I245" s="790"/>
      <c r="J245" s="790"/>
      <c r="K245" s="790"/>
      <c r="L245" s="790"/>
      <c r="M245" s="836">
        <f t="shared" ref="M245:M252" si="23">C245</f>
        <v>0</v>
      </c>
      <c r="N245" s="836"/>
      <c r="O245" s="836"/>
    </row>
    <row r="246" spans="1:15" ht="18.75" customHeight="1" x14ac:dyDescent="0.25">
      <c r="A246" s="820" t="s">
        <v>288</v>
      </c>
      <c r="B246" s="821" t="s">
        <v>850</v>
      </c>
      <c r="C246" s="790">
        <f t="shared" si="20"/>
        <v>5878</v>
      </c>
      <c r="D246" s="133">
        <v>5878</v>
      </c>
      <c r="E246" s="824"/>
      <c r="F246" s="824"/>
      <c r="G246" s="824"/>
      <c r="H246" s="133"/>
      <c r="I246" s="790"/>
      <c r="J246" s="790"/>
      <c r="K246" s="790"/>
      <c r="L246" s="790"/>
      <c r="M246" s="836">
        <f t="shared" si="23"/>
        <v>5878</v>
      </c>
      <c r="N246" s="836"/>
      <c r="O246" s="836"/>
    </row>
    <row r="247" spans="1:15" ht="26.25" hidden="1" customHeight="1" x14ac:dyDescent="0.25">
      <c r="A247" s="820"/>
      <c r="B247" s="822"/>
      <c r="C247" s="790"/>
      <c r="D247" s="133"/>
      <c r="E247" s="824"/>
      <c r="F247" s="824"/>
      <c r="G247" s="824"/>
      <c r="H247" s="133"/>
      <c r="I247" s="790"/>
      <c r="J247" s="790"/>
      <c r="K247" s="790"/>
      <c r="L247" s="790"/>
      <c r="M247" s="836">
        <f t="shared" si="23"/>
        <v>0</v>
      </c>
      <c r="N247" s="836"/>
      <c r="O247" s="836"/>
    </row>
    <row r="248" spans="1:15" ht="17.25" customHeight="1" x14ac:dyDescent="0.25">
      <c r="A248" s="820" t="s">
        <v>288</v>
      </c>
      <c r="B248" s="821" t="s">
        <v>1484</v>
      </c>
      <c r="C248" s="790">
        <f t="shared" si="20"/>
        <v>68</v>
      </c>
      <c r="D248" s="133">
        <v>68</v>
      </c>
      <c r="E248" s="824"/>
      <c r="F248" s="824"/>
      <c r="G248" s="824"/>
      <c r="H248" s="133"/>
      <c r="I248" s="790"/>
      <c r="J248" s="790"/>
      <c r="K248" s="790"/>
      <c r="L248" s="790"/>
      <c r="M248" s="836">
        <f>C248</f>
        <v>68</v>
      </c>
      <c r="N248" s="836"/>
      <c r="O248" s="836"/>
    </row>
    <row r="249" spans="1:15" ht="17.25" hidden="1" customHeight="1" x14ac:dyDescent="0.25">
      <c r="A249" s="820"/>
      <c r="B249" s="821"/>
      <c r="C249" s="790"/>
      <c r="D249" s="133"/>
      <c r="E249" s="824"/>
      <c r="F249" s="824"/>
      <c r="G249" s="824"/>
      <c r="H249" s="133"/>
      <c r="I249" s="790"/>
      <c r="J249" s="790"/>
      <c r="K249" s="790"/>
      <c r="L249" s="790"/>
      <c r="M249" s="836">
        <f t="shared" si="23"/>
        <v>0</v>
      </c>
      <c r="N249" s="836"/>
      <c r="O249" s="836"/>
    </row>
    <row r="250" spans="1:15" ht="26.25" hidden="1" customHeight="1" x14ac:dyDescent="0.25">
      <c r="A250" s="820"/>
      <c r="B250" s="821"/>
      <c r="C250" s="790"/>
      <c r="D250" s="133"/>
      <c r="E250" s="824"/>
      <c r="F250" s="824"/>
      <c r="G250" s="824"/>
      <c r="H250" s="133"/>
      <c r="I250" s="790"/>
      <c r="J250" s="790"/>
      <c r="K250" s="790"/>
      <c r="L250" s="790"/>
      <c r="M250" s="836">
        <f t="shared" si="23"/>
        <v>0</v>
      </c>
      <c r="N250" s="836"/>
      <c r="O250" s="836"/>
    </row>
    <row r="251" spans="1:15" ht="26.25" hidden="1" customHeight="1" x14ac:dyDescent="0.25">
      <c r="A251" s="820"/>
      <c r="B251" s="821"/>
      <c r="C251" s="790"/>
      <c r="D251" s="133"/>
      <c r="E251" s="824"/>
      <c r="F251" s="824"/>
      <c r="G251" s="824"/>
      <c r="H251" s="133"/>
      <c r="I251" s="790"/>
      <c r="J251" s="790"/>
      <c r="K251" s="790"/>
      <c r="L251" s="790"/>
      <c r="M251" s="836">
        <f t="shared" si="23"/>
        <v>0</v>
      </c>
      <c r="N251" s="836"/>
      <c r="O251" s="836"/>
    </row>
    <row r="252" spans="1:15" ht="18" customHeight="1" x14ac:dyDescent="0.25">
      <c r="A252" s="820" t="s">
        <v>288</v>
      </c>
      <c r="B252" s="821" t="s">
        <v>854</v>
      </c>
      <c r="C252" s="790">
        <f t="shared" si="20"/>
        <v>311</v>
      </c>
      <c r="D252" s="133"/>
      <c r="E252" s="824"/>
      <c r="F252" s="824"/>
      <c r="G252" s="824"/>
      <c r="H252" s="133">
        <v>311</v>
      </c>
      <c r="I252" s="790"/>
      <c r="J252" s="790"/>
      <c r="K252" s="790"/>
      <c r="L252" s="790"/>
      <c r="M252" s="836">
        <f t="shared" si="23"/>
        <v>311</v>
      </c>
      <c r="N252" s="836"/>
      <c r="O252" s="836"/>
    </row>
    <row r="253" spans="1:15" ht="18" customHeight="1" x14ac:dyDescent="0.25">
      <c r="A253" s="820" t="s">
        <v>288</v>
      </c>
      <c r="B253" s="821" t="s">
        <v>855</v>
      </c>
      <c r="C253" s="790">
        <f>SUM(D253:L253)</f>
        <v>27.2364</v>
      </c>
      <c r="D253" s="133">
        <v>15</v>
      </c>
      <c r="E253" s="824"/>
      <c r="F253" s="824"/>
      <c r="G253" s="824"/>
      <c r="H253" s="133"/>
      <c r="I253" s="790"/>
      <c r="J253" s="790"/>
      <c r="K253" s="790"/>
      <c r="L253" s="790">
        <f>11*0.09*12+11*0.09*12*3%</f>
        <v>12.2364</v>
      </c>
      <c r="M253" s="836">
        <v>27</v>
      </c>
      <c r="N253" s="836"/>
      <c r="O253" s="836"/>
    </row>
    <row r="254" spans="1:15" s="782" customFormat="1" ht="18" customHeight="1" x14ac:dyDescent="0.2">
      <c r="A254" s="814">
        <v>3</v>
      </c>
      <c r="B254" s="823" t="s">
        <v>149</v>
      </c>
      <c r="C254" s="797">
        <f>SUM(D254:L254)</f>
        <v>6463.9107999999997</v>
      </c>
      <c r="D254" s="139">
        <f t="shared" ref="D254:I254" si="24">D255+SUM(D268:D275)</f>
        <v>7755</v>
      </c>
      <c r="E254" s="812">
        <f t="shared" si="24"/>
        <v>0</v>
      </c>
      <c r="F254" s="812">
        <f t="shared" si="24"/>
        <v>0</v>
      </c>
      <c r="G254" s="812">
        <f t="shared" si="24"/>
        <v>0</v>
      </c>
      <c r="H254" s="139">
        <f t="shared" si="24"/>
        <v>381</v>
      </c>
      <c r="I254" s="797">
        <f t="shared" si="24"/>
        <v>-1848</v>
      </c>
      <c r="J254" s="797">
        <f>J255+SUM(J267:J275)</f>
        <v>90</v>
      </c>
      <c r="K254" s="797">
        <f>K255+SUM(K268:K275)</f>
        <v>67</v>
      </c>
      <c r="L254" s="797">
        <f>L255+SUM(L268:L275)</f>
        <v>18.910799999999998</v>
      </c>
      <c r="M254" s="837"/>
      <c r="N254" s="844">
        <f>SUM(N255:N275)</f>
        <v>6464</v>
      </c>
      <c r="O254" s="844"/>
    </row>
    <row r="255" spans="1:15" ht="18" customHeight="1" x14ac:dyDescent="0.25">
      <c r="A255" s="820" t="s">
        <v>288</v>
      </c>
      <c r="B255" s="821" t="s">
        <v>842</v>
      </c>
      <c r="C255" s="790">
        <f>SUM(D255:K255)</f>
        <v>1184</v>
      </c>
      <c r="D255" s="133">
        <f>SUM(D256:D261)+D264</f>
        <v>2965</v>
      </c>
      <c r="E255" s="824">
        <f>SUM(E256:E261)+E264</f>
        <v>0</v>
      </c>
      <c r="F255" s="824">
        <f t="shared" ref="F255:K255" si="25">SUM(F256:F261)+F264</f>
        <v>0</v>
      </c>
      <c r="G255" s="824">
        <f t="shared" si="25"/>
        <v>0</v>
      </c>
      <c r="H255" s="133">
        <f t="shared" si="25"/>
        <v>0</v>
      </c>
      <c r="I255" s="790">
        <f t="shared" si="25"/>
        <v>-1848</v>
      </c>
      <c r="J255" s="790"/>
      <c r="K255" s="790">
        <f t="shared" si="25"/>
        <v>67</v>
      </c>
      <c r="L255" s="790">
        <f>SUM(L256:L261)+L264</f>
        <v>0</v>
      </c>
      <c r="M255" s="836"/>
      <c r="N255" s="845">
        <f>C255</f>
        <v>1184</v>
      </c>
      <c r="O255" s="845"/>
    </row>
    <row r="256" spans="1:15" ht="18" customHeight="1" x14ac:dyDescent="0.25">
      <c r="A256" s="820"/>
      <c r="B256" s="821" t="s">
        <v>843</v>
      </c>
      <c r="C256" s="790">
        <f t="shared" si="20"/>
        <v>479</v>
      </c>
      <c r="D256" s="133">
        <v>479</v>
      </c>
      <c r="E256" s="824"/>
      <c r="F256" s="824"/>
      <c r="G256" s="824"/>
      <c r="H256" s="133"/>
      <c r="I256" s="790"/>
      <c r="J256" s="790"/>
      <c r="K256" s="790"/>
      <c r="L256" s="790"/>
      <c r="M256" s="836"/>
      <c r="N256" s="845"/>
      <c r="O256" s="845"/>
    </row>
    <row r="257" spans="1:15" ht="18" customHeight="1" x14ac:dyDescent="0.25">
      <c r="A257" s="820"/>
      <c r="B257" s="821" t="s">
        <v>844</v>
      </c>
      <c r="C257" s="790">
        <f t="shared" si="20"/>
        <v>313</v>
      </c>
      <c r="D257" s="133">
        <v>313</v>
      </c>
      <c r="E257" s="824"/>
      <c r="F257" s="824"/>
      <c r="G257" s="824"/>
      <c r="H257" s="133"/>
      <c r="I257" s="790"/>
      <c r="J257" s="790"/>
      <c r="K257" s="790"/>
      <c r="L257" s="790"/>
      <c r="M257" s="836"/>
      <c r="N257" s="845"/>
      <c r="O257" s="845"/>
    </row>
    <row r="258" spans="1:15" ht="26.25" hidden="1" customHeight="1" x14ac:dyDescent="0.25">
      <c r="A258" s="820"/>
      <c r="B258" s="821"/>
      <c r="C258" s="790"/>
      <c r="D258" s="133"/>
      <c r="E258" s="824"/>
      <c r="F258" s="824"/>
      <c r="G258" s="824"/>
      <c r="H258" s="133"/>
      <c r="I258" s="790"/>
      <c r="J258" s="790"/>
      <c r="K258" s="790"/>
      <c r="L258" s="790"/>
      <c r="M258" s="836"/>
      <c r="N258" s="845"/>
      <c r="O258" s="845"/>
    </row>
    <row r="259" spans="1:15" ht="15" customHeight="1" x14ac:dyDescent="0.25">
      <c r="A259" s="820"/>
      <c r="B259" s="821" t="s">
        <v>845</v>
      </c>
      <c r="C259" s="790">
        <f t="shared" si="20"/>
        <v>186</v>
      </c>
      <c r="D259" s="133">
        <v>119</v>
      </c>
      <c r="E259" s="824"/>
      <c r="F259" s="824"/>
      <c r="G259" s="824"/>
      <c r="H259" s="133"/>
      <c r="I259" s="790"/>
      <c r="J259" s="790"/>
      <c r="K259" s="790">
        <v>67</v>
      </c>
      <c r="L259" s="790"/>
      <c r="M259" s="836"/>
      <c r="N259" s="845"/>
      <c r="O259" s="845"/>
    </row>
    <row r="260" spans="1:15" ht="15" customHeight="1" x14ac:dyDescent="0.25">
      <c r="A260" s="820"/>
      <c r="B260" s="822" t="s">
        <v>846</v>
      </c>
      <c r="C260" s="790">
        <f t="shared" si="20"/>
        <v>68</v>
      </c>
      <c r="D260" s="133">
        <v>1916</v>
      </c>
      <c r="E260" s="824"/>
      <c r="F260" s="824"/>
      <c r="G260" s="824"/>
      <c r="H260" s="133"/>
      <c r="I260" s="790">
        <v>-1848</v>
      </c>
      <c r="J260" s="790"/>
      <c r="K260" s="790"/>
      <c r="L260" s="790"/>
      <c r="M260" s="836"/>
      <c r="N260" s="845"/>
      <c r="O260" s="845"/>
    </row>
    <row r="261" spans="1:15" ht="16.5" customHeight="1" x14ac:dyDescent="0.25">
      <c r="A261" s="820"/>
      <c r="B261" s="822" t="s">
        <v>847</v>
      </c>
      <c r="C261" s="790">
        <f t="shared" si="20"/>
        <v>12</v>
      </c>
      <c r="D261" s="133">
        <v>12</v>
      </c>
      <c r="E261" s="824"/>
      <c r="F261" s="824"/>
      <c r="G261" s="824"/>
      <c r="H261" s="133"/>
      <c r="I261" s="790"/>
      <c r="J261" s="790"/>
      <c r="K261" s="790"/>
      <c r="L261" s="790"/>
      <c r="M261" s="836"/>
      <c r="N261" s="845"/>
      <c r="O261" s="845"/>
    </row>
    <row r="262" spans="1:15" ht="26.25" hidden="1" customHeight="1" x14ac:dyDescent="0.25">
      <c r="A262" s="820"/>
      <c r="B262" s="821"/>
      <c r="C262" s="790"/>
      <c r="D262" s="133"/>
      <c r="E262" s="824"/>
      <c r="F262" s="824"/>
      <c r="G262" s="824"/>
      <c r="H262" s="133"/>
      <c r="I262" s="790"/>
      <c r="J262" s="790"/>
      <c r="K262" s="790"/>
      <c r="L262" s="790"/>
      <c r="M262" s="836"/>
      <c r="N262" s="845"/>
      <c r="O262" s="845"/>
    </row>
    <row r="263" spans="1:15" ht="26.25" hidden="1" customHeight="1" x14ac:dyDescent="0.25">
      <c r="A263" s="820"/>
      <c r="B263" s="821"/>
      <c r="C263" s="790"/>
      <c r="D263" s="133"/>
      <c r="E263" s="824"/>
      <c r="F263" s="824"/>
      <c r="G263" s="824"/>
      <c r="H263" s="133"/>
      <c r="I263" s="790"/>
      <c r="J263" s="790"/>
      <c r="K263" s="790"/>
      <c r="L263" s="790"/>
      <c r="M263" s="836"/>
      <c r="N263" s="845"/>
      <c r="O263" s="845"/>
    </row>
    <row r="264" spans="1:15" ht="18" customHeight="1" x14ac:dyDescent="0.25">
      <c r="A264" s="820"/>
      <c r="B264" s="821" t="s">
        <v>848</v>
      </c>
      <c r="C264" s="790">
        <f t="shared" si="20"/>
        <v>126</v>
      </c>
      <c r="D264" s="133">
        <v>126</v>
      </c>
      <c r="E264" s="824"/>
      <c r="F264" s="824"/>
      <c r="G264" s="824"/>
      <c r="H264" s="133"/>
      <c r="I264" s="790"/>
      <c r="J264" s="790"/>
      <c r="K264" s="790"/>
      <c r="L264" s="790"/>
      <c r="M264" s="836"/>
      <c r="N264" s="845"/>
      <c r="O264" s="845"/>
    </row>
    <row r="265" spans="1:15" ht="26.25" hidden="1" customHeight="1" x14ac:dyDescent="0.25">
      <c r="A265" s="820"/>
      <c r="B265" s="821"/>
      <c r="C265" s="790"/>
      <c r="D265" s="133"/>
      <c r="E265" s="824"/>
      <c r="F265" s="824"/>
      <c r="G265" s="824"/>
      <c r="H265" s="133"/>
      <c r="I265" s="790"/>
      <c r="J265" s="790"/>
      <c r="K265" s="790"/>
      <c r="L265" s="790"/>
      <c r="M265" s="836"/>
      <c r="N265" s="845"/>
      <c r="O265" s="845"/>
    </row>
    <row r="266" spans="1:15" ht="26.25" hidden="1" customHeight="1" x14ac:dyDescent="0.25">
      <c r="A266" s="820"/>
      <c r="B266" s="821"/>
      <c r="C266" s="790"/>
      <c r="D266" s="133"/>
      <c r="E266" s="824"/>
      <c r="F266" s="824"/>
      <c r="G266" s="824"/>
      <c r="H266" s="133"/>
      <c r="I266" s="790"/>
      <c r="J266" s="790"/>
      <c r="K266" s="790"/>
      <c r="L266" s="790"/>
      <c r="M266" s="836"/>
      <c r="N266" s="845"/>
      <c r="O266" s="845"/>
    </row>
    <row r="267" spans="1:15" ht="22.5" customHeight="1" x14ac:dyDescent="0.25">
      <c r="A267" s="820" t="s">
        <v>288</v>
      </c>
      <c r="B267" s="822" t="s">
        <v>849</v>
      </c>
      <c r="C267" s="790">
        <f t="shared" si="20"/>
        <v>90</v>
      </c>
      <c r="D267" s="133"/>
      <c r="E267" s="824"/>
      <c r="F267" s="824"/>
      <c r="G267" s="824"/>
      <c r="H267" s="133"/>
      <c r="I267" s="790"/>
      <c r="J267" s="790">
        <v>90</v>
      </c>
      <c r="K267" s="790"/>
      <c r="L267" s="790"/>
      <c r="M267" s="836"/>
      <c r="N267" s="845">
        <f>C267</f>
        <v>90</v>
      </c>
      <c r="O267" s="845"/>
    </row>
    <row r="268" spans="1:15" ht="22.5" customHeight="1" x14ac:dyDescent="0.25">
      <c r="A268" s="820" t="s">
        <v>288</v>
      </c>
      <c r="B268" s="821" t="s">
        <v>850</v>
      </c>
      <c r="C268" s="790">
        <f t="shared" si="20"/>
        <v>4695</v>
      </c>
      <c r="D268" s="133">
        <v>4695</v>
      </c>
      <c r="E268" s="824"/>
      <c r="F268" s="824"/>
      <c r="G268" s="824"/>
      <c r="H268" s="133"/>
      <c r="I268" s="790"/>
      <c r="J268" s="790"/>
      <c r="K268" s="790"/>
      <c r="L268" s="790"/>
      <c r="M268" s="836"/>
      <c r="N268" s="845">
        <f>C268</f>
        <v>4695</v>
      </c>
      <c r="O268" s="845"/>
    </row>
    <row r="269" spans="1:15" ht="26.25" hidden="1" customHeight="1" x14ac:dyDescent="0.25">
      <c r="A269" s="820"/>
      <c r="B269" s="822" t="s">
        <v>856</v>
      </c>
      <c r="C269" s="790">
        <f t="shared" si="20"/>
        <v>0</v>
      </c>
      <c r="D269" s="133"/>
      <c r="E269" s="824"/>
      <c r="F269" s="824"/>
      <c r="G269" s="824"/>
      <c r="H269" s="133"/>
      <c r="I269" s="790"/>
      <c r="J269" s="790"/>
      <c r="K269" s="790"/>
      <c r="L269" s="790"/>
      <c r="M269" s="836"/>
      <c r="N269" s="845">
        <f t="shared" ref="N269:N274" si="26">C269</f>
        <v>0</v>
      </c>
      <c r="O269" s="845"/>
    </row>
    <row r="270" spans="1:15" ht="21.75" customHeight="1" x14ac:dyDescent="0.25">
      <c r="A270" s="820" t="s">
        <v>288</v>
      </c>
      <c r="B270" s="821" t="s">
        <v>851</v>
      </c>
      <c r="C270" s="790">
        <f t="shared" si="20"/>
        <v>75</v>
      </c>
      <c r="D270" s="133">
        <v>75</v>
      </c>
      <c r="E270" s="824"/>
      <c r="F270" s="824"/>
      <c r="G270" s="824"/>
      <c r="H270" s="133"/>
      <c r="I270" s="790"/>
      <c r="J270" s="790"/>
      <c r="K270" s="790"/>
      <c r="L270" s="790"/>
      <c r="M270" s="836"/>
      <c r="N270" s="845">
        <f t="shared" si="26"/>
        <v>75</v>
      </c>
      <c r="O270" s="845"/>
    </row>
    <row r="271" spans="1:15" ht="21.75" hidden="1" customHeight="1" x14ac:dyDescent="0.25">
      <c r="A271" s="820"/>
      <c r="B271" s="821"/>
      <c r="C271" s="790"/>
      <c r="D271" s="133"/>
      <c r="E271" s="824"/>
      <c r="F271" s="824"/>
      <c r="G271" s="824"/>
      <c r="H271" s="133"/>
      <c r="I271" s="790"/>
      <c r="J271" s="790"/>
      <c r="K271" s="790"/>
      <c r="L271" s="790"/>
      <c r="M271" s="836"/>
      <c r="N271" s="845">
        <f t="shared" si="26"/>
        <v>0</v>
      </c>
      <c r="O271" s="845"/>
    </row>
    <row r="272" spans="1:15" ht="26.25" hidden="1" customHeight="1" x14ac:dyDescent="0.25">
      <c r="A272" s="820" t="s">
        <v>288</v>
      </c>
      <c r="B272" s="821" t="s">
        <v>853</v>
      </c>
      <c r="C272" s="790">
        <f t="shared" si="20"/>
        <v>0</v>
      </c>
      <c r="D272" s="133">
        <v>0</v>
      </c>
      <c r="E272" s="824"/>
      <c r="F272" s="824"/>
      <c r="G272" s="824"/>
      <c r="H272" s="133"/>
      <c r="I272" s="790"/>
      <c r="J272" s="790"/>
      <c r="K272" s="790"/>
      <c r="L272" s="790"/>
      <c r="M272" s="836"/>
      <c r="N272" s="845">
        <f t="shared" si="26"/>
        <v>0</v>
      </c>
      <c r="O272" s="845"/>
    </row>
    <row r="273" spans="1:15" ht="26.25" hidden="1" customHeight="1" x14ac:dyDescent="0.25">
      <c r="A273" s="820"/>
      <c r="B273" s="821"/>
      <c r="C273" s="790"/>
      <c r="D273" s="133"/>
      <c r="E273" s="824"/>
      <c r="F273" s="824"/>
      <c r="G273" s="824"/>
      <c r="H273" s="133"/>
      <c r="I273" s="790"/>
      <c r="J273" s="790"/>
      <c r="K273" s="790"/>
      <c r="L273" s="790"/>
      <c r="M273" s="836"/>
      <c r="N273" s="845">
        <f t="shared" si="26"/>
        <v>0</v>
      </c>
      <c r="O273" s="845"/>
    </row>
    <row r="274" spans="1:15" ht="18" customHeight="1" x14ac:dyDescent="0.25">
      <c r="A274" s="820" t="s">
        <v>288</v>
      </c>
      <c r="B274" s="821" t="s">
        <v>854</v>
      </c>
      <c r="C274" s="790">
        <f t="shared" si="20"/>
        <v>381</v>
      </c>
      <c r="D274" s="133"/>
      <c r="E274" s="824"/>
      <c r="F274" s="824"/>
      <c r="G274" s="824"/>
      <c r="H274" s="133">
        <v>381</v>
      </c>
      <c r="I274" s="790"/>
      <c r="J274" s="790"/>
      <c r="K274" s="790"/>
      <c r="L274" s="790"/>
      <c r="M274" s="836"/>
      <c r="N274" s="845">
        <f t="shared" si="26"/>
        <v>381</v>
      </c>
      <c r="O274" s="845"/>
    </row>
    <row r="275" spans="1:15" ht="18" customHeight="1" x14ac:dyDescent="0.25">
      <c r="A275" s="820" t="s">
        <v>288</v>
      </c>
      <c r="B275" s="821" t="s">
        <v>855</v>
      </c>
      <c r="C275" s="790">
        <f>SUM(D275:L275)</f>
        <v>38.910799999999995</v>
      </c>
      <c r="D275" s="133">
        <v>20</v>
      </c>
      <c r="E275" s="824"/>
      <c r="F275" s="824"/>
      <c r="G275" s="824"/>
      <c r="H275" s="133"/>
      <c r="I275" s="790"/>
      <c r="J275" s="790"/>
      <c r="K275" s="790"/>
      <c r="L275" s="790">
        <f>17*0.09*12+17*0.09*12*3%</f>
        <v>18.910799999999998</v>
      </c>
      <c r="M275" s="836"/>
      <c r="N275" s="845">
        <v>39</v>
      </c>
      <c r="O275" s="845"/>
    </row>
    <row r="276" spans="1:15" s="782" customFormat="1" ht="20.25" customHeight="1" x14ac:dyDescent="0.2">
      <c r="A276" s="814">
        <v>4</v>
      </c>
      <c r="B276" s="823" t="s">
        <v>152</v>
      </c>
      <c r="C276" s="797">
        <f>SUM(D276:L276)</f>
        <v>12080.4728</v>
      </c>
      <c r="D276" s="139">
        <f t="shared" ref="D276:L276" si="27">D277+SUM(D289:D296)</f>
        <v>12289</v>
      </c>
      <c r="E276" s="812">
        <f t="shared" si="27"/>
        <v>0</v>
      </c>
      <c r="F276" s="812">
        <f t="shared" si="27"/>
        <v>0</v>
      </c>
      <c r="G276" s="812">
        <f t="shared" si="27"/>
        <v>0</v>
      </c>
      <c r="H276" s="139">
        <f t="shared" si="27"/>
        <v>518</v>
      </c>
      <c r="I276" s="797">
        <f t="shared" si="27"/>
        <v>-936</v>
      </c>
      <c r="J276" s="797">
        <f t="shared" si="27"/>
        <v>143</v>
      </c>
      <c r="K276" s="797">
        <f t="shared" si="27"/>
        <v>42</v>
      </c>
      <c r="L276" s="797">
        <f t="shared" si="27"/>
        <v>24.472799999999999</v>
      </c>
      <c r="M276" s="837"/>
      <c r="N276" s="854" t="s">
        <v>1492</v>
      </c>
      <c r="O276" s="837">
        <f>SUM(O277:O296)</f>
        <v>12165</v>
      </c>
    </row>
    <row r="277" spans="1:15" ht="20.25" customHeight="1" x14ac:dyDescent="0.25">
      <c r="A277" s="820" t="s">
        <v>288</v>
      </c>
      <c r="B277" s="821" t="s">
        <v>842</v>
      </c>
      <c r="C277" s="790">
        <f t="shared" si="20"/>
        <v>3190</v>
      </c>
      <c r="D277" s="133">
        <f t="shared" ref="D277:K277" si="28">SUM(D278:D283)+D286</f>
        <v>4084</v>
      </c>
      <c r="E277" s="824">
        <f>SUM(E278:E283)+E286</f>
        <v>0</v>
      </c>
      <c r="F277" s="824">
        <f t="shared" si="28"/>
        <v>0</v>
      </c>
      <c r="G277" s="824">
        <f t="shared" si="28"/>
        <v>0</v>
      </c>
      <c r="H277" s="133"/>
      <c r="I277" s="790">
        <f t="shared" si="28"/>
        <v>-936</v>
      </c>
      <c r="J277" s="790"/>
      <c r="K277" s="790">
        <f t="shared" si="28"/>
        <v>42</v>
      </c>
      <c r="L277" s="790">
        <f>SUM(L278:L283)+L286</f>
        <v>0</v>
      </c>
      <c r="M277" s="836">
        <f>C277</f>
        <v>3190</v>
      </c>
      <c r="N277" s="836"/>
      <c r="O277" s="845">
        <f>M277+N277</f>
        <v>3190</v>
      </c>
    </row>
    <row r="278" spans="1:15" ht="20.25" customHeight="1" x14ac:dyDescent="0.25">
      <c r="A278" s="820"/>
      <c r="B278" s="821" t="s">
        <v>843</v>
      </c>
      <c r="C278" s="790">
        <f t="shared" si="20"/>
        <v>485</v>
      </c>
      <c r="D278" s="133">
        <v>485</v>
      </c>
      <c r="E278" s="824"/>
      <c r="F278" s="824"/>
      <c r="G278" s="824"/>
      <c r="H278" s="133"/>
      <c r="I278" s="790"/>
      <c r="J278" s="790"/>
      <c r="K278" s="790"/>
      <c r="L278" s="790"/>
      <c r="M278" s="836"/>
      <c r="N278" s="836"/>
      <c r="O278" s="845">
        <f t="shared" ref="O278:O295" si="29">M278+N278</f>
        <v>0</v>
      </c>
    </row>
    <row r="279" spans="1:15" ht="20.25" customHeight="1" x14ac:dyDescent="0.25">
      <c r="A279" s="820"/>
      <c r="B279" s="821" t="s">
        <v>844</v>
      </c>
      <c r="C279" s="790">
        <f t="shared" si="20"/>
        <v>292</v>
      </c>
      <c r="D279" s="133">
        <v>292</v>
      </c>
      <c r="E279" s="824"/>
      <c r="F279" s="824"/>
      <c r="G279" s="824"/>
      <c r="H279" s="133"/>
      <c r="I279" s="790"/>
      <c r="J279" s="790"/>
      <c r="K279" s="790"/>
      <c r="L279" s="790"/>
      <c r="M279" s="836"/>
      <c r="N279" s="836"/>
      <c r="O279" s="845">
        <f t="shared" si="29"/>
        <v>0</v>
      </c>
    </row>
    <row r="280" spans="1:15" ht="26.25" hidden="1" customHeight="1" x14ac:dyDescent="0.25">
      <c r="A280" s="820"/>
      <c r="B280" s="821"/>
      <c r="C280" s="790"/>
      <c r="D280" s="133"/>
      <c r="E280" s="824"/>
      <c r="F280" s="824"/>
      <c r="G280" s="824"/>
      <c r="H280" s="133"/>
      <c r="I280" s="790"/>
      <c r="J280" s="790"/>
      <c r="K280" s="790"/>
      <c r="L280" s="790"/>
      <c r="M280" s="836"/>
      <c r="N280" s="836"/>
      <c r="O280" s="845">
        <f t="shared" si="29"/>
        <v>0</v>
      </c>
    </row>
    <row r="281" spans="1:15" ht="21" customHeight="1" x14ac:dyDescent="0.25">
      <c r="A281" s="820"/>
      <c r="B281" s="821" t="s">
        <v>845</v>
      </c>
      <c r="C281" s="790">
        <f t="shared" si="20"/>
        <v>172</v>
      </c>
      <c r="D281" s="133">
        <v>130</v>
      </c>
      <c r="E281" s="824"/>
      <c r="F281" s="824"/>
      <c r="G281" s="824"/>
      <c r="H281" s="133"/>
      <c r="I281" s="790"/>
      <c r="J281" s="790"/>
      <c r="K281" s="790">
        <v>42</v>
      </c>
      <c r="L281" s="790"/>
      <c r="M281" s="836"/>
      <c r="N281" s="836"/>
      <c r="O281" s="845">
        <f t="shared" si="29"/>
        <v>0</v>
      </c>
    </row>
    <row r="282" spans="1:15" ht="30" x14ac:dyDescent="0.25">
      <c r="A282" s="820"/>
      <c r="B282" s="822" t="s">
        <v>846</v>
      </c>
      <c r="C282" s="790">
        <f t="shared" si="20"/>
        <v>2083</v>
      </c>
      <c r="D282" s="133">
        <v>3019</v>
      </c>
      <c r="E282" s="824"/>
      <c r="F282" s="824"/>
      <c r="G282" s="824"/>
      <c r="H282" s="133"/>
      <c r="I282" s="790">
        <v>-936</v>
      </c>
      <c r="J282" s="790"/>
      <c r="K282" s="790"/>
      <c r="L282" s="790"/>
      <c r="M282" s="836"/>
      <c r="N282" s="836"/>
      <c r="O282" s="845">
        <f t="shared" si="29"/>
        <v>0</v>
      </c>
    </row>
    <row r="283" spans="1:15" ht="21" customHeight="1" x14ac:dyDescent="0.25">
      <c r="A283" s="820"/>
      <c r="B283" s="822" t="s">
        <v>847</v>
      </c>
      <c r="C283" s="790">
        <f t="shared" si="20"/>
        <v>13</v>
      </c>
      <c r="D283" s="133">
        <v>13</v>
      </c>
      <c r="E283" s="824"/>
      <c r="F283" s="824"/>
      <c r="G283" s="824"/>
      <c r="H283" s="133"/>
      <c r="I283" s="790"/>
      <c r="J283" s="790"/>
      <c r="K283" s="790"/>
      <c r="L283" s="790"/>
      <c r="M283" s="836"/>
      <c r="N283" s="836"/>
      <c r="O283" s="845">
        <f t="shared" si="29"/>
        <v>0</v>
      </c>
    </row>
    <row r="284" spans="1:15" ht="26.25" hidden="1" customHeight="1" x14ac:dyDescent="0.25">
      <c r="A284" s="820"/>
      <c r="B284" s="821"/>
      <c r="C284" s="790"/>
      <c r="D284" s="133"/>
      <c r="E284" s="824"/>
      <c r="F284" s="824"/>
      <c r="G284" s="824"/>
      <c r="H284" s="133"/>
      <c r="I284" s="790"/>
      <c r="J284" s="790"/>
      <c r="K284" s="790"/>
      <c r="L284" s="790"/>
      <c r="M284" s="836"/>
      <c r="N284" s="836"/>
      <c r="O284" s="845">
        <f t="shared" si="29"/>
        <v>0</v>
      </c>
    </row>
    <row r="285" spans="1:15" ht="26.25" hidden="1" customHeight="1" x14ac:dyDescent="0.25">
      <c r="A285" s="820"/>
      <c r="B285" s="821"/>
      <c r="C285" s="790"/>
      <c r="D285" s="133"/>
      <c r="E285" s="824"/>
      <c r="F285" s="824"/>
      <c r="G285" s="824"/>
      <c r="H285" s="133"/>
      <c r="I285" s="790"/>
      <c r="J285" s="790"/>
      <c r="K285" s="790"/>
      <c r="L285" s="790"/>
      <c r="M285" s="836"/>
      <c r="N285" s="836"/>
      <c r="O285" s="845">
        <f t="shared" si="29"/>
        <v>0</v>
      </c>
    </row>
    <row r="286" spans="1:15" ht="22.5" customHeight="1" x14ac:dyDescent="0.25">
      <c r="A286" s="820"/>
      <c r="B286" s="821" t="s">
        <v>848</v>
      </c>
      <c r="C286" s="790">
        <f t="shared" si="20"/>
        <v>145</v>
      </c>
      <c r="D286" s="133">
        <v>145</v>
      </c>
      <c r="E286" s="824"/>
      <c r="F286" s="824"/>
      <c r="G286" s="824"/>
      <c r="H286" s="133"/>
      <c r="I286" s="790"/>
      <c r="J286" s="790"/>
      <c r="K286" s="790"/>
      <c r="L286" s="790"/>
      <c r="M286" s="836"/>
      <c r="N286" s="836"/>
      <c r="O286" s="845">
        <f t="shared" si="29"/>
        <v>0</v>
      </c>
    </row>
    <row r="287" spans="1:15" ht="26.25" hidden="1" customHeight="1" x14ac:dyDescent="0.25">
      <c r="A287" s="820"/>
      <c r="B287" s="821"/>
      <c r="C287" s="790"/>
      <c r="D287" s="133"/>
      <c r="E287" s="824"/>
      <c r="F287" s="824"/>
      <c r="G287" s="824"/>
      <c r="H287" s="133"/>
      <c r="I287" s="790"/>
      <c r="J287" s="790"/>
      <c r="K287" s="790"/>
      <c r="L287" s="790"/>
      <c r="M287" s="836"/>
      <c r="N287" s="836"/>
      <c r="O287" s="845">
        <f t="shared" si="29"/>
        <v>0</v>
      </c>
    </row>
    <row r="288" spans="1:15" ht="26.25" hidden="1" customHeight="1" x14ac:dyDescent="0.25">
      <c r="A288" s="820"/>
      <c r="B288" s="821"/>
      <c r="C288" s="790"/>
      <c r="D288" s="133"/>
      <c r="E288" s="824"/>
      <c r="F288" s="824"/>
      <c r="G288" s="824"/>
      <c r="H288" s="133"/>
      <c r="I288" s="790"/>
      <c r="J288" s="790"/>
      <c r="K288" s="790"/>
      <c r="L288" s="790"/>
      <c r="M288" s="836"/>
      <c r="N288" s="836"/>
      <c r="O288" s="845">
        <f t="shared" si="29"/>
        <v>0</v>
      </c>
    </row>
    <row r="289" spans="1:15" ht="20.25" customHeight="1" x14ac:dyDescent="0.25">
      <c r="A289" s="820" t="s">
        <v>288</v>
      </c>
      <c r="B289" s="822" t="s">
        <v>849</v>
      </c>
      <c r="C289" s="790">
        <f t="shared" si="20"/>
        <v>143</v>
      </c>
      <c r="D289" s="133"/>
      <c r="E289" s="824"/>
      <c r="F289" s="824"/>
      <c r="G289" s="824"/>
      <c r="H289" s="133"/>
      <c r="I289" s="790"/>
      <c r="J289" s="790">
        <v>143</v>
      </c>
      <c r="K289" s="790"/>
      <c r="L289" s="790"/>
      <c r="M289" s="836">
        <f>C289</f>
        <v>143</v>
      </c>
      <c r="N289" s="836"/>
      <c r="O289" s="845">
        <f t="shared" si="29"/>
        <v>143</v>
      </c>
    </row>
    <row r="290" spans="1:15" s="166" customFormat="1" ht="20.25" customHeight="1" x14ac:dyDescent="0.25">
      <c r="A290" s="1182" t="s">
        <v>288</v>
      </c>
      <c r="B290" s="1183" t="s">
        <v>850</v>
      </c>
      <c r="C290" s="133">
        <f t="shared" si="20"/>
        <v>8084</v>
      </c>
      <c r="D290" s="133">
        <v>8084</v>
      </c>
      <c r="E290" s="824"/>
      <c r="F290" s="824"/>
      <c r="G290" s="824"/>
      <c r="H290" s="133"/>
      <c r="I290" s="133"/>
      <c r="J290" s="133"/>
      <c r="K290" s="133"/>
      <c r="L290" s="133"/>
      <c r="M290" s="1184">
        <f t="shared" ref="M290:M296" si="30">C290</f>
        <v>8084</v>
      </c>
      <c r="N290" s="1184">
        <v>85</v>
      </c>
      <c r="O290" s="1184">
        <f>M290+N290</f>
        <v>8169</v>
      </c>
    </row>
    <row r="291" spans="1:15" ht="26.25" hidden="1" customHeight="1" x14ac:dyDescent="0.25">
      <c r="A291" s="820"/>
      <c r="B291" s="822"/>
      <c r="C291" s="790"/>
      <c r="D291" s="133"/>
      <c r="E291" s="824"/>
      <c r="F291" s="824"/>
      <c r="G291" s="824"/>
      <c r="H291" s="133"/>
      <c r="I291" s="790"/>
      <c r="J291" s="790"/>
      <c r="K291" s="790"/>
      <c r="L291" s="790"/>
      <c r="M291" s="836">
        <f t="shared" si="30"/>
        <v>0</v>
      </c>
      <c r="N291" s="836"/>
      <c r="O291" s="845">
        <f t="shared" si="29"/>
        <v>0</v>
      </c>
    </row>
    <row r="292" spans="1:15" ht="21.75" customHeight="1" x14ac:dyDescent="0.25">
      <c r="A292" s="820" t="s">
        <v>288</v>
      </c>
      <c r="B292" s="821" t="s">
        <v>851</v>
      </c>
      <c r="C292" s="790">
        <f t="shared" ref="C292:C322" si="31">SUM(D292:K292)</f>
        <v>73</v>
      </c>
      <c r="D292" s="133">
        <v>73</v>
      </c>
      <c r="E292" s="824"/>
      <c r="F292" s="824"/>
      <c r="G292" s="824"/>
      <c r="H292" s="133"/>
      <c r="I292" s="790"/>
      <c r="J292" s="790"/>
      <c r="K292" s="790"/>
      <c r="L292" s="790"/>
      <c r="M292" s="836">
        <f t="shared" si="30"/>
        <v>73</v>
      </c>
      <c r="N292" s="836"/>
      <c r="O292" s="845">
        <f t="shared" si="29"/>
        <v>73</v>
      </c>
    </row>
    <row r="293" spans="1:15" ht="26.25" hidden="1" customHeight="1" x14ac:dyDescent="0.25">
      <c r="A293" s="820"/>
      <c r="B293" s="821"/>
      <c r="C293" s="790"/>
      <c r="D293" s="133"/>
      <c r="E293" s="824"/>
      <c r="F293" s="824"/>
      <c r="G293" s="824"/>
      <c r="H293" s="133"/>
      <c r="I293" s="790"/>
      <c r="J293" s="790"/>
      <c r="K293" s="790"/>
      <c r="L293" s="790"/>
      <c r="M293" s="836">
        <f t="shared" si="30"/>
        <v>0</v>
      </c>
      <c r="N293" s="836"/>
      <c r="O293" s="845">
        <f t="shared" si="29"/>
        <v>0</v>
      </c>
    </row>
    <row r="294" spans="1:15" ht="26.25" hidden="1" customHeight="1" x14ac:dyDescent="0.25">
      <c r="A294" s="820"/>
      <c r="B294" s="821"/>
      <c r="C294" s="790"/>
      <c r="D294" s="133"/>
      <c r="E294" s="824"/>
      <c r="F294" s="824"/>
      <c r="G294" s="824"/>
      <c r="H294" s="133"/>
      <c r="I294" s="790"/>
      <c r="J294" s="790"/>
      <c r="K294" s="790"/>
      <c r="L294" s="790"/>
      <c r="M294" s="836">
        <f t="shared" si="30"/>
        <v>0</v>
      </c>
      <c r="N294" s="836"/>
      <c r="O294" s="845">
        <f t="shared" si="29"/>
        <v>0</v>
      </c>
    </row>
    <row r="295" spans="1:15" ht="19.5" customHeight="1" x14ac:dyDescent="0.25">
      <c r="A295" s="820" t="s">
        <v>288</v>
      </c>
      <c r="B295" s="821" t="s">
        <v>854</v>
      </c>
      <c r="C295" s="790">
        <f t="shared" si="31"/>
        <v>518</v>
      </c>
      <c r="D295" s="133"/>
      <c r="E295" s="824"/>
      <c r="F295" s="824"/>
      <c r="G295" s="824"/>
      <c r="H295" s="133">
        <v>518</v>
      </c>
      <c r="I295" s="790"/>
      <c r="J295" s="790"/>
      <c r="K295" s="790"/>
      <c r="L295" s="790"/>
      <c r="M295" s="836">
        <f t="shared" si="30"/>
        <v>518</v>
      </c>
      <c r="N295" s="836"/>
      <c r="O295" s="845">
        <f t="shared" si="29"/>
        <v>518</v>
      </c>
    </row>
    <row r="296" spans="1:15" ht="19.5" customHeight="1" x14ac:dyDescent="0.25">
      <c r="A296" s="820" t="s">
        <v>288</v>
      </c>
      <c r="B296" s="821" t="s">
        <v>855</v>
      </c>
      <c r="C296" s="790">
        <f>SUM(D296:L296)</f>
        <v>72.472800000000007</v>
      </c>
      <c r="D296" s="133">
        <v>48</v>
      </c>
      <c r="E296" s="824"/>
      <c r="F296" s="824"/>
      <c r="G296" s="824"/>
      <c r="H296" s="133"/>
      <c r="I296" s="790"/>
      <c r="J296" s="790"/>
      <c r="K296" s="790"/>
      <c r="L296" s="790">
        <f>22*0.09*12+22*0.09*12*3%</f>
        <v>24.472799999999999</v>
      </c>
      <c r="M296" s="836">
        <f t="shared" si="30"/>
        <v>72.472800000000007</v>
      </c>
      <c r="N296" s="836"/>
      <c r="O296" s="845">
        <v>72</v>
      </c>
    </row>
    <row r="297" spans="1:15" s="782" customFormat="1" ht="20.25" customHeight="1" x14ac:dyDescent="0.2">
      <c r="A297" s="814">
        <v>5</v>
      </c>
      <c r="B297" s="823" t="s">
        <v>385</v>
      </c>
      <c r="C297" s="797">
        <f>SUM(D297:L297)</f>
        <v>6625.7983999999997</v>
      </c>
      <c r="D297" s="139">
        <f t="shared" ref="D297:L297" si="32">D298+SUM(D310:D318)</f>
        <v>7809</v>
      </c>
      <c r="E297" s="812">
        <f>E298+SUM(E310:E318)</f>
        <v>0</v>
      </c>
      <c r="F297" s="812">
        <f t="shared" si="32"/>
        <v>0</v>
      </c>
      <c r="G297" s="812">
        <f t="shared" si="32"/>
        <v>0</v>
      </c>
      <c r="H297" s="139">
        <f t="shared" si="32"/>
        <v>367</v>
      </c>
      <c r="I297" s="797">
        <f t="shared" si="32"/>
        <v>-1725</v>
      </c>
      <c r="J297" s="797">
        <f t="shared" si="32"/>
        <v>114</v>
      </c>
      <c r="K297" s="797">
        <f t="shared" si="32"/>
        <v>43</v>
      </c>
      <c r="L297" s="797">
        <f t="shared" si="32"/>
        <v>17.798400000000001</v>
      </c>
      <c r="M297" s="837"/>
      <c r="N297" s="844">
        <f>SUM(N298:N318)</f>
        <v>6626</v>
      </c>
      <c r="O297" s="844"/>
    </row>
    <row r="298" spans="1:15" ht="21.75" customHeight="1" x14ac:dyDescent="0.25">
      <c r="A298" s="820" t="s">
        <v>288</v>
      </c>
      <c r="B298" s="821" t="s">
        <v>842</v>
      </c>
      <c r="C298" s="790">
        <f t="shared" si="31"/>
        <v>1055</v>
      </c>
      <c r="D298" s="133">
        <f t="shared" ref="D298:K298" si="33">SUM(D299:D304)+D307</f>
        <v>2737</v>
      </c>
      <c r="E298" s="824">
        <f>SUM(E299:E304)+E307</f>
        <v>0</v>
      </c>
      <c r="F298" s="824">
        <f t="shared" si="33"/>
        <v>0</v>
      </c>
      <c r="G298" s="824">
        <f t="shared" si="33"/>
        <v>0</v>
      </c>
      <c r="H298" s="133">
        <f t="shared" si="33"/>
        <v>0</v>
      </c>
      <c r="I298" s="790">
        <f t="shared" si="33"/>
        <v>-1725</v>
      </c>
      <c r="J298" s="790"/>
      <c r="K298" s="790">
        <f t="shared" si="33"/>
        <v>43</v>
      </c>
      <c r="L298" s="790">
        <f>SUM(L299:L304)+L307</f>
        <v>0</v>
      </c>
      <c r="M298" s="836"/>
      <c r="N298" s="845">
        <f>C298</f>
        <v>1055</v>
      </c>
      <c r="O298" s="845"/>
    </row>
    <row r="299" spans="1:15" ht="22.5" customHeight="1" x14ac:dyDescent="0.25">
      <c r="A299" s="820"/>
      <c r="B299" s="821" t="s">
        <v>843</v>
      </c>
      <c r="C299" s="790">
        <f t="shared" si="31"/>
        <v>520</v>
      </c>
      <c r="D299" s="133">
        <v>520</v>
      </c>
      <c r="E299" s="824"/>
      <c r="F299" s="824"/>
      <c r="G299" s="824"/>
      <c r="H299" s="133"/>
      <c r="I299" s="790"/>
      <c r="J299" s="790"/>
      <c r="K299" s="790"/>
      <c r="L299" s="790"/>
      <c r="M299" s="836"/>
      <c r="N299" s="845"/>
      <c r="O299" s="845"/>
    </row>
    <row r="300" spans="1:15" ht="21.75" customHeight="1" x14ac:dyDescent="0.25">
      <c r="A300" s="820"/>
      <c r="B300" s="821" t="s">
        <v>844</v>
      </c>
      <c r="C300" s="790">
        <f t="shared" si="31"/>
        <v>290</v>
      </c>
      <c r="D300" s="133">
        <v>290</v>
      </c>
      <c r="E300" s="824"/>
      <c r="F300" s="824"/>
      <c r="G300" s="824"/>
      <c r="H300" s="133"/>
      <c r="I300" s="790"/>
      <c r="J300" s="790"/>
      <c r="K300" s="790"/>
      <c r="L300" s="790"/>
      <c r="M300" s="836"/>
      <c r="N300" s="845"/>
      <c r="O300" s="845"/>
    </row>
    <row r="301" spans="1:15" ht="26.25" hidden="1" customHeight="1" x14ac:dyDescent="0.25">
      <c r="A301" s="820"/>
      <c r="B301" s="821"/>
      <c r="C301" s="790"/>
      <c r="D301" s="133"/>
      <c r="E301" s="824"/>
      <c r="F301" s="824"/>
      <c r="G301" s="824"/>
      <c r="H301" s="133"/>
      <c r="I301" s="790"/>
      <c r="J301" s="790"/>
      <c r="K301" s="790"/>
      <c r="L301" s="790"/>
      <c r="M301" s="836"/>
      <c r="N301" s="845"/>
      <c r="O301" s="845"/>
    </row>
    <row r="302" spans="1:15" ht="19.5" customHeight="1" x14ac:dyDescent="0.25">
      <c r="A302" s="820"/>
      <c r="B302" s="821" t="s">
        <v>845</v>
      </c>
      <c r="C302" s="790">
        <f t="shared" si="31"/>
        <v>185</v>
      </c>
      <c r="D302" s="133">
        <v>142</v>
      </c>
      <c r="E302" s="824"/>
      <c r="F302" s="824"/>
      <c r="G302" s="824"/>
      <c r="H302" s="133"/>
      <c r="I302" s="790"/>
      <c r="J302" s="790"/>
      <c r="K302" s="790">
        <v>43</v>
      </c>
      <c r="L302" s="790"/>
      <c r="M302" s="836"/>
      <c r="N302" s="845"/>
      <c r="O302" s="845"/>
    </row>
    <row r="303" spans="1:15" ht="27.75" customHeight="1" x14ac:dyDescent="0.25">
      <c r="A303" s="820"/>
      <c r="B303" s="822" t="s">
        <v>846</v>
      </c>
      <c r="C303" s="790">
        <f t="shared" si="31"/>
        <v>-64</v>
      </c>
      <c r="D303" s="133">
        <v>1661</v>
      </c>
      <c r="E303" s="824"/>
      <c r="F303" s="824"/>
      <c r="G303" s="824"/>
      <c r="H303" s="133"/>
      <c r="I303" s="790">
        <v>-1725</v>
      </c>
      <c r="J303" s="790"/>
      <c r="K303" s="790"/>
      <c r="L303" s="790"/>
      <c r="M303" s="836"/>
      <c r="N303" s="845"/>
      <c r="O303" s="845"/>
    </row>
    <row r="304" spans="1:15" ht="20.25" customHeight="1" x14ac:dyDescent="0.25">
      <c r="A304" s="820"/>
      <c r="B304" s="822" t="s">
        <v>847</v>
      </c>
      <c r="C304" s="790">
        <f t="shared" si="31"/>
        <v>12</v>
      </c>
      <c r="D304" s="133">
        <v>12</v>
      </c>
      <c r="E304" s="824"/>
      <c r="F304" s="824"/>
      <c r="G304" s="824"/>
      <c r="H304" s="133"/>
      <c r="I304" s="790"/>
      <c r="J304" s="790"/>
      <c r="K304" s="790"/>
      <c r="L304" s="790"/>
      <c r="M304" s="836"/>
      <c r="N304" s="845"/>
      <c r="O304" s="845"/>
    </row>
    <row r="305" spans="1:18" ht="26.25" hidden="1" customHeight="1" x14ac:dyDescent="0.25">
      <c r="A305" s="820"/>
      <c r="B305" s="821"/>
      <c r="C305" s="790"/>
      <c r="D305" s="133"/>
      <c r="E305" s="824"/>
      <c r="F305" s="824"/>
      <c r="G305" s="824"/>
      <c r="H305" s="133"/>
      <c r="I305" s="790"/>
      <c r="J305" s="790"/>
      <c r="K305" s="790"/>
      <c r="L305" s="790"/>
      <c r="M305" s="836"/>
      <c r="N305" s="845"/>
      <c r="O305" s="845"/>
    </row>
    <row r="306" spans="1:18" ht="26.25" hidden="1" customHeight="1" x14ac:dyDescent="0.25">
      <c r="A306" s="820"/>
      <c r="B306" s="821"/>
      <c r="C306" s="790"/>
      <c r="D306" s="133"/>
      <c r="E306" s="824"/>
      <c r="F306" s="824"/>
      <c r="G306" s="824"/>
      <c r="H306" s="133"/>
      <c r="I306" s="790"/>
      <c r="J306" s="790"/>
      <c r="K306" s="790"/>
      <c r="L306" s="790"/>
      <c r="M306" s="836"/>
      <c r="N306" s="845"/>
      <c r="O306" s="845"/>
    </row>
    <row r="307" spans="1:18" ht="16.5" customHeight="1" x14ac:dyDescent="0.25">
      <c r="A307" s="820"/>
      <c r="B307" s="821" t="s">
        <v>848</v>
      </c>
      <c r="C307" s="790">
        <f t="shared" si="31"/>
        <v>112</v>
      </c>
      <c r="D307" s="133">
        <v>112</v>
      </c>
      <c r="E307" s="824"/>
      <c r="F307" s="824"/>
      <c r="G307" s="824"/>
      <c r="H307" s="133"/>
      <c r="I307" s="790"/>
      <c r="J307" s="790"/>
      <c r="K307" s="790"/>
      <c r="L307" s="790"/>
      <c r="M307" s="836"/>
      <c r="N307" s="845"/>
      <c r="O307" s="845"/>
    </row>
    <row r="308" spans="1:18" ht="26.25" hidden="1" customHeight="1" x14ac:dyDescent="0.25">
      <c r="A308" s="820"/>
      <c r="B308" s="821"/>
      <c r="C308" s="790"/>
      <c r="D308" s="133"/>
      <c r="E308" s="824"/>
      <c r="F308" s="824"/>
      <c r="G308" s="824"/>
      <c r="H308" s="133"/>
      <c r="I308" s="790"/>
      <c r="J308" s="790"/>
      <c r="K308" s="790"/>
      <c r="L308" s="790"/>
      <c r="M308" s="836"/>
      <c r="N308" s="845"/>
      <c r="O308" s="845"/>
    </row>
    <row r="309" spans="1:18" ht="26.25" hidden="1" customHeight="1" x14ac:dyDescent="0.25">
      <c r="A309" s="820"/>
      <c r="B309" s="821"/>
      <c r="C309" s="790"/>
      <c r="D309" s="133"/>
      <c r="E309" s="824"/>
      <c r="F309" s="824"/>
      <c r="G309" s="824"/>
      <c r="H309" s="133"/>
      <c r="I309" s="790"/>
      <c r="J309" s="790"/>
      <c r="K309" s="790"/>
      <c r="L309" s="790"/>
      <c r="M309" s="836"/>
      <c r="N309" s="845"/>
      <c r="O309" s="845"/>
    </row>
    <row r="310" spans="1:18" ht="16.5" customHeight="1" x14ac:dyDescent="0.25">
      <c r="A310" s="820" t="s">
        <v>288</v>
      </c>
      <c r="B310" s="822" t="s">
        <v>849</v>
      </c>
      <c r="C310" s="790">
        <f t="shared" si="31"/>
        <v>114</v>
      </c>
      <c r="D310" s="133"/>
      <c r="E310" s="824"/>
      <c r="F310" s="824"/>
      <c r="G310" s="824"/>
      <c r="H310" s="133"/>
      <c r="I310" s="790"/>
      <c r="J310" s="790">
        <v>114</v>
      </c>
      <c r="K310" s="790"/>
      <c r="L310" s="790"/>
      <c r="M310" s="836"/>
      <c r="N310" s="845">
        <f>C310</f>
        <v>114</v>
      </c>
      <c r="O310" s="845"/>
      <c r="Q310" s="791">
        <f>22628-G3</f>
        <v>18832.262500000001</v>
      </c>
    </row>
    <row r="311" spans="1:18" ht="16.5" customHeight="1" x14ac:dyDescent="0.25">
      <c r="A311" s="820" t="s">
        <v>288</v>
      </c>
      <c r="B311" s="821" t="s">
        <v>850</v>
      </c>
      <c r="C311" s="790">
        <f t="shared" si="31"/>
        <v>4975</v>
      </c>
      <c r="D311" s="133">
        <v>4975</v>
      </c>
      <c r="E311" s="824"/>
      <c r="F311" s="824"/>
      <c r="G311" s="824"/>
      <c r="H311" s="133"/>
      <c r="I311" s="790"/>
      <c r="J311" s="790"/>
      <c r="K311" s="790"/>
      <c r="L311" s="790"/>
      <c r="M311" s="836"/>
      <c r="N311" s="845">
        <f t="shared" ref="N311:N317" si="34">C311</f>
        <v>4975</v>
      </c>
      <c r="O311" s="845"/>
    </row>
    <row r="312" spans="1:18" ht="26.25" hidden="1" customHeight="1" x14ac:dyDescent="0.25">
      <c r="A312" s="820"/>
      <c r="B312" s="822"/>
      <c r="C312" s="790"/>
      <c r="D312" s="133"/>
      <c r="E312" s="824"/>
      <c r="F312" s="824"/>
      <c r="G312" s="824"/>
      <c r="H312" s="133"/>
      <c r="I312" s="790"/>
      <c r="J312" s="790"/>
      <c r="K312" s="790"/>
      <c r="L312" s="790"/>
      <c r="M312" s="836"/>
      <c r="N312" s="845">
        <f t="shared" si="34"/>
        <v>0</v>
      </c>
      <c r="O312" s="845"/>
    </row>
    <row r="313" spans="1:18" ht="21.75" customHeight="1" x14ac:dyDescent="0.25">
      <c r="A313" s="820" t="s">
        <v>288</v>
      </c>
      <c r="B313" s="821" t="s">
        <v>851</v>
      </c>
      <c r="C313" s="790">
        <f t="shared" si="31"/>
        <v>82</v>
      </c>
      <c r="D313" s="133">
        <v>82</v>
      </c>
      <c r="E313" s="824"/>
      <c r="F313" s="824"/>
      <c r="G313" s="824"/>
      <c r="H313" s="133"/>
      <c r="I313" s="790"/>
      <c r="J313" s="790"/>
      <c r="K313" s="790"/>
      <c r="L313" s="790"/>
      <c r="M313" s="836"/>
      <c r="N313" s="845">
        <f t="shared" si="34"/>
        <v>82</v>
      </c>
      <c r="O313" s="845"/>
    </row>
    <row r="314" spans="1:18" ht="21.75" hidden="1" customHeight="1" x14ac:dyDescent="0.25">
      <c r="A314" s="820"/>
      <c r="B314" s="821"/>
      <c r="C314" s="790"/>
      <c r="D314" s="133"/>
      <c r="E314" s="824"/>
      <c r="F314" s="824"/>
      <c r="G314" s="824"/>
      <c r="H314" s="133"/>
      <c r="I314" s="790"/>
      <c r="J314" s="790"/>
      <c r="K314" s="790"/>
      <c r="L314" s="790"/>
      <c r="M314" s="836"/>
      <c r="N314" s="845">
        <f t="shared" si="34"/>
        <v>0</v>
      </c>
      <c r="O314" s="845"/>
    </row>
    <row r="315" spans="1:18" ht="21.75" hidden="1" customHeight="1" x14ac:dyDescent="0.25">
      <c r="A315" s="820"/>
      <c r="B315" s="821"/>
      <c r="C315" s="790"/>
      <c r="D315" s="133"/>
      <c r="E315" s="824"/>
      <c r="F315" s="824"/>
      <c r="G315" s="824"/>
      <c r="H315" s="133"/>
      <c r="I315" s="790"/>
      <c r="J315" s="790"/>
      <c r="K315" s="790"/>
      <c r="L315" s="790"/>
      <c r="M315" s="836"/>
      <c r="N315" s="845">
        <f t="shared" si="34"/>
        <v>0</v>
      </c>
      <c r="O315" s="845"/>
    </row>
    <row r="316" spans="1:18" ht="26.25" hidden="1" customHeight="1" x14ac:dyDescent="0.25">
      <c r="A316" s="820"/>
      <c r="B316" s="821"/>
      <c r="C316" s="790"/>
      <c r="D316" s="133"/>
      <c r="E316" s="824"/>
      <c r="F316" s="824"/>
      <c r="G316" s="824"/>
      <c r="H316" s="133"/>
      <c r="I316" s="790"/>
      <c r="J316" s="790"/>
      <c r="K316" s="790"/>
      <c r="L316" s="790"/>
      <c r="M316" s="836"/>
      <c r="N316" s="845">
        <f t="shared" si="34"/>
        <v>0</v>
      </c>
      <c r="O316" s="845"/>
    </row>
    <row r="317" spans="1:18" ht="22.5" customHeight="1" x14ac:dyDescent="0.25">
      <c r="A317" s="820" t="s">
        <v>288</v>
      </c>
      <c r="B317" s="821" t="s">
        <v>854</v>
      </c>
      <c r="C317" s="790">
        <f t="shared" si="31"/>
        <v>367</v>
      </c>
      <c r="D317" s="133"/>
      <c r="E317" s="824"/>
      <c r="F317" s="824"/>
      <c r="G317" s="824"/>
      <c r="H317" s="133">
        <v>367</v>
      </c>
      <c r="I317" s="790"/>
      <c r="J317" s="790"/>
      <c r="K317" s="790"/>
      <c r="L317" s="790"/>
      <c r="M317" s="836"/>
      <c r="N317" s="845">
        <f t="shared" si="34"/>
        <v>367</v>
      </c>
      <c r="O317" s="845"/>
    </row>
    <row r="318" spans="1:18" ht="22.5" customHeight="1" x14ac:dyDescent="0.25">
      <c r="A318" s="820" t="s">
        <v>288</v>
      </c>
      <c r="B318" s="821" t="s">
        <v>855</v>
      </c>
      <c r="C318" s="790">
        <f>SUM(D318:L318)</f>
        <v>32.798400000000001</v>
      </c>
      <c r="D318" s="133">
        <v>15</v>
      </c>
      <c r="E318" s="824"/>
      <c r="F318" s="824"/>
      <c r="G318" s="824"/>
      <c r="H318" s="133"/>
      <c r="I318" s="790"/>
      <c r="J318" s="790"/>
      <c r="K318" s="790"/>
      <c r="L318" s="790">
        <f>16*0.09*12+16*0.09*12*3%</f>
        <v>17.798400000000001</v>
      </c>
      <c r="M318" s="836"/>
      <c r="N318" s="845">
        <v>33</v>
      </c>
      <c r="O318" s="845"/>
    </row>
    <row r="319" spans="1:18" s="782" customFormat="1" ht="42.75" customHeight="1" x14ac:dyDescent="0.25">
      <c r="A319" s="814">
        <v>6</v>
      </c>
      <c r="B319" s="823" t="s">
        <v>151</v>
      </c>
      <c r="C319" s="797">
        <f>SUM(D319:L319)</f>
        <v>9948.4727999999996</v>
      </c>
      <c r="D319" s="139">
        <f t="shared" ref="D319:L319" si="35">D320+SUM(D332:D340)</f>
        <v>10560</v>
      </c>
      <c r="E319" s="812">
        <f t="shared" si="35"/>
        <v>0</v>
      </c>
      <c r="F319" s="812">
        <f t="shared" si="35"/>
        <v>0</v>
      </c>
      <c r="G319" s="812"/>
      <c r="H319" s="139">
        <f t="shared" si="35"/>
        <v>506</v>
      </c>
      <c r="I319" s="797">
        <f t="shared" si="35"/>
        <v>-1357</v>
      </c>
      <c r="J319" s="797">
        <f>J320+SUM(J332:J340)</f>
        <v>152</v>
      </c>
      <c r="K319" s="797">
        <f t="shared" si="35"/>
        <v>63</v>
      </c>
      <c r="L319" s="797">
        <f t="shared" si="35"/>
        <v>24.472799999999999</v>
      </c>
      <c r="M319" s="853" t="s">
        <v>1523</v>
      </c>
      <c r="N319" s="844">
        <f>SUM(N320:N340)</f>
        <v>9558</v>
      </c>
      <c r="O319" s="837"/>
      <c r="P319" s="791"/>
      <c r="Q319" s="825"/>
      <c r="R319" s="791"/>
    </row>
    <row r="320" spans="1:18" ht="18" customHeight="1" x14ac:dyDescent="0.25">
      <c r="A320" s="820" t="s">
        <v>288</v>
      </c>
      <c r="B320" s="821" t="s">
        <v>842</v>
      </c>
      <c r="C320" s="790">
        <f t="shared" si="31"/>
        <v>2153</v>
      </c>
      <c r="D320" s="133">
        <f t="shared" ref="D320:K320" si="36">SUM(D321:D326)+D329</f>
        <v>3447</v>
      </c>
      <c r="E320" s="824">
        <f>SUM(E321:E326)+E329</f>
        <v>0</v>
      </c>
      <c r="F320" s="824">
        <f t="shared" si="36"/>
        <v>0</v>
      </c>
      <c r="G320" s="824">
        <f t="shared" si="36"/>
        <v>0</v>
      </c>
      <c r="H320" s="133">
        <f t="shared" si="36"/>
        <v>0</v>
      </c>
      <c r="I320" s="790">
        <f t="shared" si="36"/>
        <v>-1357</v>
      </c>
      <c r="J320" s="790"/>
      <c r="K320" s="790">
        <f t="shared" si="36"/>
        <v>63</v>
      </c>
      <c r="L320" s="790">
        <f>SUM(L321:L326)+L329</f>
        <v>0</v>
      </c>
      <c r="M320" s="836">
        <v>140</v>
      </c>
      <c r="N320" s="845">
        <f>C320-M320</f>
        <v>2013</v>
      </c>
      <c r="O320" s="836"/>
      <c r="P320" s="826"/>
    </row>
    <row r="321" spans="1:16" ht="18" customHeight="1" x14ac:dyDescent="0.25">
      <c r="A321" s="820"/>
      <c r="B321" s="821" t="s">
        <v>843</v>
      </c>
      <c r="C321" s="790">
        <f t="shared" si="31"/>
        <v>520</v>
      </c>
      <c r="D321" s="133">
        <v>520</v>
      </c>
      <c r="E321" s="824"/>
      <c r="F321" s="824"/>
      <c r="G321" s="824"/>
      <c r="H321" s="133"/>
      <c r="I321" s="790"/>
      <c r="J321" s="790"/>
      <c r="K321" s="790"/>
      <c r="L321" s="790"/>
      <c r="M321" s="836"/>
      <c r="N321" s="845"/>
      <c r="O321" s="836"/>
      <c r="P321" s="826"/>
    </row>
    <row r="322" spans="1:16" ht="18" customHeight="1" x14ac:dyDescent="0.25">
      <c r="A322" s="820"/>
      <c r="B322" s="821" t="s">
        <v>844</v>
      </c>
      <c r="C322" s="790">
        <f t="shared" si="31"/>
        <v>259</v>
      </c>
      <c r="D322" s="133">
        <v>259</v>
      </c>
      <c r="E322" s="824"/>
      <c r="F322" s="824"/>
      <c r="G322" s="824"/>
      <c r="H322" s="133"/>
      <c r="I322" s="790"/>
      <c r="J322" s="790"/>
      <c r="K322" s="790"/>
      <c r="L322" s="790"/>
      <c r="M322" s="836"/>
      <c r="N322" s="845"/>
      <c r="O322" s="836"/>
    </row>
    <row r="323" spans="1:16" ht="26.25" hidden="1" customHeight="1" x14ac:dyDescent="0.25">
      <c r="A323" s="820"/>
      <c r="B323" s="821"/>
      <c r="C323" s="790"/>
      <c r="D323" s="133"/>
      <c r="E323" s="824"/>
      <c r="F323" s="824"/>
      <c r="G323" s="824"/>
      <c r="H323" s="133"/>
      <c r="I323" s="790"/>
      <c r="J323" s="790"/>
      <c r="K323" s="790"/>
      <c r="L323" s="790"/>
      <c r="M323" s="836"/>
      <c r="N323" s="845"/>
      <c r="O323" s="836"/>
    </row>
    <row r="324" spans="1:16" ht="21" customHeight="1" x14ac:dyDescent="0.25">
      <c r="A324" s="820"/>
      <c r="B324" s="821" t="s">
        <v>845</v>
      </c>
      <c r="C324" s="790">
        <f t="shared" ref="C324:C353" si="37">SUM(D324:K324)</f>
        <v>176</v>
      </c>
      <c r="D324" s="133">
        <v>113</v>
      </c>
      <c r="E324" s="824"/>
      <c r="F324" s="824"/>
      <c r="G324" s="824"/>
      <c r="H324" s="133"/>
      <c r="I324" s="790"/>
      <c r="J324" s="790"/>
      <c r="K324" s="790">
        <v>63</v>
      </c>
      <c r="L324" s="790"/>
      <c r="M324" s="836"/>
      <c r="N324" s="845"/>
      <c r="O324" s="836"/>
    </row>
    <row r="325" spans="1:16" ht="30" x14ac:dyDescent="0.25">
      <c r="A325" s="820"/>
      <c r="B325" s="822" t="s">
        <v>846</v>
      </c>
      <c r="C325" s="790">
        <f t="shared" si="37"/>
        <v>1024</v>
      </c>
      <c r="D325" s="133">
        <v>2381</v>
      </c>
      <c r="E325" s="824"/>
      <c r="F325" s="824"/>
      <c r="G325" s="824"/>
      <c r="H325" s="133"/>
      <c r="I325" s="790">
        <v>-1357</v>
      </c>
      <c r="J325" s="790"/>
      <c r="K325" s="790"/>
      <c r="L325" s="790"/>
      <c r="M325" s="836"/>
      <c r="N325" s="845"/>
      <c r="O325" s="836"/>
    </row>
    <row r="326" spans="1:16" ht="21" customHeight="1" x14ac:dyDescent="0.25">
      <c r="A326" s="820"/>
      <c r="B326" s="822" t="s">
        <v>847</v>
      </c>
      <c r="C326" s="790">
        <f t="shared" si="37"/>
        <v>13</v>
      </c>
      <c r="D326" s="133">
        <v>13</v>
      </c>
      <c r="E326" s="824"/>
      <c r="F326" s="824"/>
      <c r="G326" s="824"/>
      <c r="H326" s="133"/>
      <c r="I326" s="790"/>
      <c r="J326" s="790"/>
      <c r="K326" s="790"/>
      <c r="L326" s="790"/>
      <c r="M326" s="836"/>
      <c r="N326" s="845"/>
      <c r="O326" s="836"/>
    </row>
    <row r="327" spans="1:16" ht="26.25" hidden="1" customHeight="1" x14ac:dyDescent="0.25">
      <c r="A327" s="820"/>
      <c r="B327" s="821"/>
      <c r="C327" s="790"/>
      <c r="D327" s="133"/>
      <c r="E327" s="824"/>
      <c r="F327" s="824"/>
      <c r="G327" s="824"/>
      <c r="H327" s="133"/>
      <c r="I327" s="790"/>
      <c r="J327" s="790"/>
      <c r="K327" s="790"/>
      <c r="L327" s="790"/>
      <c r="M327" s="836"/>
      <c r="N327" s="845"/>
      <c r="O327" s="836"/>
    </row>
    <row r="328" spans="1:16" ht="26.25" hidden="1" customHeight="1" x14ac:dyDescent="0.25">
      <c r="A328" s="820"/>
      <c r="B328" s="821"/>
      <c r="C328" s="790"/>
      <c r="D328" s="133"/>
      <c r="E328" s="824"/>
      <c r="F328" s="824"/>
      <c r="G328" s="824"/>
      <c r="H328" s="133"/>
      <c r="I328" s="790"/>
      <c r="J328" s="790"/>
      <c r="K328" s="790"/>
      <c r="L328" s="790"/>
      <c r="M328" s="836"/>
      <c r="N328" s="845"/>
      <c r="O328" s="836"/>
    </row>
    <row r="329" spans="1:16" ht="19.5" customHeight="1" x14ac:dyDescent="0.25">
      <c r="A329" s="820"/>
      <c r="B329" s="821" t="s">
        <v>848</v>
      </c>
      <c r="C329" s="790">
        <f t="shared" si="37"/>
        <v>161</v>
      </c>
      <c r="D329" s="133">
        <v>161</v>
      </c>
      <c r="E329" s="824"/>
      <c r="F329" s="824"/>
      <c r="G329" s="824"/>
      <c r="H329" s="133"/>
      <c r="I329" s="790"/>
      <c r="J329" s="790"/>
      <c r="K329" s="790"/>
      <c r="L329" s="790"/>
      <c r="M329" s="836"/>
      <c r="N329" s="845"/>
      <c r="O329" s="836"/>
    </row>
    <row r="330" spans="1:16" ht="26.25" hidden="1" customHeight="1" x14ac:dyDescent="0.25">
      <c r="A330" s="820"/>
      <c r="B330" s="821"/>
      <c r="C330" s="790"/>
      <c r="D330" s="133"/>
      <c r="E330" s="824"/>
      <c r="F330" s="824"/>
      <c r="G330" s="824"/>
      <c r="H330" s="133"/>
      <c r="I330" s="790"/>
      <c r="J330" s="790"/>
      <c r="K330" s="790"/>
      <c r="L330" s="790"/>
      <c r="M330" s="836"/>
      <c r="N330" s="845"/>
      <c r="O330" s="836"/>
    </row>
    <row r="331" spans="1:16" ht="26.25" hidden="1" customHeight="1" x14ac:dyDescent="0.25">
      <c r="A331" s="820"/>
      <c r="B331" s="821"/>
      <c r="C331" s="790"/>
      <c r="D331" s="133"/>
      <c r="E331" s="824"/>
      <c r="F331" s="824"/>
      <c r="G331" s="824"/>
      <c r="H331" s="133"/>
      <c r="I331" s="790"/>
      <c r="J331" s="790"/>
      <c r="K331" s="790"/>
      <c r="L331" s="790"/>
      <c r="M331" s="836"/>
      <c r="N331" s="845"/>
      <c r="O331" s="836"/>
    </row>
    <row r="332" spans="1:16" ht="21.75" customHeight="1" x14ac:dyDescent="0.25">
      <c r="A332" s="820" t="s">
        <v>288</v>
      </c>
      <c r="B332" s="822" t="s">
        <v>849</v>
      </c>
      <c r="C332" s="790">
        <f t="shared" si="37"/>
        <v>152</v>
      </c>
      <c r="D332" s="133"/>
      <c r="E332" s="824"/>
      <c r="F332" s="824"/>
      <c r="G332" s="824"/>
      <c r="H332" s="133"/>
      <c r="I332" s="790"/>
      <c r="J332" s="790">
        <v>152</v>
      </c>
      <c r="K332" s="790"/>
      <c r="L332" s="790"/>
      <c r="M332" s="836"/>
      <c r="N332" s="845">
        <f>C332</f>
        <v>152</v>
      </c>
      <c r="O332" s="836"/>
    </row>
    <row r="333" spans="1:16" ht="21.75" customHeight="1" x14ac:dyDescent="0.25">
      <c r="A333" s="820" t="s">
        <v>288</v>
      </c>
      <c r="B333" s="821" t="s">
        <v>850</v>
      </c>
      <c r="C333" s="790">
        <f t="shared" si="37"/>
        <v>6994</v>
      </c>
      <c r="D333" s="133">
        <v>6994</v>
      </c>
      <c r="E333" s="824"/>
      <c r="F333" s="824"/>
      <c r="G333" s="824"/>
      <c r="H333" s="133"/>
      <c r="I333" s="790"/>
      <c r="J333" s="790"/>
      <c r="K333" s="790"/>
      <c r="L333" s="790"/>
      <c r="M333" s="836">
        <v>250</v>
      </c>
      <c r="N333" s="845">
        <f>C333-M333</f>
        <v>6744</v>
      </c>
      <c r="O333" s="836"/>
    </row>
    <row r="334" spans="1:16" ht="26.25" hidden="1" customHeight="1" x14ac:dyDescent="0.25">
      <c r="A334" s="820"/>
      <c r="B334" s="822"/>
      <c r="C334" s="790"/>
      <c r="D334" s="133"/>
      <c r="E334" s="824"/>
      <c r="F334" s="824"/>
      <c r="G334" s="824"/>
      <c r="H334" s="133"/>
      <c r="I334" s="790"/>
      <c r="J334" s="790"/>
      <c r="K334" s="790"/>
      <c r="L334" s="790"/>
      <c r="M334" s="836"/>
      <c r="N334" s="845">
        <f t="shared" ref="N334:N339" si="38">C334-M334</f>
        <v>0</v>
      </c>
      <c r="O334" s="836"/>
    </row>
    <row r="335" spans="1:16" ht="19.5" customHeight="1" x14ac:dyDescent="0.25">
      <c r="A335" s="820" t="s">
        <v>288</v>
      </c>
      <c r="B335" s="821" t="s">
        <v>851</v>
      </c>
      <c r="C335" s="790">
        <f t="shared" si="37"/>
        <v>77</v>
      </c>
      <c r="D335" s="133">
        <v>77</v>
      </c>
      <c r="E335" s="824"/>
      <c r="F335" s="824"/>
      <c r="G335" s="824"/>
      <c r="H335" s="133"/>
      <c r="I335" s="790"/>
      <c r="J335" s="790"/>
      <c r="K335" s="790"/>
      <c r="L335" s="790"/>
      <c r="M335" s="836"/>
      <c r="N335" s="845">
        <f t="shared" si="38"/>
        <v>77</v>
      </c>
      <c r="O335" s="836"/>
    </row>
    <row r="336" spans="1:16" ht="19.5" customHeight="1" x14ac:dyDescent="0.25">
      <c r="A336" s="820" t="s">
        <v>288</v>
      </c>
      <c r="B336" s="821" t="s">
        <v>852</v>
      </c>
      <c r="C336" s="790">
        <f t="shared" si="37"/>
        <v>0</v>
      </c>
      <c r="D336" s="133"/>
      <c r="E336" s="824"/>
      <c r="F336" s="824"/>
      <c r="G336" s="824"/>
      <c r="H336" s="133"/>
      <c r="I336" s="790"/>
      <c r="J336" s="790"/>
      <c r="K336" s="790"/>
      <c r="L336" s="790"/>
      <c r="M336" s="836"/>
      <c r="N336" s="845">
        <f t="shared" si="38"/>
        <v>0</v>
      </c>
      <c r="O336" s="836"/>
    </row>
    <row r="337" spans="1:19" ht="19.5" customHeight="1" x14ac:dyDescent="0.25">
      <c r="A337" s="820" t="s">
        <v>288</v>
      </c>
      <c r="B337" s="821" t="s">
        <v>853</v>
      </c>
      <c r="C337" s="790">
        <f t="shared" si="37"/>
        <v>0</v>
      </c>
      <c r="D337" s="133"/>
      <c r="E337" s="824"/>
      <c r="F337" s="824"/>
      <c r="G337" s="824"/>
      <c r="H337" s="133"/>
      <c r="I337" s="790"/>
      <c r="J337" s="790"/>
      <c r="K337" s="790"/>
      <c r="L337" s="790"/>
      <c r="M337" s="836"/>
      <c r="N337" s="845">
        <f t="shared" si="38"/>
        <v>0</v>
      </c>
      <c r="O337" s="836"/>
    </row>
    <row r="338" spans="1:19" ht="26.25" hidden="1" customHeight="1" x14ac:dyDescent="0.25">
      <c r="A338" s="820"/>
      <c r="B338" s="821"/>
      <c r="C338" s="790"/>
      <c r="D338" s="133"/>
      <c r="E338" s="824"/>
      <c r="F338" s="824"/>
      <c r="G338" s="824"/>
      <c r="H338" s="133"/>
      <c r="I338" s="790"/>
      <c r="J338" s="790"/>
      <c r="K338" s="790"/>
      <c r="L338" s="790"/>
      <c r="M338" s="836"/>
      <c r="N338" s="845">
        <f>C338-M338</f>
        <v>0</v>
      </c>
      <c r="O338" s="836"/>
    </row>
    <row r="339" spans="1:19" ht="21.75" customHeight="1" x14ac:dyDescent="0.25">
      <c r="A339" s="820" t="s">
        <v>288</v>
      </c>
      <c r="B339" s="821" t="s">
        <v>854</v>
      </c>
      <c r="C339" s="790">
        <f t="shared" si="37"/>
        <v>506</v>
      </c>
      <c r="D339" s="133"/>
      <c r="E339" s="824"/>
      <c r="F339" s="824"/>
      <c r="G339" s="824"/>
      <c r="H339" s="133">
        <v>506</v>
      </c>
      <c r="I339" s="790"/>
      <c r="J339" s="790"/>
      <c r="K339" s="790"/>
      <c r="L339" s="790"/>
      <c r="M339" s="836"/>
      <c r="N339" s="845">
        <f t="shared" si="38"/>
        <v>506</v>
      </c>
      <c r="O339" s="836"/>
    </row>
    <row r="340" spans="1:19" ht="21.75" customHeight="1" x14ac:dyDescent="0.25">
      <c r="A340" s="820" t="s">
        <v>288</v>
      </c>
      <c r="B340" s="821" t="s">
        <v>855</v>
      </c>
      <c r="C340" s="790">
        <f>SUM(D340:L340)</f>
        <v>66.472800000000007</v>
      </c>
      <c r="D340" s="133">
        <v>42</v>
      </c>
      <c r="E340" s="824"/>
      <c r="F340" s="824"/>
      <c r="G340" s="824"/>
      <c r="H340" s="133"/>
      <c r="I340" s="790"/>
      <c r="J340" s="790"/>
      <c r="K340" s="790"/>
      <c r="L340" s="790">
        <f>22*0.09*12+22*0.09*12*3%</f>
        <v>24.472799999999999</v>
      </c>
      <c r="M340" s="842"/>
      <c r="N340" s="845">
        <v>66</v>
      </c>
      <c r="O340" s="842"/>
      <c r="P340" s="2141" t="s">
        <v>1485</v>
      </c>
      <c r="Q340" s="2142"/>
      <c r="R340" s="2142"/>
      <c r="S340" s="2142"/>
    </row>
    <row r="341" spans="1:19" s="782" customFormat="1" ht="21.75" customHeight="1" x14ac:dyDescent="0.2">
      <c r="A341" s="814">
        <v>7</v>
      </c>
      <c r="B341" s="823" t="s">
        <v>154</v>
      </c>
      <c r="C341" s="797">
        <f>SUM(D341:L341)</f>
        <v>8790.7983999999997</v>
      </c>
      <c r="D341" s="139">
        <f>D342+SUM(D356:D364)</f>
        <v>11516</v>
      </c>
      <c r="E341" s="812">
        <v>-258</v>
      </c>
      <c r="F341" s="812">
        <f>F342+F357</f>
        <v>-665</v>
      </c>
      <c r="G341" s="812">
        <f>G342+G357</f>
        <v>-284</v>
      </c>
      <c r="H341" s="139">
        <f>H342+SUM(H356:H364)</f>
        <v>394</v>
      </c>
      <c r="I341" s="797">
        <f>I342+SUM(I356:I364)</f>
        <v>-2067</v>
      </c>
      <c r="J341" s="797">
        <f>J342+SUM(J356:J364)</f>
        <v>75</v>
      </c>
      <c r="K341" s="797">
        <f>K342+SUM(K356:K364)</f>
        <v>62</v>
      </c>
      <c r="L341" s="797">
        <f>L342+SUM(L356:L364)</f>
        <v>17.798400000000001</v>
      </c>
      <c r="M341" s="843">
        <f>SUM(M342:M364)</f>
        <v>8791</v>
      </c>
      <c r="N341" s="843"/>
      <c r="O341" s="843"/>
      <c r="P341" s="2141"/>
      <c r="Q341" s="2142"/>
      <c r="R341" s="2142"/>
      <c r="S341" s="2142"/>
    </row>
    <row r="342" spans="1:19" ht="21.75" customHeight="1" x14ac:dyDescent="0.25">
      <c r="A342" s="820" t="s">
        <v>288</v>
      </c>
      <c r="B342" s="821" t="s">
        <v>842</v>
      </c>
      <c r="C342" s="790">
        <f t="shared" si="37"/>
        <v>912</v>
      </c>
      <c r="D342" s="133">
        <f>SUM(D343:D350)+D353</f>
        <v>3391</v>
      </c>
      <c r="E342" s="824">
        <f t="shared" ref="E342:L342" si="39">SUM(E343:E350)+E353</f>
        <v>0</v>
      </c>
      <c r="F342" s="824">
        <v>-332</v>
      </c>
      <c r="G342" s="824">
        <v>-142</v>
      </c>
      <c r="H342" s="824">
        <f t="shared" si="39"/>
        <v>0</v>
      </c>
      <c r="I342" s="790">
        <f t="shared" si="39"/>
        <v>-2067</v>
      </c>
      <c r="J342" s="790"/>
      <c r="K342" s="790">
        <f t="shared" si="39"/>
        <v>62</v>
      </c>
      <c r="L342" s="790">
        <f t="shared" si="39"/>
        <v>0</v>
      </c>
      <c r="M342" s="842">
        <f>C342</f>
        <v>912</v>
      </c>
      <c r="N342" s="842"/>
      <c r="O342" s="842"/>
      <c r="P342" s="2141"/>
      <c r="Q342" s="2142"/>
      <c r="R342" s="2142"/>
      <c r="S342" s="2142"/>
    </row>
    <row r="343" spans="1:19" ht="21.75" customHeight="1" x14ac:dyDescent="0.25">
      <c r="A343" s="820"/>
      <c r="B343" s="821" t="s">
        <v>843</v>
      </c>
      <c r="C343" s="790">
        <f t="shared" si="37"/>
        <v>579</v>
      </c>
      <c r="D343" s="133">
        <v>579</v>
      </c>
      <c r="E343" s="824"/>
      <c r="F343" s="824"/>
      <c r="G343" s="824"/>
      <c r="H343" s="133"/>
      <c r="I343" s="790"/>
      <c r="J343" s="790"/>
      <c r="K343" s="790"/>
      <c r="L343" s="790"/>
      <c r="M343" s="842"/>
      <c r="N343" s="842"/>
      <c r="O343" s="842"/>
      <c r="P343" s="2141"/>
      <c r="Q343" s="2142"/>
      <c r="R343" s="2142"/>
      <c r="S343" s="2142"/>
    </row>
    <row r="344" spans="1:19" ht="23.25" customHeight="1" x14ac:dyDescent="0.25">
      <c r="A344" s="820"/>
      <c r="B344" s="821" t="s">
        <v>844</v>
      </c>
      <c r="C344" s="790">
        <f t="shared" si="37"/>
        <v>305</v>
      </c>
      <c r="D344" s="133">
        <v>305</v>
      </c>
      <c r="E344" s="824"/>
      <c r="F344" s="824"/>
      <c r="G344" s="824"/>
      <c r="H344" s="133"/>
      <c r="I344" s="790"/>
      <c r="J344" s="790"/>
      <c r="K344" s="790"/>
      <c r="L344" s="790"/>
      <c r="M344" s="836"/>
      <c r="N344" s="836"/>
      <c r="O344" s="836"/>
      <c r="Q344" s="791" t="s">
        <v>1486</v>
      </c>
      <c r="R344" s="791" t="s">
        <v>1487</v>
      </c>
      <c r="S344" s="791" t="s">
        <v>1488</v>
      </c>
    </row>
    <row r="345" spans="1:19" ht="26.25" hidden="1" customHeight="1" x14ac:dyDescent="0.25">
      <c r="A345" s="820"/>
      <c r="B345" s="821"/>
      <c r="C345" s="790"/>
      <c r="D345" s="133"/>
      <c r="E345" s="824"/>
      <c r="F345" s="824"/>
      <c r="G345" s="824"/>
      <c r="H345" s="133"/>
      <c r="I345" s="790"/>
      <c r="J345" s="790"/>
      <c r="K345" s="790"/>
      <c r="L345" s="790"/>
      <c r="M345" s="836"/>
      <c r="N345" s="836"/>
      <c r="O345" s="836"/>
    </row>
    <row r="346" spans="1:19" ht="18" customHeight="1" x14ac:dyDescent="0.25">
      <c r="A346" s="820"/>
      <c r="B346" s="821" t="s">
        <v>845</v>
      </c>
      <c r="C346" s="790">
        <f t="shared" si="37"/>
        <v>196</v>
      </c>
      <c r="D346" s="133">
        <v>134</v>
      </c>
      <c r="E346" s="824"/>
      <c r="F346" s="824"/>
      <c r="G346" s="824"/>
      <c r="H346" s="133"/>
      <c r="I346" s="790"/>
      <c r="J346" s="790"/>
      <c r="K346" s="790">
        <v>62</v>
      </c>
      <c r="L346" s="790"/>
      <c r="M346" s="836"/>
      <c r="N346" s="836"/>
      <c r="O346" s="836"/>
      <c r="P346" s="827" t="s">
        <v>1489</v>
      </c>
      <c r="Q346" s="791">
        <v>1985.95</v>
      </c>
      <c r="R346" s="791">
        <v>815.24</v>
      </c>
      <c r="S346" s="791">
        <v>754.17</v>
      </c>
    </row>
    <row r="347" spans="1:19" ht="26.25" hidden="1" customHeight="1" x14ac:dyDescent="0.25">
      <c r="A347" s="820"/>
      <c r="B347" s="821"/>
      <c r="C347" s="790"/>
      <c r="D347" s="133"/>
      <c r="E347" s="824"/>
      <c r="F347" s="824"/>
      <c r="G347" s="824"/>
      <c r="H347" s="133"/>
      <c r="I347" s="790"/>
      <c r="J347" s="790"/>
      <c r="K347" s="790"/>
      <c r="L347" s="790"/>
      <c r="M347" s="836"/>
      <c r="N347" s="836"/>
      <c r="O347" s="836"/>
      <c r="P347" s="827"/>
    </row>
    <row r="348" spans="1:19" ht="26.25" hidden="1" customHeight="1" x14ac:dyDescent="0.25">
      <c r="A348" s="820"/>
      <c r="B348" s="821"/>
      <c r="C348" s="790"/>
      <c r="D348" s="133"/>
      <c r="E348" s="824"/>
      <c r="F348" s="824"/>
      <c r="G348" s="824"/>
      <c r="H348" s="133"/>
      <c r="I348" s="790"/>
      <c r="J348" s="790"/>
      <c r="K348" s="790"/>
      <c r="L348" s="790"/>
      <c r="M348" s="836"/>
      <c r="N348" s="836"/>
      <c r="O348" s="836"/>
      <c r="P348" s="827"/>
    </row>
    <row r="349" spans="1:19" ht="29.25" customHeight="1" x14ac:dyDescent="0.25">
      <c r="A349" s="820"/>
      <c r="B349" s="822" t="s">
        <v>846</v>
      </c>
      <c r="C349" s="790">
        <f t="shared" si="37"/>
        <v>164</v>
      </c>
      <c r="D349" s="133">
        <v>2231</v>
      </c>
      <c r="E349" s="824"/>
      <c r="F349" s="824"/>
      <c r="G349" s="824"/>
      <c r="H349" s="133"/>
      <c r="I349" s="790">
        <v>-2067</v>
      </c>
      <c r="J349" s="790"/>
      <c r="K349" s="790"/>
      <c r="L349" s="790"/>
      <c r="M349" s="836"/>
      <c r="N349" s="836"/>
      <c r="O349" s="836"/>
      <c r="P349" s="827" t="s">
        <v>1490</v>
      </c>
      <c r="Q349" s="791">
        <v>1772.42</v>
      </c>
      <c r="R349" s="791">
        <v>265.3</v>
      </c>
      <c r="S349" s="791">
        <v>519.79999999999995</v>
      </c>
    </row>
    <row r="350" spans="1:19" ht="21.75" customHeight="1" x14ac:dyDescent="0.25">
      <c r="A350" s="820"/>
      <c r="B350" s="822" t="s">
        <v>847</v>
      </c>
      <c r="C350" s="790">
        <f t="shared" si="37"/>
        <v>12</v>
      </c>
      <c r="D350" s="133">
        <v>12</v>
      </c>
      <c r="E350" s="824"/>
      <c r="F350" s="824"/>
      <c r="G350" s="824"/>
      <c r="H350" s="133"/>
      <c r="I350" s="790"/>
      <c r="J350" s="790"/>
      <c r="K350" s="790"/>
      <c r="L350" s="790"/>
      <c r="M350" s="836"/>
      <c r="N350" s="836"/>
      <c r="O350" s="836"/>
      <c r="Q350" s="791">
        <f>Q349-Q346</f>
        <v>-213.52999999999997</v>
      </c>
      <c r="R350" s="791">
        <f>R349-R346</f>
        <v>-549.94000000000005</v>
      </c>
      <c r="S350" s="791">
        <f>S349-S346</f>
        <v>-234.37</v>
      </c>
    </row>
    <row r="351" spans="1:19" ht="26.25" hidden="1" customHeight="1" x14ac:dyDescent="0.25">
      <c r="A351" s="820"/>
      <c r="B351" s="821"/>
      <c r="C351" s="790"/>
      <c r="D351" s="133"/>
      <c r="E351" s="824"/>
      <c r="F351" s="824"/>
      <c r="G351" s="824"/>
      <c r="H351" s="133"/>
      <c r="I351" s="790"/>
      <c r="J351" s="790"/>
      <c r="K351" s="790"/>
      <c r="L351" s="790"/>
      <c r="M351" s="836"/>
      <c r="N351" s="836"/>
      <c r="O351" s="836"/>
    </row>
    <row r="352" spans="1:19" ht="26.25" hidden="1" customHeight="1" x14ac:dyDescent="0.25">
      <c r="A352" s="820"/>
      <c r="B352" s="821"/>
      <c r="C352" s="790"/>
      <c r="D352" s="133"/>
      <c r="E352" s="824"/>
      <c r="F352" s="824"/>
      <c r="G352" s="824"/>
      <c r="H352" s="133"/>
      <c r="I352" s="790"/>
      <c r="J352" s="790"/>
      <c r="K352" s="790"/>
      <c r="L352" s="790"/>
      <c r="M352" s="836"/>
      <c r="N352" s="836"/>
      <c r="O352" s="836"/>
    </row>
    <row r="353" spans="1:15" ht="19.5" customHeight="1" x14ac:dyDescent="0.25">
      <c r="A353" s="820"/>
      <c r="B353" s="821" t="s">
        <v>848</v>
      </c>
      <c r="C353" s="790">
        <f t="shared" si="37"/>
        <v>130</v>
      </c>
      <c r="D353" s="133">
        <v>130</v>
      </c>
      <c r="E353" s="824"/>
      <c r="F353" s="824"/>
      <c r="G353" s="824"/>
      <c r="H353" s="133"/>
      <c r="I353" s="790"/>
      <c r="J353" s="790"/>
      <c r="K353" s="790"/>
      <c r="L353" s="790"/>
      <c r="M353" s="836"/>
      <c r="N353" s="836"/>
      <c r="O353" s="836"/>
    </row>
    <row r="354" spans="1:15" ht="26.25" hidden="1" customHeight="1" x14ac:dyDescent="0.25">
      <c r="A354" s="820"/>
      <c r="B354" s="821"/>
      <c r="C354" s="790"/>
      <c r="D354" s="133"/>
      <c r="E354" s="824"/>
      <c r="F354" s="824"/>
      <c r="G354" s="824"/>
      <c r="H354" s="133"/>
      <c r="I354" s="790"/>
      <c r="J354" s="790"/>
      <c r="K354" s="790"/>
      <c r="L354" s="790"/>
      <c r="M354" s="836"/>
      <c r="N354" s="836"/>
      <c r="O354" s="836"/>
    </row>
    <row r="355" spans="1:15" ht="26.25" hidden="1" customHeight="1" x14ac:dyDescent="0.25">
      <c r="A355" s="820"/>
      <c r="B355" s="821"/>
      <c r="C355" s="790"/>
      <c r="D355" s="133"/>
      <c r="E355" s="824"/>
      <c r="F355" s="824"/>
      <c r="G355" s="824"/>
      <c r="H355" s="133"/>
      <c r="I355" s="790"/>
      <c r="J355" s="790"/>
      <c r="K355" s="790"/>
      <c r="L355" s="790"/>
      <c r="M355" s="836"/>
      <c r="N355" s="836"/>
      <c r="O355" s="836"/>
    </row>
    <row r="356" spans="1:15" ht="20.25" customHeight="1" x14ac:dyDescent="0.25">
      <c r="A356" s="820" t="s">
        <v>288</v>
      </c>
      <c r="B356" s="822" t="s">
        <v>849</v>
      </c>
      <c r="C356" s="790">
        <f t="shared" ref="C356:C383" si="40">SUM(D356:K356)</f>
        <v>75</v>
      </c>
      <c r="D356" s="133">
        <v>0</v>
      </c>
      <c r="E356" s="824"/>
      <c r="F356" s="824"/>
      <c r="G356" s="824"/>
      <c r="H356" s="133"/>
      <c r="I356" s="790"/>
      <c r="J356" s="790">
        <v>75</v>
      </c>
      <c r="K356" s="790"/>
      <c r="L356" s="790"/>
      <c r="M356" s="836">
        <f>C356</f>
        <v>75</v>
      </c>
      <c r="N356" s="836"/>
      <c r="O356" s="836"/>
    </row>
    <row r="357" spans="1:15" ht="20.25" customHeight="1" x14ac:dyDescent="0.25">
      <c r="A357" s="820" t="s">
        <v>288</v>
      </c>
      <c r="B357" s="821" t="s">
        <v>850</v>
      </c>
      <c r="C357" s="790">
        <f t="shared" si="40"/>
        <v>7257</v>
      </c>
      <c r="D357" s="133">
        <v>7990</v>
      </c>
      <c r="E357" s="824">
        <v>-258</v>
      </c>
      <c r="F357" s="824">
        <v>-333</v>
      </c>
      <c r="G357" s="824">
        <f>-284*50%</f>
        <v>-142</v>
      </c>
      <c r="H357" s="133"/>
      <c r="I357" s="790"/>
      <c r="J357" s="790"/>
      <c r="K357" s="790"/>
      <c r="L357" s="790"/>
      <c r="M357" s="836">
        <f>C357</f>
        <v>7257</v>
      </c>
      <c r="N357" s="836"/>
      <c r="O357" s="836"/>
    </row>
    <row r="358" spans="1:15" ht="26.25" hidden="1" customHeight="1" x14ac:dyDescent="0.25">
      <c r="A358" s="820"/>
      <c r="B358" s="822"/>
      <c r="C358" s="790"/>
      <c r="D358" s="133"/>
      <c r="E358" s="824"/>
      <c r="F358" s="824"/>
      <c r="G358" s="824"/>
      <c r="H358" s="133"/>
      <c r="I358" s="790"/>
      <c r="J358" s="790"/>
      <c r="K358" s="790"/>
      <c r="L358" s="790"/>
      <c r="M358" s="836">
        <f t="shared" ref="M358:M363" si="41">C358</f>
        <v>0</v>
      </c>
      <c r="N358" s="836"/>
      <c r="O358" s="836"/>
    </row>
    <row r="359" spans="1:15" ht="20.25" customHeight="1" x14ac:dyDescent="0.25">
      <c r="A359" s="820" t="s">
        <v>288</v>
      </c>
      <c r="B359" s="821" t="s">
        <v>851</v>
      </c>
      <c r="C359" s="790">
        <f t="shared" si="40"/>
        <v>89</v>
      </c>
      <c r="D359" s="133">
        <v>89</v>
      </c>
      <c r="E359" s="824"/>
      <c r="F359" s="824"/>
      <c r="G359" s="824"/>
      <c r="H359" s="133"/>
      <c r="I359" s="790"/>
      <c r="J359" s="790"/>
      <c r="K359" s="790"/>
      <c r="L359" s="790"/>
      <c r="M359" s="836">
        <f t="shared" si="41"/>
        <v>89</v>
      </c>
      <c r="N359" s="836"/>
      <c r="O359" s="836"/>
    </row>
    <row r="360" spans="1:15" ht="20.25" hidden="1" customHeight="1" x14ac:dyDescent="0.25">
      <c r="A360" s="820"/>
      <c r="B360" s="821"/>
      <c r="C360" s="790"/>
      <c r="D360" s="133"/>
      <c r="E360" s="824"/>
      <c r="F360" s="824"/>
      <c r="G360" s="824"/>
      <c r="H360" s="133"/>
      <c r="I360" s="790"/>
      <c r="J360" s="790"/>
      <c r="K360" s="790"/>
      <c r="L360" s="790"/>
      <c r="M360" s="836">
        <f t="shared" si="41"/>
        <v>0</v>
      </c>
      <c r="N360" s="836"/>
      <c r="O360" s="836"/>
    </row>
    <row r="361" spans="1:15" ht="20.25" hidden="1" customHeight="1" x14ac:dyDescent="0.25">
      <c r="A361" s="820"/>
      <c r="B361" s="821"/>
      <c r="C361" s="790"/>
      <c r="D361" s="133"/>
      <c r="E361" s="824"/>
      <c r="F361" s="824"/>
      <c r="G361" s="824"/>
      <c r="H361" s="133"/>
      <c r="I361" s="790"/>
      <c r="J361" s="790"/>
      <c r="K361" s="790"/>
      <c r="L361" s="790"/>
      <c r="M361" s="836">
        <f t="shared" si="41"/>
        <v>0</v>
      </c>
      <c r="N361" s="836"/>
      <c r="O361" s="836"/>
    </row>
    <row r="362" spans="1:15" ht="26.25" hidden="1" customHeight="1" x14ac:dyDescent="0.25">
      <c r="A362" s="820"/>
      <c r="B362" s="821"/>
      <c r="C362" s="790"/>
      <c r="D362" s="133"/>
      <c r="E362" s="824"/>
      <c r="F362" s="824"/>
      <c r="G362" s="824"/>
      <c r="H362" s="133"/>
      <c r="I362" s="790"/>
      <c r="J362" s="790"/>
      <c r="K362" s="790"/>
      <c r="L362" s="790"/>
      <c r="M362" s="836">
        <f t="shared" si="41"/>
        <v>0</v>
      </c>
      <c r="N362" s="836"/>
      <c r="O362" s="836"/>
    </row>
    <row r="363" spans="1:15" ht="22.5" customHeight="1" x14ac:dyDescent="0.25">
      <c r="A363" s="820" t="s">
        <v>288</v>
      </c>
      <c r="B363" s="821" t="s">
        <v>854</v>
      </c>
      <c r="C363" s="790">
        <f t="shared" si="40"/>
        <v>394</v>
      </c>
      <c r="D363" s="133"/>
      <c r="E363" s="824"/>
      <c r="F363" s="824"/>
      <c r="G363" s="824"/>
      <c r="H363" s="133">
        <v>394</v>
      </c>
      <c r="I363" s="790"/>
      <c r="J363" s="790"/>
      <c r="K363" s="790"/>
      <c r="L363" s="790"/>
      <c r="M363" s="836">
        <f t="shared" si="41"/>
        <v>394</v>
      </c>
      <c r="N363" s="836"/>
      <c r="O363" s="836"/>
    </row>
    <row r="364" spans="1:15" ht="22.5" customHeight="1" x14ac:dyDescent="0.25">
      <c r="A364" s="820" t="s">
        <v>288</v>
      </c>
      <c r="B364" s="821" t="s">
        <v>855</v>
      </c>
      <c r="C364" s="790">
        <f>SUM(D364:L364)</f>
        <v>63.798400000000001</v>
      </c>
      <c r="D364" s="133">
        <v>46</v>
      </c>
      <c r="E364" s="824"/>
      <c r="F364" s="824"/>
      <c r="G364" s="824"/>
      <c r="H364" s="133"/>
      <c r="I364" s="790"/>
      <c r="J364" s="790"/>
      <c r="K364" s="790"/>
      <c r="L364" s="790">
        <f>16*0.09*12+16*0.09*12*3%</f>
        <v>17.798400000000001</v>
      </c>
      <c r="M364" s="836">
        <v>64</v>
      </c>
      <c r="N364" s="836"/>
      <c r="O364" s="836"/>
    </row>
    <row r="365" spans="1:15" s="782" customFormat="1" ht="22.5" customHeight="1" x14ac:dyDescent="0.2">
      <c r="A365" s="814">
        <v>8</v>
      </c>
      <c r="B365" s="823" t="s">
        <v>155</v>
      </c>
      <c r="C365" s="797">
        <f>SUM(D365:L365)</f>
        <v>8972</v>
      </c>
      <c r="D365" s="139">
        <f t="shared" ref="D365:L365" si="42">D366+SUM(D380:D388)</f>
        <v>8751</v>
      </c>
      <c r="E365" s="812">
        <f t="shared" si="42"/>
        <v>0</v>
      </c>
      <c r="F365" s="812">
        <f t="shared" si="42"/>
        <v>0</v>
      </c>
      <c r="G365" s="812">
        <f t="shared" si="42"/>
        <v>0</v>
      </c>
      <c r="H365" s="139">
        <f t="shared" si="42"/>
        <v>319</v>
      </c>
      <c r="I365" s="797">
        <f t="shared" si="42"/>
        <v>-161</v>
      </c>
      <c r="J365" s="797">
        <f t="shared" si="42"/>
        <v>20</v>
      </c>
      <c r="K365" s="797">
        <f t="shared" si="42"/>
        <v>32</v>
      </c>
      <c r="L365" s="797">
        <f t="shared" si="42"/>
        <v>11</v>
      </c>
      <c r="M365" s="855">
        <f>SUM(M366:M388)</f>
        <v>8972</v>
      </c>
      <c r="N365" s="837"/>
      <c r="O365" s="837"/>
    </row>
    <row r="366" spans="1:15" ht="23.25" customHeight="1" x14ac:dyDescent="0.25">
      <c r="A366" s="820" t="s">
        <v>288</v>
      </c>
      <c r="B366" s="821" t="s">
        <v>842</v>
      </c>
      <c r="C366" s="790">
        <f t="shared" si="40"/>
        <v>2491</v>
      </c>
      <c r="D366" s="133">
        <f t="shared" ref="D366:L366" si="43">SUM(D367:D374)+D377</f>
        <v>2620</v>
      </c>
      <c r="E366" s="824">
        <f t="shared" si="43"/>
        <v>0</v>
      </c>
      <c r="F366" s="824">
        <f t="shared" si="43"/>
        <v>0</v>
      </c>
      <c r="G366" s="824">
        <f t="shared" si="43"/>
        <v>0</v>
      </c>
      <c r="H366" s="133"/>
      <c r="I366" s="790">
        <f t="shared" si="43"/>
        <v>-161</v>
      </c>
      <c r="J366" s="790"/>
      <c r="K366" s="790">
        <f t="shared" si="43"/>
        <v>32</v>
      </c>
      <c r="L366" s="790">
        <f t="shared" si="43"/>
        <v>0</v>
      </c>
      <c r="M366" s="856">
        <f>C366</f>
        <v>2491</v>
      </c>
      <c r="N366" s="836"/>
      <c r="O366" s="836"/>
    </row>
    <row r="367" spans="1:15" ht="23.25" customHeight="1" x14ac:dyDescent="0.25">
      <c r="A367" s="820"/>
      <c r="B367" s="821" t="s">
        <v>843</v>
      </c>
      <c r="C367" s="790">
        <f t="shared" si="40"/>
        <v>553</v>
      </c>
      <c r="D367" s="133">
        <v>553</v>
      </c>
      <c r="E367" s="824"/>
      <c r="F367" s="824"/>
      <c r="G367" s="824"/>
      <c r="H367" s="133"/>
      <c r="I367" s="790"/>
      <c r="J367" s="790"/>
      <c r="K367" s="790"/>
      <c r="L367" s="790"/>
      <c r="M367" s="856"/>
      <c r="N367" s="836"/>
      <c r="O367" s="836"/>
    </row>
    <row r="368" spans="1:15" ht="23.25" customHeight="1" x14ac:dyDescent="0.25">
      <c r="A368" s="820"/>
      <c r="B368" s="821" t="s">
        <v>844</v>
      </c>
      <c r="C368" s="790">
        <f t="shared" si="40"/>
        <v>317</v>
      </c>
      <c r="D368" s="133">
        <v>317</v>
      </c>
      <c r="E368" s="824"/>
      <c r="F368" s="824"/>
      <c r="G368" s="824"/>
      <c r="H368" s="133"/>
      <c r="I368" s="790"/>
      <c r="J368" s="790"/>
      <c r="K368" s="790"/>
      <c r="L368" s="790"/>
      <c r="M368" s="856"/>
      <c r="N368" s="836"/>
      <c r="O368" s="836"/>
    </row>
    <row r="369" spans="1:15" ht="26.25" hidden="1" customHeight="1" x14ac:dyDescent="0.25">
      <c r="A369" s="820"/>
      <c r="B369" s="821"/>
      <c r="C369" s="790"/>
      <c r="D369" s="133"/>
      <c r="E369" s="824"/>
      <c r="F369" s="824"/>
      <c r="G369" s="824"/>
      <c r="H369" s="133"/>
      <c r="I369" s="790"/>
      <c r="J369" s="790"/>
      <c r="K369" s="790"/>
      <c r="L369" s="790"/>
      <c r="M369" s="856"/>
      <c r="N369" s="836"/>
      <c r="O369" s="836"/>
    </row>
    <row r="370" spans="1:15" ht="26.25" customHeight="1" x14ac:dyDescent="0.25">
      <c r="A370" s="820"/>
      <c r="B370" s="821" t="s">
        <v>845</v>
      </c>
      <c r="C370" s="790">
        <f t="shared" si="40"/>
        <v>194</v>
      </c>
      <c r="D370" s="133">
        <v>162</v>
      </c>
      <c r="E370" s="824"/>
      <c r="F370" s="824"/>
      <c r="G370" s="824"/>
      <c r="H370" s="133"/>
      <c r="I370" s="790"/>
      <c r="J370" s="790"/>
      <c r="K370" s="790">
        <v>32</v>
      </c>
      <c r="L370" s="790"/>
      <c r="M370" s="856"/>
      <c r="N370" s="836"/>
      <c r="O370" s="836"/>
    </row>
    <row r="371" spans="1:15" ht="26.25" hidden="1" customHeight="1" x14ac:dyDescent="0.25">
      <c r="A371" s="820"/>
      <c r="B371" s="821"/>
      <c r="C371" s="790"/>
      <c r="D371" s="133"/>
      <c r="E371" s="824"/>
      <c r="F371" s="824"/>
      <c r="G371" s="824"/>
      <c r="H371" s="133"/>
      <c r="I371" s="790"/>
      <c r="J371" s="790"/>
      <c r="K371" s="790"/>
      <c r="L371" s="790"/>
      <c r="M371" s="856"/>
      <c r="N371" s="836"/>
      <c r="O371" s="836"/>
    </row>
    <row r="372" spans="1:15" ht="26.25" hidden="1" customHeight="1" x14ac:dyDescent="0.25">
      <c r="A372" s="820"/>
      <c r="B372" s="821"/>
      <c r="C372" s="790"/>
      <c r="D372" s="133"/>
      <c r="E372" s="824"/>
      <c r="F372" s="824"/>
      <c r="G372" s="824"/>
      <c r="H372" s="133"/>
      <c r="I372" s="790"/>
      <c r="J372" s="790"/>
      <c r="K372" s="790"/>
      <c r="L372" s="790"/>
      <c r="M372" s="856"/>
      <c r="N372" s="836"/>
      <c r="O372" s="836"/>
    </row>
    <row r="373" spans="1:15" ht="28.5" customHeight="1" x14ac:dyDescent="0.25">
      <c r="A373" s="820"/>
      <c r="B373" s="822" t="s">
        <v>846</v>
      </c>
      <c r="C373" s="790">
        <f t="shared" si="40"/>
        <v>1338</v>
      </c>
      <c r="D373" s="133">
        <v>1499</v>
      </c>
      <c r="E373" s="824"/>
      <c r="F373" s="824"/>
      <c r="G373" s="824"/>
      <c r="H373" s="133"/>
      <c r="I373" s="790">
        <v>-161</v>
      </c>
      <c r="J373" s="790"/>
      <c r="K373" s="790"/>
      <c r="L373" s="790"/>
      <c r="M373" s="856"/>
      <c r="N373" s="836"/>
      <c r="O373" s="836"/>
    </row>
    <row r="374" spans="1:15" ht="28.5" customHeight="1" x14ac:dyDescent="0.25">
      <c r="A374" s="820"/>
      <c r="B374" s="822" t="s">
        <v>847</v>
      </c>
      <c r="C374" s="790">
        <f t="shared" si="40"/>
        <v>12</v>
      </c>
      <c r="D374" s="133">
        <v>12</v>
      </c>
      <c r="E374" s="824"/>
      <c r="F374" s="824"/>
      <c r="G374" s="824"/>
      <c r="H374" s="133"/>
      <c r="I374" s="790"/>
      <c r="J374" s="790"/>
      <c r="K374" s="790"/>
      <c r="L374" s="790"/>
      <c r="M374" s="856"/>
      <c r="N374" s="836"/>
      <c r="O374" s="836"/>
    </row>
    <row r="375" spans="1:15" ht="26.25" hidden="1" customHeight="1" x14ac:dyDescent="0.25">
      <c r="A375" s="820"/>
      <c r="B375" s="821"/>
      <c r="C375" s="790"/>
      <c r="D375" s="133"/>
      <c r="E375" s="824"/>
      <c r="F375" s="824"/>
      <c r="G375" s="824"/>
      <c r="H375" s="133"/>
      <c r="I375" s="790"/>
      <c r="J375" s="790"/>
      <c r="K375" s="790"/>
      <c r="L375" s="790"/>
      <c r="M375" s="856"/>
      <c r="N375" s="836"/>
      <c r="O375" s="836"/>
    </row>
    <row r="376" spans="1:15" ht="26.25" hidden="1" customHeight="1" x14ac:dyDescent="0.25">
      <c r="A376" s="820"/>
      <c r="B376" s="821"/>
      <c r="C376" s="790"/>
      <c r="D376" s="133"/>
      <c r="E376" s="824"/>
      <c r="F376" s="824"/>
      <c r="G376" s="824"/>
      <c r="H376" s="133"/>
      <c r="I376" s="790"/>
      <c r="J376" s="790"/>
      <c r="K376" s="790"/>
      <c r="L376" s="790"/>
      <c r="M376" s="856"/>
      <c r="N376" s="836"/>
      <c r="O376" s="836"/>
    </row>
    <row r="377" spans="1:15" ht="23.25" customHeight="1" x14ac:dyDescent="0.25">
      <c r="A377" s="820"/>
      <c r="B377" s="821" t="s">
        <v>848</v>
      </c>
      <c r="C377" s="790">
        <f t="shared" si="40"/>
        <v>77</v>
      </c>
      <c r="D377" s="133">
        <v>77</v>
      </c>
      <c r="E377" s="824"/>
      <c r="F377" s="824"/>
      <c r="G377" s="824"/>
      <c r="H377" s="133"/>
      <c r="I377" s="790"/>
      <c r="J377" s="790"/>
      <c r="K377" s="790"/>
      <c r="L377" s="790"/>
      <c r="M377" s="856"/>
      <c r="N377" s="836"/>
      <c r="O377" s="836"/>
    </row>
    <row r="378" spans="1:15" ht="26.25" hidden="1" customHeight="1" x14ac:dyDescent="0.25">
      <c r="A378" s="820"/>
      <c r="B378" s="821"/>
      <c r="C378" s="790"/>
      <c r="D378" s="133"/>
      <c r="E378" s="824"/>
      <c r="F378" s="824"/>
      <c r="G378" s="824"/>
      <c r="H378" s="133"/>
      <c r="I378" s="790"/>
      <c r="J378" s="790"/>
      <c r="K378" s="790"/>
      <c r="L378" s="790"/>
      <c r="M378" s="856"/>
      <c r="N378" s="836"/>
      <c r="O378" s="836"/>
    </row>
    <row r="379" spans="1:15" ht="26.25" hidden="1" customHeight="1" x14ac:dyDescent="0.25">
      <c r="A379" s="820"/>
      <c r="B379" s="821"/>
      <c r="C379" s="790"/>
      <c r="D379" s="133"/>
      <c r="E379" s="824"/>
      <c r="F379" s="824"/>
      <c r="G379" s="824"/>
      <c r="H379" s="133"/>
      <c r="I379" s="790"/>
      <c r="J379" s="790"/>
      <c r="K379" s="790"/>
      <c r="L379" s="790"/>
      <c r="M379" s="856"/>
      <c r="N379" s="836"/>
      <c r="O379" s="836"/>
    </row>
    <row r="380" spans="1:15" ht="18.75" customHeight="1" x14ac:dyDescent="0.25">
      <c r="A380" s="820" t="s">
        <v>288</v>
      </c>
      <c r="B380" s="822" t="s">
        <v>849</v>
      </c>
      <c r="C380" s="790">
        <f t="shared" si="40"/>
        <v>20</v>
      </c>
      <c r="D380" s="133"/>
      <c r="E380" s="824"/>
      <c r="F380" s="824"/>
      <c r="G380" s="824"/>
      <c r="H380" s="133"/>
      <c r="I380" s="790"/>
      <c r="J380" s="790">
        <v>20</v>
      </c>
      <c r="K380" s="790"/>
      <c r="L380" s="790"/>
      <c r="M380" s="856">
        <f>C380</f>
        <v>20</v>
      </c>
      <c r="N380" s="836"/>
      <c r="O380" s="836"/>
    </row>
    <row r="381" spans="1:15" ht="16.5" customHeight="1" x14ac:dyDescent="0.25">
      <c r="A381" s="820" t="s">
        <v>288</v>
      </c>
      <c r="B381" s="821" t="s">
        <v>850</v>
      </c>
      <c r="C381" s="790">
        <f t="shared" si="40"/>
        <v>6022</v>
      </c>
      <c r="D381" s="133">
        <v>6022</v>
      </c>
      <c r="E381" s="824"/>
      <c r="F381" s="824"/>
      <c r="G381" s="824"/>
      <c r="H381" s="133"/>
      <c r="I381" s="790"/>
      <c r="J381" s="790"/>
      <c r="K381" s="790"/>
      <c r="L381" s="790"/>
      <c r="M381" s="856">
        <f t="shared" ref="M381:M388" si="44">C381</f>
        <v>6022</v>
      </c>
      <c r="N381" s="836"/>
      <c r="O381" s="836"/>
    </row>
    <row r="382" spans="1:15" ht="26.25" hidden="1" customHeight="1" x14ac:dyDescent="0.25">
      <c r="A382" s="820"/>
      <c r="B382" s="822"/>
      <c r="C382" s="790"/>
      <c r="D382" s="133"/>
      <c r="E382" s="824"/>
      <c r="F382" s="824"/>
      <c r="G382" s="824"/>
      <c r="H382" s="133"/>
      <c r="I382" s="790"/>
      <c r="J382" s="790"/>
      <c r="K382" s="790"/>
      <c r="L382" s="790"/>
      <c r="M382" s="856">
        <f t="shared" si="44"/>
        <v>0</v>
      </c>
      <c r="N382" s="836"/>
      <c r="O382" s="836"/>
    </row>
    <row r="383" spans="1:15" ht="23.25" customHeight="1" x14ac:dyDescent="0.25">
      <c r="A383" s="820" t="s">
        <v>288</v>
      </c>
      <c r="B383" s="821" t="s">
        <v>851</v>
      </c>
      <c r="C383" s="790">
        <f t="shared" si="40"/>
        <v>71</v>
      </c>
      <c r="D383" s="133">
        <v>71</v>
      </c>
      <c r="E383" s="824"/>
      <c r="F383" s="824"/>
      <c r="G383" s="824"/>
      <c r="H383" s="133"/>
      <c r="I383" s="790"/>
      <c r="J383" s="790"/>
      <c r="K383" s="790"/>
      <c r="L383" s="790"/>
      <c r="M383" s="856">
        <f t="shared" si="44"/>
        <v>71</v>
      </c>
      <c r="N383" s="836"/>
      <c r="O383" s="836"/>
    </row>
    <row r="384" spans="1:15" ht="23.25" hidden="1" customHeight="1" x14ac:dyDescent="0.25">
      <c r="A384" s="820"/>
      <c r="B384" s="821"/>
      <c r="C384" s="790"/>
      <c r="D384" s="133"/>
      <c r="E384" s="824"/>
      <c r="F384" s="824"/>
      <c r="G384" s="824"/>
      <c r="H384" s="133"/>
      <c r="I384" s="790"/>
      <c r="J384" s="790"/>
      <c r="K384" s="790"/>
      <c r="L384" s="790"/>
      <c r="M384" s="856">
        <f t="shared" si="44"/>
        <v>0</v>
      </c>
      <c r="N384" s="836"/>
      <c r="O384" s="836"/>
    </row>
    <row r="385" spans="1:15" ht="26.25" hidden="1" customHeight="1" x14ac:dyDescent="0.25">
      <c r="A385" s="820"/>
      <c r="B385" s="821"/>
      <c r="C385" s="790"/>
      <c r="D385" s="133"/>
      <c r="E385" s="824"/>
      <c r="F385" s="824"/>
      <c r="G385" s="824"/>
      <c r="H385" s="133"/>
      <c r="I385" s="790"/>
      <c r="J385" s="790"/>
      <c r="K385" s="790"/>
      <c r="L385" s="790"/>
      <c r="M385" s="856">
        <f t="shared" si="44"/>
        <v>0</v>
      </c>
      <c r="N385" s="836"/>
      <c r="O385" s="836"/>
    </row>
    <row r="386" spans="1:15" ht="26.25" hidden="1" customHeight="1" x14ac:dyDescent="0.25">
      <c r="A386" s="820"/>
      <c r="B386" s="821"/>
      <c r="C386" s="790"/>
      <c r="D386" s="133"/>
      <c r="E386" s="824"/>
      <c r="F386" s="824"/>
      <c r="G386" s="824"/>
      <c r="H386" s="133"/>
      <c r="I386" s="790"/>
      <c r="J386" s="790"/>
      <c r="K386" s="790"/>
      <c r="L386" s="790"/>
      <c r="M386" s="856">
        <f t="shared" si="44"/>
        <v>0</v>
      </c>
      <c r="N386" s="836"/>
      <c r="O386" s="836"/>
    </row>
    <row r="387" spans="1:15" ht="23.25" customHeight="1" x14ac:dyDescent="0.25">
      <c r="A387" s="820" t="s">
        <v>288</v>
      </c>
      <c r="B387" s="821" t="s">
        <v>854</v>
      </c>
      <c r="C387" s="790">
        <f>SUM(D387:K387)</f>
        <v>319</v>
      </c>
      <c r="D387" s="133"/>
      <c r="E387" s="824"/>
      <c r="F387" s="824"/>
      <c r="G387" s="824"/>
      <c r="H387" s="133">
        <v>319</v>
      </c>
      <c r="I387" s="790"/>
      <c r="J387" s="790"/>
      <c r="K387" s="790"/>
      <c r="L387" s="790"/>
      <c r="M387" s="856">
        <f t="shared" si="44"/>
        <v>319</v>
      </c>
      <c r="N387" s="836"/>
      <c r="O387" s="836"/>
    </row>
    <row r="388" spans="1:15" ht="23.25" customHeight="1" x14ac:dyDescent="0.25">
      <c r="A388" s="828" t="s">
        <v>288</v>
      </c>
      <c r="B388" s="829" t="s">
        <v>855</v>
      </c>
      <c r="C388" s="830">
        <f>SUM(D388:L388)</f>
        <v>49</v>
      </c>
      <c r="D388" s="165">
        <v>38</v>
      </c>
      <c r="E388" s="831"/>
      <c r="F388" s="831"/>
      <c r="G388" s="831"/>
      <c r="H388" s="165"/>
      <c r="I388" s="830"/>
      <c r="J388" s="830"/>
      <c r="K388" s="830"/>
      <c r="L388" s="830">
        <v>11</v>
      </c>
      <c r="M388" s="856">
        <f t="shared" si="44"/>
        <v>49</v>
      </c>
      <c r="N388" s="836"/>
      <c r="O388" s="836"/>
    </row>
  </sheetData>
  <mergeCells count="2">
    <mergeCell ref="A208:B208"/>
    <mergeCell ref="P340:S343"/>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382"/>
  <sheetViews>
    <sheetView workbookViewId="0">
      <pane xSplit="3" ySplit="2" topLeftCell="D3" activePane="bottomRight" state="frozen"/>
      <selection pane="topRight" activeCell="D1" sqref="D1"/>
      <selection pane="bottomLeft" activeCell="A3" sqref="A3"/>
      <selection pane="bottomRight" activeCell="P361" sqref="P361"/>
    </sheetView>
  </sheetViews>
  <sheetFormatPr defaultColWidth="21.5" defaultRowHeight="15" x14ac:dyDescent="0.25"/>
  <cols>
    <col min="1" max="1" width="6.375" style="161" customWidth="1"/>
    <col min="2" max="2" width="22" style="132" customWidth="1"/>
    <col min="3" max="3" width="9.875" style="132" customWidth="1"/>
    <col min="4" max="4" width="9.875" style="166" customWidth="1"/>
    <col min="5" max="7" width="9" style="166" customWidth="1"/>
    <col min="8" max="8" width="9" style="167" customWidth="1"/>
    <col min="9" max="9" width="9.875" style="166" customWidth="1"/>
    <col min="10" max="12" width="9" style="166" customWidth="1"/>
    <col min="13" max="14" width="6.875" style="132" customWidth="1"/>
    <col min="15" max="15" width="6.125" style="132" customWidth="1"/>
    <col min="16" max="16" width="8" style="132" customWidth="1"/>
    <col min="17" max="17" width="8.75" style="132" customWidth="1"/>
    <col min="18" max="18" width="10.125" style="132" customWidth="1"/>
    <col min="19" max="19" width="13.875" style="132" customWidth="1"/>
    <col min="20" max="20" width="12.375" style="132" customWidth="1"/>
    <col min="21" max="258" width="21.5" style="132"/>
    <col min="259" max="259" width="6.375" style="132" customWidth="1"/>
    <col min="260" max="260" width="22" style="132" customWidth="1"/>
    <col min="261" max="262" width="9.875" style="132" customWidth="1"/>
    <col min="263" max="266" width="9" style="132" customWidth="1"/>
    <col min="267" max="267" width="9.875" style="132" customWidth="1"/>
    <col min="268" max="270" width="9" style="132" customWidth="1"/>
    <col min="271" max="271" width="9.625" style="132" customWidth="1"/>
    <col min="272" max="272" width="10.375" style="132" customWidth="1"/>
    <col min="273" max="273" width="9.5" style="132" customWidth="1"/>
    <col min="274" max="514" width="21.5" style="132"/>
    <col min="515" max="515" width="6.375" style="132" customWidth="1"/>
    <col min="516" max="516" width="22" style="132" customWidth="1"/>
    <col min="517" max="518" width="9.875" style="132" customWidth="1"/>
    <col min="519" max="522" width="9" style="132" customWidth="1"/>
    <col min="523" max="523" width="9.875" style="132" customWidth="1"/>
    <col min="524" max="526" width="9" style="132" customWidth="1"/>
    <col min="527" max="527" width="9.625" style="132" customWidth="1"/>
    <col min="528" max="528" width="10.375" style="132" customWidth="1"/>
    <col min="529" max="529" width="9.5" style="132" customWidth="1"/>
    <col min="530" max="770" width="21.5" style="132"/>
    <col min="771" max="771" width="6.375" style="132" customWidth="1"/>
    <col min="772" max="772" width="22" style="132" customWidth="1"/>
    <col min="773" max="774" width="9.875" style="132" customWidth="1"/>
    <col min="775" max="778" width="9" style="132" customWidth="1"/>
    <col min="779" max="779" width="9.875" style="132" customWidth="1"/>
    <col min="780" max="782" width="9" style="132" customWidth="1"/>
    <col min="783" max="783" width="9.625" style="132" customWidth="1"/>
    <col min="784" max="784" width="10.375" style="132" customWidth="1"/>
    <col min="785" max="785" width="9.5" style="132" customWidth="1"/>
    <col min="786" max="1026" width="21.5" style="132"/>
    <col min="1027" max="1027" width="6.375" style="132" customWidth="1"/>
    <col min="1028" max="1028" width="22" style="132" customWidth="1"/>
    <col min="1029" max="1030" width="9.875" style="132" customWidth="1"/>
    <col min="1031" max="1034" width="9" style="132" customWidth="1"/>
    <col min="1035" max="1035" width="9.875" style="132" customWidth="1"/>
    <col min="1036" max="1038" width="9" style="132" customWidth="1"/>
    <col min="1039" max="1039" width="9.625" style="132" customWidth="1"/>
    <col min="1040" max="1040" width="10.375" style="132" customWidth="1"/>
    <col min="1041" max="1041" width="9.5" style="132" customWidth="1"/>
    <col min="1042" max="1282" width="21.5" style="132"/>
    <col min="1283" max="1283" width="6.375" style="132" customWidth="1"/>
    <col min="1284" max="1284" width="22" style="132" customWidth="1"/>
    <col min="1285" max="1286" width="9.875" style="132" customWidth="1"/>
    <col min="1287" max="1290" width="9" style="132" customWidth="1"/>
    <col min="1291" max="1291" width="9.875" style="132" customWidth="1"/>
    <col min="1292" max="1294" width="9" style="132" customWidth="1"/>
    <col min="1295" max="1295" width="9.625" style="132" customWidth="1"/>
    <col min="1296" max="1296" width="10.375" style="132" customWidth="1"/>
    <col min="1297" max="1297" width="9.5" style="132" customWidth="1"/>
    <col min="1298" max="1538" width="21.5" style="132"/>
    <col min="1539" max="1539" width="6.375" style="132" customWidth="1"/>
    <col min="1540" max="1540" width="22" style="132" customWidth="1"/>
    <col min="1541" max="1542" width="9.875" style="132" customWidth="1"/>
    <col min="1543" max="1546" width="9" style="132" customWidth="1"/>
    <col min="1547" max="1547" width="9.875" style="132" customWidth="1"/>
    <col min="1548" max="1550" width="9" style="132" customWidth="1"/>
    <col min="1551" max="1551" width="9.625" style="132" customWidth="1"/>
    <col min="1552" max="1552" width="10.375" style="132" customWidth="1"/>
    <col min="1553" max="1553" width="9.5" style="132" customWidth="1"/>
    <col min="1554" max="1794" width="21.5" style="132"/>
    <col min="1795" max="1795" width="6.375" style="132" customWidth="1"/>
    <col min="1796" max="1796" width="22" style="132" customWidth="1"/>
    <col min="1797" max="1798" width="9.875" style="132" customWidth="1"/>
    <col min="1799" max="1802" width="9" style="132" customWidth="1"/>
    <col min="1803" max="1803" width="9.875" style="132" customWidth="1"/>
    <col min="1804" max="1806" width="9" style="132" customWidth="1"/>
    <col min="1807" max="1807" width="9.625" style="132" customWidth="1"/>
    <col min="1808" max="1808" width="10.375" style="132" customWidth="1"/>
    <col min="1809" max="1809" width="9.5" style="132" customWidth="1"/>
    <col min="1810" max="2050" width="21.5" style="132"/>
    <col min="2051" max="2051" width="6.375" style="132" customWidth="1"/>
    <col min="2052" max="2052" width="22" style="132" customWidth="1"/>
    <col min="2053" max="2054" width="9.875" style="132" customWidth="1"/>
    <col min="2055" max="2058" width="9" style="132" customWidth="1"/>
    <col min="2059" max="2059" width="9.875" style="132" customWidth="1"/>
    <col min="2060" max="2062" width="9" style="132" customWidth="1"/>
    <col min="2063" max="2063" width="9.625" style="132" customWidth="1"/>
    <col min="2064" max="2064" width="10.375" style="132" customWidth="1"/>
    <col min="2065" max="2065" width="9.5" style="132" customWidth="1"/>
    <col min="2066" max="2306" width="21.5" style="132"/>
    <col min="2307" max="2307" width="6.375" style="132" customWidth="1"/>
    <col min="2308" max="2308" width="22" style="132" customWidth="1"/>
    <col min="2309" max="2310" width="9.875" style="132" customWidth="1"/>
    <col min="2311" max="2314" width="9" style="132" customWidth="1"/>
    <col min="2315" max="2315" width="9.875" style="132" customWidth="1"/>
    <col min="2316" max="2318" width="9" style="132" customWidth="1"/>
    <col min="2319" max="2319" width="9.625" style="132" customWidth="1"/>
    <col min="2320" max="2320" width="10.375" style="132" customWidth="1"/>
    <col min="2321" max="2321" width="9.5" style="132" customWidth="1"/>
    <col min="2322" max="2562" width="21.5" style="132"/>
    <col min="2563" max="2563" width="6.375" style="132" customWidth="1"/>
    <col min="2564" max="2564" width="22" style="132" customWidth="1"/>
    <col min="2565" max="2566" width="9.875" style="132" customWidth="1"/>
    <col min="2567" max="2570" width="9" style="132" customWidth="1"/>
    <col min="2571" max="2571" width="9.875" style="132" customWidth="1"/>
    <col min="2572" max="2574" width="9" style="132" customWidth="1"/>
    <col min="2575" max="2575" width="9.625" style="132" customWidth="1"/>
    <col min="2576" max="2576" width="10.375" style="132" customWidth="1"/>
    <col min="2577" max="2577" width="9.5" style="132" customWidth="1"/>
    <col min="2578" max="2818" width="21.5" style="132"/>
    <col min="2819" max="2819" width="6.375" style="132" customWidth="1"/>
    <col min="2820" max="2820" width="22" style="132" customWidth="1"/>
    <col min="2821" max="2822" width="9.875" style="132" customWidth="1"/>
    <col min="2823" max="2826" width="9" style="132" customWidth="1"/>
    <col min="2827" max="2827" width="9.875" style="132" customWidth="1"/>
    <col min="2828" max="2830" width="9" style="132" customWidth="1"/>
    <col min="2831" max="2831" width="9.625" style="132" customWidth="1"/>
    <col min="2832" max="2832" width="10.375" style="132" customWidth="1"/>
    <col min="2833" max="2833" width="9.5" style="132" customWidth="1"/>
    <col min="2834" max="3074" width="21.5" style="132"/>
    <col min="3075" max="3075" width="6.375" style="132" customWidth="1"/>
    <col min="3076" max="3076" width="22" style="132" customWidth="1"/>
    <col min="3077" max="3078" width="9.875" style="132" customWidth="1"/>
    <col min="3079" max="3082" width="9" style="132" customWidth="1"/>
    <col min="3083" max="3083" width="9.875" style="132" customWidth="1"/>
    <col min="3084" max="3086" width="9" style="132" customWidth="1"/>
    <col min="3087" max="3087" width="9.625" style="132" customWidth="1"/>
    <col min="3088" max="3088" width="10.375" style="132" customWidth="1"/>
    <col min="3089" max="3089" width="9.5" style="132" customWidth="1"/>
    <col min="3090" max="3330" width="21.5" style="132"/>
    <col min="3331" max="3331" width="6.375" style="132" customWidth="1"/>
    <col min="3332" max="3332" width="22" style="132" customWidth="1"/>
    <col min="3333" max="3334" width="9.875" style="132" customWidth="1"/>
    <col min="3335" max="3338" width="9" style="132" customWidth="1"/>
    <col min="3339" max="3339" width="9.875" style="132" customWidth="1"/>
    <col min="3340" max="3342" width="9" style="132" customWidth="1"/>
    <col min="3343" max="3343" width="9.625" style="132" customWidth="1"/>
    <col min="3344" max="3344" width="10.375" style="132" customWidth="1"/>
    <col min="3345" max="3345" width="9.5" style="132" customWidth="1"/>
    <col min="3346" max="3586" width="21.5" style="132"/>
    <col min="3587" max="3587" width="6.375" style="132" customWidth="1"/>
    <col min="3588" max="3588" width="22" style="132" customWidth="1"/>
    <col min="3589" max="3590" width="9.875" style="132" customWidth="1"/>
    <col min="3591" max="3594" width="9" style="132" customWidth="1"/>
    <col min="3595" max="3595" width="9.875" style="132" customWidth="1"/>
    <col min="3596" max="3598" width="9" style="132" customWidth="1"/>
    <col min="3599" max="3599" width="9.625" style="132" customWidth="1"/>
    <col min="3600" max="3600" width="10.375" style="132" customWidth="1"/>
    <col min="3601" max="3601" width="9.5" style="132" customWidth="1"/>
    <col min="3602" max="3842" width="21.5" style="132"/>
    <col min="3843" max="3843" width="6.375" style="132" customWidth="1"/>
    <col min="3844" max="3844" width="22" style="132" customWidth="1"/>
    <col min="3845" max="3846" width="9.875" style="132" customWidth="1"/>
    <col min="3847" max="3850" width="9" style="132" customWidth="1"/>
    <col min="3851" max="3851" width="9.875" style="132" customWidth="1"/>
    <col min="3852" max="3854" width="9" style="132" customWidth="1"/>
    <col min="3855" max="3855" width="9.625" style="132" customWidth="1"/>
    <col min="3856" max="3856" width="10.375" style="132" customWidth="1"/>
    <col min="3857" max="3857" width="9.5" style="132" customWidth="1"/>
    <col min="3858" max="4098" width="21.5" style="132"/>
    <col min="4099" max="4099" width="6.375" style="132" customWidth="1"/>
    <col min="4100" max="4100" width="22" style="132" customWidth="1"/>
    <col min="4101" max="4102" width="9.875" style="132" customWidth="1"/>
    <col min="4103" max="4106" width="9" style="132" customWidth="1"/>
    <col min="4107" max="4107" width="9.875" style="132" customWidth="1"/>
    <col min="4108" max="4110" width="9" style="132" customWidth="1"/>
    <col min="4111" max="4111" width="9.625" style="132" customWidth="1"/>
    <col min="4112" max="4112" width="10.375" style="132" customWidth="1"/>
    <col min="4113" max="4113" width="9.5" style="132" customWidth="1"/>
    <col min="4114" max="4354" width="21.5" style="132"/>
    <col min="4355" max="4355" width="6.375" style="132" customWidth="1"/>
    <col min="4356" max="4356" width="22" style="132" customWidth="1"/>
    <col min="4357" max="4358" width="9.875" style="132" customWidth="1"/>
    <col min="4359" max="4362" width="9" style="132" customWidth="1"/>
    <col min="4363" max="4363" width="9.875" style="132" customWidth="1"/>
    <col min="4364" max="4366" width="9" style="132" customWidth="1"/>
    <col min="4367" max="4367" width="9.625" style="132" customWidth="1"/>
    <col min="4368" max="4368" width="10.375" style="132" customWidth="1"/>
    <col min="4369" max="4369" width="9.5" style="132" customWidth="1"/>
    <col min="4370" max="4610" width="21.5" style="132"/>
    <col min="4611" max="4611" width="6.375" style="132" customWidth="1"/>
    <col min="4612" max="4612" width="22" style="132" customWidth="1"/>
    <col min="4613" max="4614" width="9.875" style="132" customWidth="1"/>
    <col min="4615" max="4618" width="9" style="132" customWidth="1"/>
    <col min="4619" max="4619" width="9.875" style="132" customWidth="1"/>
    <col min="4620" max="4622" width="9" style="132" customWidth="1"/>
    <col min="4623" max="4623" width="9.625" style="132" customWidth="1"/>
    <col min="4624" max="4624" width="10.375" style="132" customWidth="1"/>
    <col min="4625" max="4625" width="9.5" style="132" customWidth="1"/>
    <col min="4626" max="4866" width="21.5" style="132"/>
    <col min="4867" max="4867" width="6.375" style="132" customWidth="1"/>
    <col min="4868" max="4868" width="22" style="132" customWidth="1"/>
    <col min="4869" max="4870" width="9.875" style="132" customWidth="1"/>
    <col min="4871" max="4874" width="9" style="132" customWidth="1"/>
    <col min="4875" max="4875" width="9.875" style="132" customWidth="1"/>
    <col min="4876" max="4878" width="9" style="132" customWidth="1"/>
    <col min="4879" max="4879" width="9.625" style="132" customWidth="1"/>
    <col min="4880" max="4880" width="10.375" style="132" customWidth="1"/>
    <col min="4881" max="4881" width="9.5" style="132" customWidth="1"/>
    <col min="4882" max="5122" width="21.5" style="132"/>
    <col min="5123" max="5123" width="6.375" style="132" customWidth="1"/>
    <col min="5124" max="5124" width="22" style="132" customWidth="1"/>
    <col min="5125" max="5126" width="9.875" style="132" customWidth="1"/>
    <col min="5127" max="5130" width="9" style="132" customWidth="1"/>
    <col min="5131" max="5131" width="9.875" style="132" customWidth="1"/>
    <col min="5132" max="5134" width="9" style="132" customWidth="1"/>
    <col min="5135" max="5135" width="9.625" style="132" customWidth="1"/>
    <col min="5136" max="5136" width="10.375" style="132" customWidth="1"/>
    <col min="5137" max="5137" width="9.5" style="132" customWidth="1"/>
    <col min="5138" max="5378" width="21.5" style="132"/>
    <col min="5379" max="5379" width="6.375" style="132" customWidth="1"/>
    <col min="5380" max="5380" width="22" style="132" customWidth="1"/>
    <col min="5381" max="5382" width="9.875" style="132" customWidth="1"/>
    <col min="5383" max="5386" width="9" style="132" customWidth="1"/>
    <col min="5387" max="5387" width="9.875" style="132" customWidth="1"/>
    <col min="5388" max="5390" width="9" style="132" customWidth="1"/>
    <col min="5391" max="5391" width="9.625" style="132" customWidth="1"/>
    <col min="5392" max="5392" width="10.375" style="132" customWidth="1"/>
    <col min="5393" max="5393" width="9.5" style="132" customWidth="1"/>
    <col min="5394" max="5634" width="21.5" style="132"/>
    <col min="5635" max="5635" width="6.375" style="132" customWidth="1"/>
    <col min="5636" max="5636" width="22" style="132" customWidth="1"/>
    <col min="5637" max="5638" width="9.875" style="132" customWidth="1"/>
    <col min="5639" max="5642" width="9" style="132" customWidth="1"/>
    <col min="5643" max="5643" width="9.875" style="132" customWidth="1"/>
    <col min="5644" max="5646" width="9" style="132" customWidth="1"/>
    <col min="5647" max="5647" width="9.625" style="132" customWidth="1"/>
    <col min="5648" max="5648" width="10.375" style="132" customWidth="1"/>
    <col min="5649" max="5649" width="9.5" style="132" customWidth="1"/>
    <col min="5650" max="5890" width="21.5" style="132"/>
    <col min="5891" max="5891" width="6.375" style="132" customWidth="1"/>
    <col min="5892" max="5892" width="22" style="132" customWidth="1"/>
    <col min="5893" max="5894" width="9.875" style="132" customWidth="1"/>
    <col min="5895" max="5898" width="9" style="132" customWidth="1"/>
    <col min="5899" max="5899" width="9.875" style="132" customWidth="1"/>
    <col min="5900" max="5902" width="9" style="132" customWidth="1"/>
    <col min="5903" max="5903" width="9.625" style="132" customWidth="1"/>
    <col min="5904" max="5904" width="10.375" style="132" customWidth="1"/>
    <col min="5905" max="5905" width="9.5" style="132" customWidth="1"/>
    <col min="5906" max="6146" width="21.5" style="132"/>
    <col min="6147" max="6147" width="6.375" style="132" customWidth="1"/>
    <col min="6148" max="6148" width="22" style="132" customWidth="1"/>
    <col min="6149" max="6150" width="9.875" style="132" customWidth="1"/>
    <col min="6151" max="6154" width="9" style="132" customWidth="1"/>
    <col min="6155" max="6155" width="9.875" style="132" customWidth="1"/>
    <col min="6156" max="6158" width="9" style="132" customWidth="1"/>
    <col min="6159" max="6159" width="9.625" style="132" customWidth="1"/>
    <col min="6160" max="6160" width="10.375" style="132" customWidth="1"/>
    <col min="6161" max="6161" width="9.5" style="132" customWidth="1"/>
    <col min="6162" max="6402" width="21.5" style="132"/>
    <col min="6403" max="6403" width="6.375" style="132" customWidth="1"/>
    <col min="6404" max="6404" width="22" style="132" customWidth="1"/>
    <col min="6405" max="6406" width="9.875" style="132" customWidth="1"/>
    <col min="6407" max="6410" width="9" style="132" customWidth="1"/>
    <col min="6411" max="6411" width="9.875" style="132" customWidth="1"/>
    <col min="6412" max="6414" width="9" style="132" customWidth="1"/>
    <col min="6415" max="6415" width="9.625" style="132" customWidth="1"/>
    <col min="6416" max="6416" width="10.375" style="132" customWidth="1"/>
    <col min="6417" max="6417" width="9.5" style="132" customWidth="1"/>
    <col min="6418" max="6658" width="21.5" style="132"/>
    <col min="6659" max="6659" width="6.375" style="132" customWidth="1"/>
    <col min="6660" max="6660" width="22" style="132" customWidth="1"/>
    <col min="6661" max="6662" width="9.875" style="132" customWidth="1"/>
    <col min="6663" max="6666" width="9" style="132" customWidth="1"/>
    <col min="6667" max="6667" width="9.875" style="132" customWidth="1"/>
    <col min="6668" max="6670" width="9" style="132" customWidth="1"/>
    <col min="6671" max="6671" width="9.625" style="132" customWidth="1"/>
    <col min="6672" max="6672" width="10.375" style="132" customWidth="1"/>
    <col min="6673" max="6673" width="9.5" style="132" customWidth="1"/>
    <col min="6674" max="6914" width="21.5" style="132"/>
    <col min="6915" max="6915" width="6.375" style="132" customWidth="1"/>
    <col min="6916" max="6916" width="22" style="132" customWidth="1"/>
    <col min="6917" max="6918" width="9.875" style="132" customWidth="1"/>
    <col min="6919" max="6922" width="9" style="132" customWidth="1"/>
    <col min="6923" max="6923" width="9.875" style="132" customWidth="1"/>
    <col min="6924" max="6926" width="9" style="132" customWidth="1"/>
    <col min="6927" max="6927" width="9.625" style="132" customWidth="1"/>
    <col min="6928" max="6928" width="10.375" style="132" customWidth="1"/>
    <col min="6929" max="6929" width="9.5" style="132" customWidth="1"/>
    <col min="6930" max="7170" width="21.5" style="132"/>
    <col min="7171" max="7171" width="6.375" style="132" customWidth="1"/>
    <col min="7172" max="7172" width="22" style="132" customWidth="1"/>
    <col min="7173" max="7174" width="9.875" style="132" customWidth="1"/>
    <col min="7175" max="7178" width="9" style="132" customWidth="1"/>
    <col min="7179" max="7179" width="9.875" style="132" customWidth="1"/>
    <col min="7180" max="7182" width="9" style="132" customWidth="1"/>
    <col min="7183" max="7183" width="9.625" style="132" customWidth="1"/>
    <col min="7184" max="7184" width="10.375" style="132" customWidth="1"/>
    <col min="7185" max="7185" width="9.5" style="132" customWidth="1"/>
    <col min="7186" max="7426" width="21.5" style="132"/>
    <col min="7427" max="7427" width="6.375" style="132" customWidth="1"/>
    <col min="7428" max="7428" width="22" style="132" customWidth="1"/>
    <col min="7429" max="7430" width="9.875" style="132" customWidth="1"/>
    <col min="7431" max="7434" width="9" style="132" customWidth="1"/>
    <col min="7435" max="7435" width="9.875" style="132" customWidth="1"/>
    <col min="7436" max="7438" width="9" style="132" customWidth="1"/>
    <col min="7439" max="7439" width="9.625" style="132" customWidth="1"/>
    <col min="7440" max="7440" width="10.375" style="132" customWidth="1"/>
    <col min="7441" max="7441" width="9.5" style="132" customWidth="1"/>
    <col min="7442" max="7682" width="21.5" style="132"/>
    <col min="7683" max="7683" width="6.375" style="132" customWidth="1"/>
    <col min="7684" max="7684" width="22" style="132" customWidth="1"/>
    <col min="7685" max="7686" width="9.875" style="132" customWidth="1"/>
    <col min="7687" max="7690" width="9" style="132" customWidth="1"/>
    <col min="7691" max="7691" width="9.875" style="132" customWidth="1"/>
    <col min="7692" max="7694" width="9" style="132" customWidth="1"/>
    <col min="7695" max="7695" width="9.625" style="132" customWidth="1"/>
    <col min="7696" max="7696" width="10.375" style="132" customWidth="1"/>
    <col min="7697" max="7697" width="9.5" style="132" customWidth="1"/>
    <col min="7698" max="7938" width="21.5" style="132"/>
    <col min="7939" max="7939" width="6.375" style="132" customWidth="1"/>
    <col min="7940" max="7940" width="22" style="132" customWidth="1"/>
    <col min="7941" max="7942" width="9.875" style="132" customWidth="1"/>
    <col min="7943" max="7946" width="9" style="132" customWidth="1"/>
    <col min="7947" max="7947" width="9.875" style="132" customWidth="1"/>
    <col min="7948" max="7950" width="9" style="132" customWidth="1"/>
    <col min="7951" max="7951" width="9.625" style="132" customWidth="1"/>
    <col min="7952" max="7952" width="10.375" style="132" customWidth="1"/>
    <col min="7953" max="7953" width="9.5" style="132" customWidth="1"/>
    <col min="7954" max="8194" width="21.5" style="132"/>
    <col min="8195" max="8195" width="6.375" style="132" customWidth="1"/>
    <col min="8196" max="8196" width="22" style="132" customWidth="1"/>
    <col min="8197" max="8198" width="9.875" style="132" customWidth="1"/>
    <col min="8199" max="8202" width="9" style="132" customWidth="1"/>
    <col min="8203" max="8203" width="9.875" style="132" customWidth="1"/>
    <col min="8204" max="8206" width="9" style="132" customWidth="1"/>
    <col min="8207" max="8207" width="9.625" style="132" customWidth="1"/>
    <col min="8208" max="8208" width="10.375" style="132" customWidth="1"/>
    <col min="8209" max="8209" width="9.5" style="132" customWidth="1"/>
    <col min="8210" max="8450" width="21.5" style="132"/>
    <col min="8451" max="8451" width="6.375" style="132" customWidth="1"/>
    <col min="8452" max="8452" width="22" style="132" customWidth="1"/>
    <col min="8453" max="8454" width="9.875" style="132" customWidth="1"/>
    <col min="8455" max="8458" width="9" style="132" customWidth="1"/>
    <col min="8459" max="8459" width="9.875" style="132" customWidth="1"/>
    <col min="8460" max="8462" width="9" style="132" customWidth="1"/>
    <col min="8463" max="8463" width="9.625" style="132" customWidth="1"/>
    <col min="8464" max="8464" width="10.375" style="132" customWidth="1"/>
    <col min="8465" max="8465" width="9.5" style="132" customWidth="1"/>
    <col min="8466" max="8706" width="21.5" style="132"/>
    <col min="8707" max="8707" width="6.375" style="132" customWidth="1"/>
    <col min="8708" max="8708" width="22" style="132" customWidth="1"/>
    <col min="8709" max="8710" width="9.875" style="132" customWidth="1"/>
    <col min="8711" max="8714" width="9" style="132" customWidth="1"/>
    <col min="8715" max="8715" width="9.875" style="132" customWidth="1"/>
    <col min="8716" max="8718" width="9" style="132" customWidth="1"/>
    <col min="8719" max="8719" width="9.625" style="132" customWidth="1"/>
    <col min="8720" max="8720" width="10.375" style="132" customWidth="1"/>
    <col min="8721" max="8721" width="9.5" style="132" customWidth="1"/>
    <col min="8722" max="8962" width="21.5" style="132"/>
    <col min="8963" max="8963" width="6.375" style="132" customWidth="1"/>
    <col min="8964" max="8964" width="22" style="132" customWidth="1"/>
    <col min="8965" max="8966" width="9.875" style="132" customWidth="1"/>
    <col min="8967" max="8970" width="9" style="132" customWidth="1"/>
    <col min="8971" max="8971" width="9.875" style="132" customWidth="1"/>
    <col min="8972" max="8974" width="9" style="132" customWidth="1"/>
    <col min="8975" max="8975" width="9.625" style="132" customWidth="1"/>
    <col min="8976" max="8976" width="10.375" style="132" customWidth="1"/>
    <col min="8977" max="8977" width="9.5" style="132" customWidth="1"/>
    <col min="8978" max="9218" width="21.5" style="132"/>
    <col min="9219" max="9219" width="6.375" style="132" customWidth="1"/>
    <col min="9220" max="9220" width="22" style="132" customWidth="1"/>
    <col min="9221" max="9222" width="9.875" style="132" customWidth="1"/>
    <col min="9223" max="9226" width="9" style="132" customWidth="1"/>
    <col min="9227" max="9227" width="9.875" style="132" customWidth="1"/>
    <col min="9228" max="9230" width="9" style="132" customWidth="1"/>
    <col min="9231" max="9231" width="9.625" style="132" customWidth="1"/>
    <col min="9232" max="9232" width="10.375" style="132" customWidth="1"/>
    <col min="9233" max="9233" width="9.5" style="132" customWidth="1"/>
    <col min="9234" max="9474" width="21.5" style="132"/>
    <col min="9475" max="9475" width="6.375" style="132" customWidth="1"/>
    <col min="9476" max="9476" width="22" style="132" customWidth="1"/>
    <col min="9477" max="9478" width="9.875" style="132" customWidth="1"/>
    <col min="9479" max="9482" width="9" style="132" customWidth="1"/>
    <col min="9483" max="9483" width="9.875" style="132" customWidth="1"/>
    <col min="9484" max="9486" width="9" style="132" customWidth="1"/>
    <col min="9487" max="9487" width="9.625" style="132" customWidth="1"/>
    <col min="9488" max="9488" width="10.375" style="132" customWidth="1"/>
    <col min="9489" max="9489" width="9.5" style="132" customWidth="1"/>
    <col min="9490" max="9730" width="21.5" style="132"/>
    <col min="9731" max="9731" width="6.375" style="132" customWidth="1"/>
    <col min="9732" max="9732" width="22" style="132" customWidth="1"/>
    <col min="9733" max="9734" width="9.875" style="132" customWidth="1"/>
    <col min="9735" max="9738" width="9" style="132" customWidth="1"/>
    <col min="9739" max="9739" width="9.875" style="132" customWidth="1"/>
    <col min="9740" max="9742" width="9" style="132" customWidth="1"/>
    <col min="9743" max="9743" width="9.625" style="132" customWidth="1"/>
    <col min="9744" max="9744" width="10.375" style="132" customWidth="1"/>
    <col min="9745" max="9745" width="9.5" style="132" customWidth="1"/>
    <col min="9746" max="9986" width="21.5" style="132"/>
    <col min="9987" max="9987" width="6.375" style="132" customWidth="1"/>
    <col min="9988" max="9988" width="22" style="132" customWidth="1"/>
    <col min="9989" max="9990" width="9.875" style="132" customWidth="1"/>
    <col min="9991" max="9994" width="9" style="132" customWidth="1"/>
    <col min="9995" max="9995" width="9.875" style="132" customWidth="1"/>
    <col min="9996" max="9998" width="9" style="132" customWidth="1"/>
    <col min="9999" max="9999" width="9.625" style="132" customWidth="1"/>
    <col min="10000" max="10000" width="10.375" style="132" customWidth="1"/>
    <col min="10001" max="10001" width="9.5" style="132" customWidth="1"/>
    <col min="10002" max="10242" width="21.5" style="132"/>
    <col min="10243" max="10243" width="6.375" style="132" customWidth="1"/>
    <col min="10244" max="10244" width="22" style="132" customWidth="1"/>
    <col min="10245" max="10246" width="9.875" style="132" customWidth="1"/>
    <col min="10247" max="10250" width="9" style="132" customWidth="1"/>
    <col min="10251" max="10251" width="9.875" style="132" customWidth="1"/>
    <col min="10252" max="10254" width="9" style="132" customWidth="1"/>
    <col min="10255" max="10255" width="9.625" style="132" customWidth="1"/>
    <col min="10256" max="10256" width="10.375" style="132" customWidth="1"/>
    <col min="10257" max="10257" width="9.5" style="132" customWidth="1"/>
    <col min="10258" max="10498" width="21.5" style="132"/>
    <col min="10499" max="10499" width="6.375" style="132" customWidth="1"/>
    <col min="10500" max="10500" width="22" style="132" customWidth="1"/>
    <col min="10501" max="10502" width="9.875" style="132" customWidth="1"/>
    <col min="10503" max="10506" width="9" style="132" customWidth="1"/>
    <col min="10507" max="10507" width="9.875" style="132" customWidth="1"/>
    <col min="10508" max="10510" width="9" style="132" customWidth="1"/>
    <col min="10511" max="10511" width="9.625" style="132" customWidth="1"/>
    <col min="10512" max="10512" width="10.375" style="132" customWidth="1"/>
    <col min="10513" max="10513" width="9.5" style="132" customWidth="1"/>
    <col min="10514" max="10754" width="21.5" style="132"/>
    <col min="10755" max="10755" width="6.375" style="132" customWidth="1"/>
    <col min="10756" max="10756" width="22" style="132" customWidth="1"/>
    <col min="10757" max="10758" width="9.875" style="132" customWidth="1"/>
    <col min="10759" max="10762" width="9" style="132" customWidth="1"/>
    <col min="10763" max="10763" width="9.875" style="132" customWidth="1"/>
    <col min="10764" max="10766" width="9" style="132" customWidth="1"/>
    <col min="10767" max="10767" width="9.625" style="132" customWidth="1"/>
    <col min="10768" max="10768" width="10.375" style="132" customWidth="1"/>
    <col min="10769" max="10769" width="9.5" style="132" customWidth="1"/>
    <col min="10770" max="11010" width="21.5" style="132"/>
    <col min="11011" max="11011" width="6.375" style="132" customWidth="1"/>
    <col min="11012" max="11012" width="22" style="132" customWidth="1"/>
    <col min="11013" max="11014" width="9.875" style="132" customWidth="1"/>
    <col min="11015" max="11018" width="9" style="132" customWidth="1"/>
    <col min="11019" max="11019" width="9.875" style="132" customWidth="1"/>
    <col min="11020" max="11022" width="9" style="132" customWidth="1"/>
    <col min="11023" max="11023" width="9.625" style="132" customWidth="1"/>
    <col min="11024" max="11024" width="10.375" style="132" customWidth="1"/>
    <col min="11025" max="11025" width="9.5" style="132" customWidth="1"/>
    <col min="11026" max="11266" width="21.5" style="132"/>
    <col min="11267" max="11267" width="6.375" style="132" customWidth="1"/>
    <col min="11268" max="11268" width="22" style="132" customWidth="1"/>
    <col min="11269" max="11270" width="9.875" style="132" customWidth="1"/>
    <col min="11271" max="11274" width="9" style="132" customWidth="1"/>
    <col min="11275" max="11275" width="9.875" style="132" customWidth="1"/>
    <col min="11276" max="11278" width="9" style="132" customWidth="1"/>
    <col min="11279" max="11279" width="9.625" style="132" customWidth="1"/>
    <col min="11280" max="11280" width="10.375" style="132" customWidth="1"/>
    <col min="11281" max="11281" width="9.5" style="132" customWidth="1"/>
    <col min="11282" max="11522" width="21.5" style="132"/>
    <col min="11523" max="11523" width="6.375" style="132" customWidth="1"/>
    <col min="11524" max="11524" width="22" style="132" customWidth="1"/>
    <col min="11525" max="11526" width="9.875" style="132" customWidth="1"/>
    <col min="11527" max="11530" width="9" style="132" customWidth="1"/>
    <col min="11531" max="11531" width="9.875" style="132" customWidth="1"/>
    <col min="11532" max="11534" width="9" style="132" customWidth="1"/>
    <col min="11535" max="11535" width="9.625" style="132" customWidth="1"/>
    <col min="11536" max="11536" width="10.375" style="132" customWidth="1"/>
    <col min="11537" max="11537" width="9.5" style="132" customWidth="1"/>
    <col min="11538" max="11778" width="21.5" style="132"/>
    <col min="11779" max="11779" width="6.375" style="132" customWidth="1"/>
    <col min="11780" max="11780" width="22" style="132" customWidth="1"/>
    <col min="11781" max="11782" width="9.875" style="132" customWidth="1"/>
    <col min="11783" max="11786" width="9" style="132" customWidth="1"/>
    <col min="11787" max="11787" width="9.875" style="132" customWidth="1"/>
    <col min="11788" max="11790" width="9" style="132" customWidth="1"/>
    <col min="11791" max="11791" width="9.625" style="132" customWidth="1"/>
    <col min="11792" max="11792" width="10.375" style="132" customWidth="1"/>
    <col min="11793" max="11793" width="9.5" style="132" customWidth="1"/>
    <col min="11794" max="12034" width="21.5" style="132"/>
    <col min="12035" max="12035" width="6.375" style="132" customWidth="1"/>
    <col min="12036" max="12036" width="22" style="132" customWidth="1"/>
    <col min="12037" max="12038" width="9.875" style="132" customWidth="1"/>
    <col min="12039" max="12042" width="9" style="132" customWidth="1"/>
    <col min="12043" max="12043" width="9.875" style="132" customWidth="1"/>
    <col min="12044" max="12046" width="9" style="132" customWidth="1"/>
    <col min="12047" max="12047" width="9.625" style="132" customWidth="1"/>
    <col min="12048" max="12048" width="10.375" style="132" customWidth="1"/>
    <col min="12049" max="12049" width="9.5" style="132" customWidth="1"/>
    <col min="12050" max="12290" width="21.5" style="132"/>
    <col min="12291" max="12291" width="6.375" style="132" customWidth="1"/>
    <col min="12292" max="12292" width="22" style="132" customWidth="1"/>
    <col min="12293" max="12294" width="9.875" style="132" customWidth="1"/>
    <col min="12295" max="12298" width="9" style="132" customWidth="1"/>
    <col min="12299" max="12299" width="9.875" style="132" customWidth="1"/>
    <col min="12300" max="12302" width="9" style="132" customWidth="1"/>
    <col min="12303" max="12303" width="9.625" style="132" customWidth="1"/>
    <col min="12304" max="12304" width="10.375" style="132" customWidth="1"/>
    <col min="12305" max="12305" width="9.5" style="132" customWidth="1"/>
    <col min="12306" max="12546" width="21.5" style="132"/>
    <col min="12547" max="12547" width="6.375" style="132" customWidth="1"/>
    <col min="12548" max="12548" width="22" style="132" customWidth="1"/>
    <col min="12549" max="12550" width="9.875" style="132" customWidth="1"/>
    <col min="12551" max="12554" width="9" style="132" customWidth="1"/>
    <col min="12555" max="12555" width="9.875" style="132" customWidth="1"/>
    <col min="12556" max="12558" width="9" style="132" customWidth="1"/>
    <col min="12559" max="12559" width="9.625" style="132" customWidth="1"/>
    <col min="12560" max="12560" width="10.375" style="132" customWidth="1"/>
    <col min="12561" max="12561" width="9.5" style="132" customWidth="1"/>
    <col min="12562" max="12802" width="21.5" style="132"/>
    <col min="12803" max="12803" width="6.375" style="132" customWidth="1"/>
    <col min="12804" max="12804" width="22" style="132" customWidth="1"/>
    <col min="12805" max="12806" width="9.875" style="132" customWidth="1"/>
    <col min="12807" max="12810" width="9" style="132" customWidth="1"/>
    <col min="12811" max="12811" width="9.875" style="132" customWidth="1"/>
    <col min="12812" max="12814" width="9" style="132" customWidth="1"/>
    <col min="12815" max="12815" width="9.625" style="132" customWidth="1"/>
    <col min="12816" max="12816" width="10.375" style="132" customWidth="1"/>
    <col min="12817" max="12817" width="9.5" style="132" customWidth="1"/>
    <col min="12818" max="13058" width="21.5" style="132"/>
    <col min="13059" max="13059" width="6.375" style="132" customWidth="1"/>
    <col min="13060" max="13060" width="22" style="132" customWidth="1"/>
    <col min="13061" max="13062" width="9.875" style="132" customWidth="1"/>
    <col min="13063" max="13066" width="9" style="132" customWidth="1"/>
    <col min="13067" max="13067" width="9.875" style="132" customWidth="1"/>
    <col min="13068" max="13070" width="9" style="132" customWidth="1"/>
    <col min="13071" max="13071" width="9.625" style="132" customWidth="1"/>
    <col min="13072" max="13072" width="10.375" style="132" customWidth="1"/>
    <col min="13073" max="13073" width="9.5" style="132" customWidth="1"/>
    <col min="13074" max="13314" width="21.5" style="132"/>
    <col min="13315" max="13315" width="6.375" style="132" customWidth="1"/>
    <col min="13316" max="13316" width="22" style="132" customWidth="1"/>
    <col min="13317" max="13318" width="9.875" style="132" customWidth="1"/>
    <col min="13319" max="13322" width="9" style="132" customWidth="1"/>
    <col min="13323" max="13323" width="9.875" style="132" customWidth="1"/>
    <col min="13324" max="13326" width="9" style="132" customWidth="1"/>
    <col min="13327" max="13327" width="9.625" style="132" customWidth="1"/>
    <col min="13328" max="13328" width="10.375" style="132" customWidth="1"/>
    <col min="13329" max="13329" width="9.5" style="132" customWidth="1"/>
    <col min="13330" max="13570" width="21.5" style="132"/>
    <col min="13571" max="13571" width="6.375" style="132" customWidth="1"/>
    <col min="13572" max="13572" width="22" style="132" customWidth="1"/>
    <col min="13573" max="13574" width="9.875" style="132" customWidth="1"/>
    <col min="13575" max="13578" width="9" style="132" customWidth="1"/>
    <col min="13579" max="13579" width="9.875" style="132" customWidth="1"/>
    <col min="13580" max="13582" width="9" style="132" customWidth="1"/>
    <col min="13583" max="13583" width="9.625" style="132" customWidth="1"/>
    <col min="13584" max="13584" width="10.375" style="132" customWidth="1"/>
    <col min="13585" max="13585" width="9.5" style="132" customWidth="1"/>
    <col min="13586" max="13826" width="21.5" style="132"/>
    <col min="13827" max="13827" width="6.375" style="132" customWidth="1"/>
    <col min="13828" max="13828" width="22" style="132" customWidth="1"/>
    <col min="13829" max="13830" width="9.875" style="132" customWidth="1"/>
    <col min="13831" max="13834" width="9" style="132" customWidth="1"/>
    <col min="13835" max="13835" width="9.875" style="132" customWidth="1"/>
    <col min="13836" max="13838" width="9" style="132" customWidth="1"/>
    <col min="13839" max="13839" width="9.625" style="132" customWidth="1"/>
    <col min="13840" max="13840" width="10.375" style="132" customWidth="1"/>
    <col min="13841" max="13841" width="9.5" style="132" customWidth="1"/>
    <col min="13842" max="14082" width="21.5" style="132"/>
    <col min="14083" max="14083" width="6.375" style="132" customWidth="1"/>
    <col min="14084" max="14084" width="22" style="132" customWidth="1"/>
    <col min="14085" max="14086" width="9.875" style="132" customWidth="1"/>
    <col min="14087" max="14090" width="9" style="132" customWidth="1"/>
    <col min="14091" max="14091" width="9.875" style="132" customWidth="1"/>
    <col min="14092" max="14094" width="9" style="132" customWidth="1"/>
    <col min="14095" max="14095" width="9.625" style="132" customWidth="1"/>
    <col min="14096" max="14096" width="10.375" style="132" customWidth="1"/>
    <col min="14097" max="14097" width="9.5" style="132" customWidth="1"/>
    <col min="14098" max="14338" width="21.5" style="132"/>
    <col min="14339" max="14339" width="6.375" style="132" customWidth="1"/>
    <col min="14340" max="14340" width="22" style="132" customWidth="1"/>
    <col min="14341" max="14342" width="9.875" style="132" customWidth="1"/>
    <col min="14343" max="14346" width="9" style="132" customWidth="1"/>
    <col min="14347" max="14347" width="9.875" style="132" customWidth="1"/>
    <col min="14348" max="14350" width="9" style="132" customWidth="1"/>
    <col min="14351" max="14351" width="9.625" style="132" customWidth="1"/>
    <col min="14352" max="14352" width="10.375" style="132" customWidth="1"/>
    <col min="14353" max="14353" width="9.5" style="132" customWidth="1"/>
    <col min="14354" max="14594" width="21.5" style="132"/>
    <col min="14595" max="14595" width="6.375" style="132" customWidth="1"/>
    <col min="14596" max="14596" width="22" style="132" customWidth="1"/>
    <col min="14597" max="14598" width="9.875" style="132" customWidth="1"/>
    <col min="14599" max="14602" width="9" style="132" customWidth="1"/>
    <col min="14603" max="14603" width="9.875" style="132" customWidth="1"/>
    <col min="14604" max="14606" width="9" style="132" customWidth="1"/>
    <col min="14607" max="14607" width="9.625" style="132" customWidth="1"/>
    <col min="14608" max="14608" width="10.375" style="132" customWidth="1"/>
    <col min="14609" max="14609" width="9.5" style="132" customWidth="1"/>
    <col min="14610" max="14850" width="21.5" style="132"/>
    <col min="14851" max="14851" width="6.375" style="132" customWidth="1"/>
    <col min="14852" max="14852" width="22" style="132" customWidth="1"/>
    <col min="14853" max="14854" width="9.875" style="132" customWidth="1"/>
    <col min="14855" max="14858" width="9" style="132" customWidth="1"/>
    <col min="14859" max="14859" width="9.875" style="132" customWidth="1"/>
    <col min="14860" max="14862" width="9" style="132" customWidth="1"/>
    <col min="14863" max="14863" width="9.625" style="132" customWidth="1"/>
    <col min="14864" max="14864" width="10.375" style="132" customWidth="1"/>
    <col min="14865" max="14865" width="9.5" style="132" customWidth="1"/>
    <col min="14866" max="15106" width="21.5" style="132"/>
    <col min="15107" max="15107" width="6.375" style="132" customWidth="1"/>
    <col min="15108" max="15108" width="22" style="132" customWidth="1"/>
    <col min="15109" max="15110" width="9.875" style="132" customWidth="1"/>
    <col min="15111" max="15114" width="9" style="132" customWidth="1"/>
    <col min="15115" max="15115" width="9.875" style="132" customWidth="1"/>
    <col min="15116" max="15118" width="9" style="132" customWidth="1"/>
    <col min="15119" max="15119" width="9.625" style="132" customWidth="1"/>
    <col min="15120" max="15120" width="10.375" style="132" customWidth="1"/>
    <col min="15121" max="15121" width="9.5" style="132" customWidth="1"/>
    <col min="15122" max="15362" width="21.5" style="132"/>
    <col min="15363" max="15363" width="6.375" style="132" customWidth="1"/>
    <col min="15364" max="15364" width="22" style="132" customWidth="1"/>
    <col min="15365" max="15366" width="9.875" style="132" customWidth="1"/>
    <col min="15367" max="15370" width="9" style="132" customWidth="1"/>
    <col min="15371" max="15371" width="9.875" style="132" customWidth="1"/>
    <col min="15372" max="15374" width="9" style="132" customWidth="1"/>
    <col min="15375" max="15375" width="9.625" style="132" customWidth="1"/>
    <col min="15376" max="15376" width="10.375" style="132" customWidth="1"/>
    <col min="15377" max="15377" width="9.5" style="132" customWidth="1"/>
    <col min="15378" max="15618" width="21.5" style="132"/>
    <col min="15619" max="15619" width="6.375" style="132" customWidth="1"/>
    <col min="15620" max="15620" width="22" style="132" customWidth="1"/>
    <col min="15621" max="15622" width="9.875" style="132" customWidth="1"/>
    <col min="15623" max="15626" width="9" style="132" customWidth="1"/>
    <col min="15627" max="15627" width="9.875" style="132" customWidth="1"/>
    <col min="15628" max="15630" width="9" style="132" customWidth="1"/>
    <col min="15631" max="15631" width="9.625" style="132" customWidth="1"/>
    <col min="15632" max="15632" width="10.375" style="132" customWidth="1"/>
    <col min="15633" max="15633" width="9.5" style="132" customWidth="1"/>
    <col min="15634" max="15874" width="21.5" style="132"/>
    <col min="15875" max="15875" width="6.375" style="132" customWidth="1"/>
    <col min="15876" max="15876" width="22" style="132" customWidth="1"/>
    <col min="15877" max="15878" width="9.875" style="132" customWidth="1"/>
    <col min="15879" max="15882" width="9" style="132" customWidth="1"/>
    <col min="15883" max="15883" width="9.875" style="132" customWidth="1"/>
    <col min="15884" max="15886" width="9" style="132" customWidth="1"/>
    <col min="15887" max="15887" width="9.625" style="132" customWidth="1"/>
    <col min="15888" max="15888" width="10.375" style="132" customWidth="1"/>
    <col min="15889" max="15889" width="9.5" style="132" customWidth="1"/>
    <col min="15890" max="16130" width="21.5" style="132"/>
    <col min="16131" max="16131" width="6.375" style="132" customWidth="1"/>
    <col min="16132" max="16132" width="22" style="132" customWidth="1"/>
    <col min="16133" max="16134" width="9.875" style="132" customWidth="1"/>
    <col min="16135" max="16138" width="9" style="132" customWidth="1"/>
    <col min="16139" max="16139" width="9.875" style="132" customWidth="1"/>
    <col min="16140" max="16142" width="9" style="132" customWidth="1"/>
    <col min="16143" max="16143" width="9.625" style="132" customWidth="1"/>
    <col min="16144" max="16144" width="10.375" style="132" customWidth="1"/>
    <col min="16145" max="16145" width="9.5" style="132" customWidth="1"/>
    <col min="16146" max="16384" width="21.5" style="132"/>
  </cols>
  <sheetData>
    <row r="2" spans="1:20" s="116" customFormat="1" ht="92.25" customHeight="1" x14ac:dyDescent="0.25">
      <c r="A2" s="114" t="s">
        <v>0</v>
      </c>
      <c r="B2" s="114" t="s">
        <v>63</v>
      </c>
      <c r="C2" s="114" t="s">
        <v>651</v>
      </c>
      <c r="D2" s="115" t="s">
        <v>676</v>
      </c>
      <c r="E2" s="115" t="s">
        <v>677</v>
      </c>
      <c r="F2" s="115" t="s">
        <v>678</v>
      </c>
      <c r="G2" s="115" t="s">
        <v>679</v>
      </c>
      <c r="H2" s="115" t="s">
        <v>680</v>
      </c>
      <c r="I2" s="115" t="s">
        <v>681</v>
      </c>
      <c r="J2" s="115" t="s">
        <v>682</v>
      </c>
      <c r="K2" s="115" t="s">
        <v>683</v>
      </c>
      <c r="L2" s="115" t="s">
        <v>684</v>
      </c>
      <c r="M2" s="168" t="s">
        <v>858</v>
      </c>
      <c r="N2" s="168" t="s">
        <v>1225</v>
      </c>
      <c r="O2" s="168" t="s">
        <v>867</v>
      </c>
      <c r="P2" s="168" t="s">
        <v>857</v>
      </c>
      <c r="R2" s="116">
        <f>'Biểu 10DT TG thu'!C18</f>
        <v>34395</v>
      </c>
      <c r="S2" s="438">
        <v>8776.0400000000009</v>
      </c>
    </row>
    <row r="3" spans="1:20" s="119" customFormat="1" ht="30.75" customHeight="1" x14ac:dyDescent="0.2">
      <c r="A3" s="117"/>
      <c r="B3" s="117" t="s">
        <v>651</v>
      </c>
      <c r="C3" s="249">
        <f>C4+C200</f>
        <v>154034.79538928001</v>
      </c>
      <c r="D3" s="118">
        <f t="shared" ref="D3:K3" si="0">D4+D200</f>
        <v>110147.96048928</v>
      </c>
      <c r="E3" s="118">
        <f>E4+E200</f>
        <v>6643.72</v>
      </c>
      <c r="F3" s="118">
        <f t="shared" si="0"/>
        <v>383.01499999999999</v>
      </c>
      <c r="G3" s="118">
        <f t="shared" si="0"/>
        <v>21371.357499999998</v>
      </c>
      <c r="H3" s="118">
        <f t="shared" si="0"/>
        <v>2764.5423999999998</v>
      </c>
      <c r="I3" s="118">
        <f t="shared" si="0"/>
        <v>9563</v>
      </c>
      <c r="J3" s="118">
        <f t="shared" si="0"/>
        <v>760</v>
      </c>
      <c r="K3" s="118">
        <f t="shared" si="0"/>
        <v>441.2</v>
      </c>
      <c r="L3" s="118">
        <f>L4+L200</f>
        <v>1960</v>
      </c>
      <c r="Q3" s="254">
        <f>C3-34970-840-8707</f>
        <v>109517.79538928001</v>
      </c>
      <c r="R3" s="271" t="s">
        <v>518</v>
      </c>
      <c r="S3" s="119">
        <f>S4+S200</f>
        <v>36629</v>
      </c>
      <c r="T3" s="154">
        <f>C3-S3-S2-R2</f>
        <v>74234.755389280006</v>
      </c>
    </row>
    <row r="4" spans="1:20" s="119" customFormat="1" ht="30.75" customHeight="1" x14ac:dyDescent="0.2">
      <c r="A4" s="120" t="s">
        <v>9</v>
      </c>
      <c r="B4" s="121" t="s">
        <v>685</v>
      </c>
      <c r="C4" s="122">
        <f>C5+C40+C72+C73+C76+SUM(C79:C81)+C84+C91+C97+C100+C101+C110+C120+SUM(C125:C127)+C144+C145+C148+C158+C159+C162+C163+SUM(C174:C196)+C197+C198</f>
        <v>41891.79538928</v>
      </c>
      <c r="D4" s="123">
        <f>D5+D40+D72+D73+D76+SUM(D79:D81)+D84+D91+D97+D100+D101+D110+D120+SUM(D125:D127)+D144+D145+D148+D158+D159+D162+D163+SUM(D174:D196)+D197+D198</f>
        <v>34689.960489280005</v>
      </c>
      <c r="E4" s="123">
        <f>E5+E40+E72+E73+E76+SUM(E79:E81)+E84+E91+E97+E100+E101+E110+E120+SUM(E125:E127)+E144+E145+E148+E158+E159+E162+E163+SUM(E174:E196)</f>
        <v>1526.72</v>
      </c>
      <c r="F4" s="123">
        <f t="shared" ref="F4:K4" si="1">F5+F40+F72+F73+F76+SUM(F79:F81)+F84+F91+F97+F100+F101+F110+F120+SUM(F125:F127)+F144+F145+F148+F158+F159+F162+F163+SUM(F174:F196)</f>
        <v>45.015000000000001</v>
      </c>
      <c r="G4" s="123">
        <f t="shared" si="1"/>
        <v>4207.3575000000001</v>
      </c>
      <c r="H4" s="123">
        <f>H5+H40+H72+H73+H76+SUM(H79:H81)+H84+H91+H97+H100+H101+H110+H120+SUM(H125:H127)+H144+H145+H148+H158+H159+H162+H163+SUM(H174:H196)</f>
        <v>30.542400000000001</v>
      </c>
      <c r="I4" s="123">
        <f t="shared" si="1"/>
        <v>1376</v>
      </c>
      <c r="J4" s="123">
        <f t="shared" si="1"/>
        <v>0</v>
      </c>
      <c r="K4" s="123">
        <f t="shared" si="1"/>
        <v>16.2</v>
      </c>
      <c r="L4" s="123">
        <f>L5+L40+L72+L73+L76+SUM(L79:L81)+L84+L91+L97+L100+L101+L110+L120+SUM(L125:L127)+L144+L145+L148+L158+L159+L162+L163+SUM(L174:L196)</f>
        <v>0</v>
      </c>
      <c r="Q4" s="434" t="s">
        <v>587</v>
      </c>
      <c r="R4" s="271" t="s">
        <v>941</v>
      </c>
      <c r="S4" s="119">
        <v>18555</v>
      </c>
      <c r="T4" s="154">
        <v>114536</v>
      </c>
    </row>
    <row r="5" spans="1:20" s="119" customFormat="1" ht="30.75" hidden="1" customHeight="1" x14ac:dyDescent="0.2">
      <c r="A5" s="124">
        <v>1</v>
      </c>
      <c r="B5" s="125" t="s">
        <v>172</v>
      </c>
      <c r="C5" s="126">
        <f>C6+C10+C38+C39</f>
        <v>15927.536399999999</v>
      </c>
      <c r="D5" s="127">
        <f t="shared" ref="D5:L5" si="2">D6+D10+D38+D39</f>
        <v>11979.269</v>
      </c>
      <c r="E5" s="127">
        <f t="shared" si="2"/>
        <v>721.22</v>
      </c>
      <c r="F5" s="127">
        <f t="shared" si="2"/>
        <v>34.844999999999999</v>
      </c>
      <c r="G5" s="127">
        <f t="shared" si="2"/>
        <v>1810.5</v>
      </c>
      <c r="H5" s="127">
        <f t="shared" si="2"/>
        <v>5.7023999999999999</v>
      </c>
      <c r="I5" s="127">
        <f t="shared" si="2"/>
        <v>1376</v>
      </c>
      <c r="J5" s="127">
        <f t="shared" si="2"/>
        <v>0</v>
      </c>
      <c r="K5" s="127">
        <f t="shared" si="2"/>
        <v>0</v>
      </c>
      <c r="L5" s="127">
        <f t="shared" si="2"/>
        <v>0</v>
      </c>
      <c r="Q5" s="434"/>
      <c r="R5" s="271"/>
    </row>
    <row r="6" spans="1:20" ht="30.75" hidden="1" customHeight="1" x14ac:dyDescent="0.25">
      <c r="A6" s="128"/>
      <c r="B6" s="129" t="s">
        <v>686</v>
      </c>
      <c r="C6" s="130">
        <f t="shared" ref="C6:C69" si="3">SUM(D6:K6)</f>
        <v>865.19139999999993</v>
      </c>
      <c r="D6" s="131">
        <v>390.68900000000002</v>
      </c>
      <c r="E6" s="131">
        <f>SUM(E7:E9)</f>
        <v>0</v>
      </c>
      <c r="F6" s="131">
        <f t="shared" ref="F6:K6" si="4">SUM(F7:F9)</f>
        <v>0</v>
      </c>
      <c r="G6" s="131">
        <f t="shared" si="4"/>
        <v>0</v>
      </c>
      <c r="H6" s="131">
        <f t="shared" si="4"/>
        <v>5.7023999999999999</v>
      </c>
      <c r="I6" s="131">
        <f>SUM(I7:I9)</f>
        <v>468.79999999999995</v>
      </c>
      <c r="J6" s="131">
        <f t="shared" si="4"/>
        <v>0</v>
      </c>
      <c r="K6" s="131">
        <f t="shared" si="4"/>
        <v>0</v>
      </c>
      <c r="L6" s="131">
        <f>SUM(L7:L9)</f>
        <v>0</v>
      </c>
      <c r="Q6" s="435"/>
      <c r="R6" s="161"/>
    </row>
    <row r="7" spans="1:20" ht="30.75" hidden="1" customHeight="1" x14ac:dyDescent="0.25">
      <c r="A7" s="128"/>
      <c r="B7" s="129" t="s">
        <v>687</v>
      </c>
      <c r="C7" s="130">
        <f t="shared" si="3"/>
        <v>898.70240000000001</v>
      </c>
      <c r="D7" s="131">
        <f>904-11</f>
        <v>893</v>
      </c>
      <c r="E7" s="131"/>
      <c r="F7" s="131"/>
      <c r="G7" s="131"/>
      <c r="H7" s="131">
        <v>5.7023999999999999</v>
      </c>
      <c r="I7" s="131"/>
      <c r="J7" s="131"/>
      <c r="K7" s="133"/>
      <c r="L7" s="133"/>
      <c r="Q7" s="435"/>
      <c r="R7" s="161"/>
    </row>
    <row r="8" spans="1:20" ht="30.75" hidden="1" customHeight="1" x14ac:dyDescent="0.25">
      <c r="A8" s="128"/>
      <c r="B8" s="134" t="s">
        <v>688</v>
      </c>
      <c r="C8" s="130">
        <f t="shared" si="3"/>
        <v>838.8</v>
      </c>
      <c r="D8" s="131">
        <v>370</v>
      </c>
      <c r="E8" s="131"/>
      <c r="F8" s="131"/>
      <c r="G8" s="131"/>
      <c r="H8" s="131"/>
      <c r="I8" s="131">
        <v>468.79999999999995</v>
      </c>
      <c r="J8" s="131"/>
      <c r="K8" s="133"/>
      <c r="L8" s="133"/>
      <c r="Q8" s="435"/>
      <c r="R8" s="161"/>
    </row>
    <row r="9" spans="1:20" ht="30.75" hidden="1" customHeight="1" x14ac:dyDescent="0.25">
      <c r="A9" s="128"/>
      <c r="B9" s="134" t="s">
        <v>689</v>
      </c>
      <c r="C9" s="130">
        <f t="shared" si="3"/>
        <v>198</v>
      </c>
      <c r="D9" s="131">
        <v>198</v>
      </c>
      <c r="E9" s="131"/>
      <c r="F9" s="131"/>
      <c r="G9" s="131"/>
      <c r="H9" s="131"/>
      <c r="I9" s="131"/>
      <c r="J9" s="131"/>
      <c r="K9" s="133"/>
      <c r="L9" s="133"/>
      <c r="Q9" s="435"/>
      <c r="R9" s="161"/>
    </row>
    <row r="10" spans="1:20" ht="30.75" hidden="1" customHeight="1" x14ac:dyDescent="0.25">
      <c r="A10" s="128"/>
      <c r="B10" s="129" t="s">
        <v>690</v>
      </c>
      <c r="C10" s="130">
        <f t="shared" si="3"/>
        <v>14700.465</v>
      </c>
      <c r="D10" s="131">
        <v>11226.7</v>
      </c>
      <c r="E10" s="131">
        <v>721.22</v>
      </c>
      <c r="F10" s="131">
        <f>23.23/8*12</f>
        <v>34.844999999999999</v>
      </c>
      <c r="G10" s="131">
        <f>1207/8*12</f>
        <v>1810.5</v>
      </c>
      <c r="H10" s="131">
        <f>SUM(H11:H37)</f>
        <v>0</v>
      </c>
      <c r="I10" s="131">
        <f>453.6*2</f>
        <v>907.2</v>
      </c>
      <c r="J10" s="131">
        <f>SUM(J11:J37)</f>
        <v>0</v>
      </c>
      <c r="K10" s="131">
        <f>SUM(K11:K37)</f>
        <v>0</v>
      </c>
      <c r="L10" s="131">
        <f>SUM(L11:L37)</f>
        <v>0</v>
      </c>
      <c r="Q10" s="435"/>
      <c r="R10" s="161"/>
    </row>
    <row r="11" spans="1:20" ht="30.75" hidden="1" customHeight="1" x14ac:dyDescent="0.25">
      <c r="A11" s="128"/>
      <c r="B11" s="129" t="s">
        <v>691</v>
      </c>
      <c r="C11" s="130">
        <f t="shared" si="3"/>
        <v>290</v>
      </c>
      <c r="D11" s="131">
        <f>307-17</f>
        <v>290</v>
      </c>
      <c r="E11" s="131"/>
      <c r="F11" s="131"/>
      <c r="G11" s="131"/>
      <c r="H11" s="131"/>
      <c r="I11" s="131"/>
      <c r="J11" s="131"/>
      <c r="K11" s="133"/>
      <c r="L11" s="133"/>
      <c r="Q11" s="435"/>
      <c r="R11" s="161"/>
    </row>
    <row r="12" spans="1:20" ht="30.75" hidden="1" customHeight="1" x14ac:dyDescent="0.25">
      <c r="A12" s="128"/>
      <c r="B12" s="134" t="s">
        <v>692</v>
      </c>
      <c r="C12" s="130">
        <f t="shared" si="3"/>
        <v>329</v>
      </c>
      <c r="D12" s="131">
        <f>362-33</f>
        <v>329</v>
      </c>
      <c r="E12" s="131"/>
      <c r="F12" s="131"/>
      <c r="G12" s="131"/>
      <c r="H12" s="131"/>
      <c r="I12" s="131"/>
      <c r="J12" s="131"/>
      <c r="K12" s="133"/>
      <c r="L12" s="133"/>
      <c r="Q12" s="435"/>
      <c r="R12" s="161"/>
    </row>
    <row r="13" spans="1:20" ht="30.75" hidden="1" customHeight="1" x14ac:dyDescent="0.25">
      <c r="A13" s="128"/>
      <c r="B13" s="134" t="s">
        <v>693</v>
      </c>
      <c r="C13" s="130">
        <f t="shared" si="3"/>
        <v>629</v>
      </c>
      <c r="D13" s="131">
        <f>702-73</f>
        <v>629</v>
      </c>
      <c r="E13" s="131"/>
      <c r="F13" s="131"/>
      <c r="G13" s="131"/>
      <c r="H13" s="131"/>
      <c r="I13" s="131"/>
      <c r="J13" s="131"/>
      <c r="K13" s="133"/>
      <c r="L13" s="133"/>
      <c r="Q13" s="435"/>
      <c r="R13" s="161"/>
    </row>
    <row r="14" spans="1:20" ht="30.75" hidden="1" customHeight="1" x14ac:dyDescent="0.25">
      <c r="A14" s="128"/>
      <c r="B14" s="135" t="s">
        <v>694</v>
      </c>
      <c r="C14" s="130">
        <f t="shared" si="3"/>
        <v>156</v>
      </c>
      <c r="D14" s="131">
        <f>160-4</f>
        <v>156</v>
      </c>
      <c r="E14" s="131"/>
      <c r="F14" s="131"/>
      <c r="G14" s="131"/>
      <c r="H14" s="131"/>
      <c r="I14" s="131"/>
      <c r="J14" s="131"/>
      <c r="K14" s="133"/>
      <c r="L14" s="133"/>
      <c r="Q14" s="435"/>
      <c r="R14" s="161"/>
    </row>
    <row r="15" spans="1:20" ht="30.75" hidden="1" customHeight="1" x14ac:dyDescent="0.25">
      <c r="A15" s="128"/>
      <c r="B15" s="129" t="s">
        <v>695</v>
      </c>
      <c r="C15" s="130">
        <f t="shared" si="3"/>
        <v>1493</v>
      </c>
      <c r="D15" s="131">
        <f>1601-108</f>
        <v>1493</v>
      </c>
      <c r="E15" s="131"/>
      <c r="F15" s="131"/>
      <c r="G15" s="131"/>
      <c r="H15" s="131"/>
      <c r="I15" s="131"/>
      <c r="J15" s="131"/>
      <c r="K15" s="133"/>
      <c r="L15" s="133"/>
      <c r="Q15" s="435"/>
      <c r="R15" s="161"/>
    </row>
    <row r="16" spans="1:20" ht="30.75" hidden="1" customHeight="1" x14ac:dyDescent="0.25">
      <c r="A16" s="128"/>
      <c r="B16" s="134" t="s">
        <v>696</v>
      </c>
      <c r="C16" s="130">
        <f t="shared" si="3"/>
        <v>8622</v>
      </c>
      <c r="D16" s="131">
        <f>9525-903</f>
        <v>8622</v>
      </c>
      <c r="E16" s="131"/>
      <c r="F16" s="131"/>
      <c r="G16" s="131"/>
      <c r="H16" s="131"/>
      <c r="I16" s="131"/>
      <c r="J16" s="131"/>
      <c r="K16" s="133"/>
      <c r="L16" s="133"/>
      <c r="Q16" s="435"/>
      <c r="R16" s="161"/>
    </row>
    <row r="17" spans="1:18" ht="30.75" hidden="1" customHeight="1" x14ac:dyDescent="0.25">
      <c r="A17" s="128"/>
      <c r="B17" s="134" t="s">
        <v>697</v>
      </c>
      <c r="C17" s="130">
        <f t="shared" si="3"/>
        <v>903</v>
      </c>
      <c r="D17" s="131">
        <f>1075-172</f>
        <v>903</v>
      </c>
      <c r="E17" s="131"/>
      <c r="F17" s="131"/>
      <c r="G17" s="131"/>
      <c r="H17" s="131"/>
      <c r="I17" s="131"/>
      <c r="J17" s="131"/>
      <c r="K17" s="133"/>
      <c r="L17" s="133"/>
      <c r="Q17" s="435"/>
      <c r="R17" s="161"/>
    </row>
    <row r="18" spans="1:18" ht="30.75" hidden="1" customHeight="1" x14ac:dyDescent="0.25">
      <c r="A18" s="128"/>
      <c r="B18" s="134" t="s">
        <v>698</v>
      </c>
      <c r="C18" s="130">
        <f t="shared" si="3"/>
        <v>211</v>
      </c>
      <c r="D18" s="131">
        <f>234-23</f>
        <v>211</v>
      </c>
      <c r="E18" s="131"/>
      <c r="F18" s="131"/>
      <c r="G18" s="131"/>
      <c r="H18" s="131"/>
      <c r="I18" s="131"/>
      <c r="J18" s="131"/>
      <c r="K18" s="133"/>
      <c r="L18" s="133"/>
      <c r="Q18" s="435"/>
      <c r="R18" s="161"/>
    </row>
    <row r="19" spans="1:18" ht="30.75" hidden="1" customHeight="1" x14ac:dyDescent="0.25">
      <c r="A19" s="128"/>
      <c r="B19" s="134" t="s">
        <v>699</v>
      </c>
      <c r="C19" s="130">
        <f t="shared" si="3"/>
        <v>634</v>
      </c>
      <c r="D19" s="131">
        <f>723-89</f>
        <v>634</v>
      </c>
      <c r="E19" s="131"/>
      <c r="F19" s="131"/>
      <c r="G19" s="131"/>
      <c r="H19" s="131"/>
      <c r="I19" s="131"/>
      <c r="J19" s="131"/>
      <c r="K19" s="133"/>
      <c r="L19" s="133"/>
      <c r="Q19" s="435"/>
      <c r="R19" s="161"/>
    </row>
    <row r="20" spans="1:18" ht="30.75" hidden="1" customHeight="1" x14ac:dyDescent="0.25">
      <c r="A20" s="128"/>
      <c r="B20" s="134" t="s">
        <v>700</v>
      </c>
      <c r="C20" s="130">
        <f t="shared" si="3"/>
        <v>1406</v>
      </c>
      <c r="D20" s="131">
        <f>1621-215</f>
        <v>1406</v>
      </c>
      <c r="E20" s="131"/>
      <c r="F20" s="131"/>
      <c r="G20" s="131"/>
      <c r="H20" s="131"/>
      <c r="I20" s="131"/>
      <c r="J20" s="131"/>
      <c r="K20" s="133"/>
      <c r="L20" s="133"/>
      <c r="Q20" s="435"/>
      <c r="R20" s="161"/>
    </row>
    <row r="21" spans="1:18" ht="30.75" hidden="1" customHeight="1" x14ac:dyDescent="0.25">
      <c r="A21" s="128"/>
      <c r="B21" s="134" t="s">
        <v>701</v>
      </c>
      <c r="C21" s="130">
        <f t="shared" si="3"/>
        <v>898</v>
      </c>
      <c r="D21" s="131">
        <f>1007-109</f>
        <v>898</v>
      </c>
      <c r="E21" s="131"/>
      <c r="F21" s="131"/>
      <c r="G21" s="131"/>
      <c r="H21" s="131"/>
      <c r="I21" s="131"/>
      <c r="J21" s="131"/>
      <c r="K21" s="133"/>
      <c r="L21" s="133"/>
      <c r="Q21" s="435"/>
      <c r="R21" s="161"/>
    </row>
    <row r="22" spans="1:18" ht="30.75" hidden="1" customHeight="1" x14ac:dyDescent="0.25">
      <c r="A22" s="128"/>
      <c r="B22" s="134" t="s">
        <v>702</v>
      </c>
      <c r="C22" s="130">
        <f t="shared" si="3"/>
        <v>1535</v>
      </c>
      <c r="D22" s="131">
        <f>1658-203</f>
        <v>1455</v>
      </c>
      <c r="E22" s="131">
        <v>40</v>
      </c>
      <c r="F22" s="131">
        <v>40</v>
      </c>
      <c r="G22" s="131"/>
      <c r="H22" s="131"/>
      <c r="I22" s="131"/>
      <c r="J22" s="131"/>
      <c r="K22" s="133"/>
      <c r="L22" s="133"/>
      <c r="Q22" s="435"/>
      <c r="R22" s="161"/>
    </row>
    <row r="23" spans="1:18" ht="30.75" hidden="1" customHeight="1" x14ac:dyDescent="0.25">
      <c r="A23" s="128"/>
      <c r="B23" s="134" t="s">
        <v>703</v>
      </c>
      <c r="C23" s="130">
        <f t="shared" si="3"/>
        <v>2199</v>
      </c>
      <c r="D23" s="131">
        <f>2248-49</f>
        <v>2199</v>
      </c>
      <c r="E23" s="131"/>
      <c r="F23" s="131"/>
      <c r="G23" s="131"/>
      <c r="H23" s="131"/>
      <c r="I23" s="131"/>
      <c r="J23" s="131"/>
      <c r="K23" s="133"/>
      <c r="L23" s="133"/>
      <c r="Q23" s="435"/>
      <c r="R23" s="161"/>
    </row>
    <row r="24" spans="1:18" ht="30.75" hidden="1" customHeight="1" x14ac:dyDescent="0.25">
      <c r="A24" s="128"/>
      <c r="B24" s="134" t="s">
        <v>704</v>
      </c>
      <c r="C24" s="130">
        <f t="shared" si="3"/>
        <v>2548</v>
      </c>
      <c r="D24" s="131">
        <f>2237-117</f>
        <v>2120</v>
      </c>
      <c r="E24" s="131">
        <v>214</v>
      </c>
      <c r="F24" s="131">
        <v>214</v>
      </c>
      <c r="G24" s="131"/>
      <c r="H24" s="131"/>
      <c r="I24" s="131"/>
      <c r="J24" s="131"/>
      <c r="K24" s="133"/>
      <c r="L24" s="133"/>
      <c r="Q24" s="435"/>
      <c r="R24" s="161"/>
    </row>
    <row r="25" spans="1:18" ht="30.75" hidden="1" customHeight="1" x14ac:dyDescent="0.25">
      <c r="A25" s="128"/>
      <c r="B25" s="134" t="s">
        <v>705</v>
      </c>
      <c r="C25" s="130">
        <f t="shared" si="3"/>
        <v>3189</v>
      </c>
      <c r="D25" s="131">
        <f>3265-76</f>
        <v>3189</v>
      </c>
      <c r="E25" s="131"/>
      <c r="F25" s="131"/>
      <c r="G25" s="131"/>
      <c r="H25" s="131"/>
      <c r="I25" s="131"/>
      <c r="J25" s="131"/>
      <c r="K25" s="133"/>
      <c r="L25" s="133"/>
      <c r="Q25" s="435"/>
      <c r="R25" s="161"/>
    </row>
    <row r="26" spans="1:18" ht="30.75" hidden="1" customHeight="1" x14ac:dyDescent="0.25">
      <c r="A26" s="128"/>
      <c r="B26" s="134" t="s">
        <v>706</v>
      </c>
      <c r="C26" s="130">
        <f t="shared" si="3"/>
        <v>2344</v>
      </c>
      <c r="D26" s="131">
        <f>1862-140</f>
        <v>1722</v>
      </c>
      <c r="E26" s="131">
        <v>311</v>
      </c>
      <c r="F26" s="131">
        <v>311</v>
      </c>
      <c r="G26" s="131"/>
      <c r="H26" s="131"/>
      <c r="I26" s="131"/>
      <c r="J26" s="131"/>
      <c r="K26" s="133"/>
      <c r="L26" s="133"/>
      <c r="Q26" s="435"/>
      <c r="R26" s="161"/>
    </row>
    <row r="27" spans="1:18" ht="30.75" hidden="1" customHeight="1" x14ac:dyDescent="0.25">
      <c r="A27" s="128"/>
      <c r="B27" s="134" t="s">
        <v>707</v>
      </c>
      <c r="C27" s="130">
        <f t="shared" si="3"/>
        <v>2101</v>
      </c>
      <c r="D27" s="131">
        <f>2325-224</f>
        <v>2101</v>
      </c>
      <c r="E27" s="131"/>
      <c r="F27" s="131"/>
      <c r="G27" s="131"/>
      <c r="H27" s="131"/>
      <c r="I27" s="131"/>
      <c r="J27" s="131"/>
      <c r="K27" s="133"/>
      <c r="L27" s="133"/>
      <c r="Q27" s="435"/>
      <c r="R27" s="161"/>
    </row>
    <row r="28" spans="1:18" ht="30.75" hidden="1" customHeight="1" x14ac:dyDescent="0.25">
      <c r="A28" s="128"/>
      <c r="B28" s="134" t="s">
        <v>708</v>
      </c>
      <c r="C28" s="130">
        <f t="shared" si="3"/>
        <v>3145</v>
      </c>
      <c r="D28" s="131">
        <f>2588-207</f>
        <v>2381</v>
      </c>
      <c r="E28" s="131">
        <v>382</v>
      </c>
      <c r="F28" s="131">
        <v>382</v>
      </c>
      <c r="G28" s="131"/>
      <c r="H28" s="131"/>
      <c r="I28" s="131"/>
      <c r="J28" s="131"/>
      <c r="K28" s="133"/>
      <c r="L28" s="133"/>
      <c r="Q28" s="435"/>
      <c r="R28" s="161"/>
    </row>
    <row r="29" spans="1:18" ht="30.75" hidden="1" customHeight="1" x14ac:dyDescent="0.25">
      <c r="A29" s="128"/>
      <c r="B29" s="134" t="s">
        <v>709</v>
      </c>
      <c r="C29" s="130">
        <f t="shared" si="3"/>
        <v>3599</v>
      </c>
      <c r="D29" s="131">
        <f>3692-93</f>
        <v>3599</v>
      </c>
      <c r="E29" s="131"/>
      <c r="F29" s="131"/>
      <c r="G29" s="131"/>
      <c r="H29" s="131"/>
      <c r="I29" s="131"/>
      <c r="J29" s="131"/>
      <c r="K29" s="133"/>
      <c r="L29" s="133"/>
      <c r="Q29" s="435"/>
      <c r="R29" s="161"/>
    </row>
    <row r="30" spans="1:18" ht="30.75" hidden="1" customHeight="1" x14ac:dyDescent="0.25">
      <c r="A30" s="128"/>
      <c r="B30" s="134" t="s">
        <v>710</v>
      </c>
      <c r="C30" s="130">
        <f t="shared" si="3"/>
        <v>2608</v>
      </c>
      <c r="D30" s="131">
        <f>2088-106</f>
        <v>1982</v>
      </c>
      <c r="E30" s="131">
        <v>313</v>
      </c>
      <c r="F30" s="131">
        <v>313</v>
      </c>
      <c r="G30" s="131"/>
      <c r="H30" s="131"/>
      <c r="I30" s="131"/>
      <c r="J30" s="131"/>
      <c r="K30" s="133"/>
      <c r="L30" s="133"/>
      <c r="Q30" s="435"/>
      <c r="R30" s="161"/>
    </row>
    <row r="31" spans="1:18" ht="30.75" hidden="1" customHeight="1" x14ac:dyDescent="0.25">
      <c r="A31" s="128"/>
      <c r="B31" s="134" t="s">
        <v>711</v>
      </c>
      <c r="C31" s="130">
        <f t="shared" si="3"/>
        <v>1607</v>
      </c>
      <c r="D31" s="131">
        <f>1636-29</f>
        <v>1607</v>
      </c>
      <c r="E31" s="131"/>
      <c r="F31" s="131"/>
      <c r="G31" s="131"/>
      <c r="H31" s="131"/>
      <c r="I31" s="131"/>
      <c r="J31" s="131"/>
      <c r="K31" s="133"/>
      <c r="L31" s="133"/>
      <c r="Q31" s="435"/>
      <c r="R31" s="161"/>
    </row>
    <row r="32" spans="1:18" ht="30.75" hidden="1" customHeight="1" x14ac:dyDescent="0.25">
      <c r="A32" s="128"/>
      <c r="B32" s="134" t="s">
        <v>712</v>
      </c>
      <c r="C32" s="130">
        <f t="shared" si="3"/>
        <v>3383</v>
      </c>
      <c r="D32" s="131">
        <f>2687-238</f>
        <v>2449</v>
      </c>
      <c r="E32" s="131">
        <v>467</v>
      </c>
      <c r="F32" s="131">
        <v>467</v>
      </c>
      <c r="G32" s="131"/>
      <c r="H32" s="131"/>
      <c r="I32" s="131"/>
      <c r="J32" s="131"/>
      <c r="K32" s="133"/>
      <c r="L32" s="133"/>
      <c r="Q32" s="435"/>
      <c r="R32" s="161"/>
    </row>
    <row r="33" spans="1:18" ht="30.75" hidden="1" customHeight="1" x14ac:dyDescent="0.25">
      <c r="A33" s="128"/>
      <c r="B33" s="134" t="s">
        <v>713</v>
      </c>
      <c r="C33" s="130">
        <f t="shared" si="3"/>
        <v>2443</v>
      </c>
      <c r="D33" s="131">
        <f>2455-12</f>
        <v>2443</v>
      </c>
      <c r="E33" s="131"/>
      <c r="F33" s="131"/>
      <c r="G33" s="131"/>
      <c r="H33" s="131"/>
      <c r="I33" s="131"/>
      <c r="J33" s="131"/>
      <c r="K33" s="133"/>
      <c r="L33" s="133"/>
      <c r="Q33" s="435"/>
      <c r="R33" s="161"/>
    </row>
    <row r="34" spans="1:18" ht="30.75" hidden="1" customHeight="1" x14ac:dyDescent="0.25">
      <c r="A34" s="128"/>
      <c r="B34" s="134" t="s">
        <v>714</v>
      </c>
      <c r="C34" s="130">
        <f t="shared" si="3"/>
        <v>2946</v>
      </c>
      <c r="D34" s="131">
        <f>2078-188-126</f>
        <v>1764</v>
      </c>
      <c r="E34" s="131">
        <v>334</v>
      </c>
      <c r="F34" s="131">
        <v>334</v>
      </c>
      <c r="G34" s="131">
        <v>514</v>
      </c>
      <c r="H34" s="131"/>
      <c r="I34" s="131"/>
      <c r="J34" s="131"/>
      <c r="K34" s="133"/>
      <c r="L34" s="133"/>
      <c r="Q34" s="435"/>
      <c r="R34" s="161"/>
    </row>
    <row r="35" spans="1:18" ht="30.75" hidden="1" customHeight="1" x14ac:dyDescent="0.25">
      <c r="A35" s="128"/>
      <c r="B35" s="134" t="s">
        <v>715</v>
      </c>
      <c r="C35" s="130">
        <f t="shared" si="3"/>
        <v>2307</v>
      </c>
      <c r="D35" s="131">
        <f>1607-154-97</f>
        <v>1356</v>
      </c>
      <c r="E35" s="131">
        <v>265</v>
      </c>
      <c r="F35" s="131">
        <v>265</v>
      </c>
      <c r="G35" s="131">
        <v>421</v>
      </c>
      <c r="H35" s="131"/>
      <c r="I35" s="131"/>
      <c r="J35" s="131"/>
      <c r="K35" s="133"/>
      <c r="L35" s="133"/>
      <c r="Q35" s="435"/>
      <c r="R35" s="161"/>
    </row>
    <row r="36" spans="1:18" ht="30.75" hidden="1" customHeight="1" x14ac:dyDescent="0.25">
      <c r="A36" s="128"/>
      <c r="B36" s="134" t="s">
        <v>716</v>
      </c>
      <c r="C36" s="130">
        <f t="shared" si="3"/>
        <v>5624</v>
      </c>
      <c r="D36" s="131"/>
      <c r="E36" s="131"/>
      <c r="F36" s="131"/>
      <c r="G36" s="131"/>
      <c r="H36" s="131"/>
      <c r="I36" s="131">
        <f>5579+45</f>
        <v>5624</v>
      </c>
      <c r="J36" s="131"/>
      <c r="K36" s="133"/>
      <c r="L36" s="133"/>
      <c r="Q36" s="435"/>
      <c r="R36" s="161"/>
    </row>
    <row r="37" spans="1:18" ht="30.75" hidden="1" customHeight="1" x14ac:dyDescent="0.25">
      <c r="A37" s="128"/>
      <c r="B37" s="129" t="s">
        <v>717</v>
      </c>
      <c r="C37" s="130">
        <f t="shared" si="3"/>
        <v>1719</v>
      </c>
      <c r="D37" s="127">
        <f>984-142</f>
        <v>842</v>
      </c>
      <c r="E37" s="131">
        <v>7</v>
      </c>
      <c r="F37" s="131">
        <v>7</v>
      </c>
      <c r="G37" s="131"/>
      <c r="H37" s="131"/>
      <c r="I37" s="131">
        <v>863</v>
      </c>
      <c r="J37" s="131"/>
      <c r="K37" s="133"/>
      <c r="L37" s="133"/>
      <c r="Q37" s="435"/>
      <c r="R37" s="161"/>
    </row>
    <row r="38" spans="1:18" ht="30.75" hidden="1" customHeight="1" x14ac:dyDescent="0.25">
      <c r="A38" s="128"/>
      <c r="B38" s="136" t="s">
        <v>718</v>
      </c>
      <c r="C38" s="130">
        <f t="shared" si="3"/>
        <v>152.24600000000001</v>
      </c>
      <c r="D38" s="131">
        <v>152.24600000000001</v>
      </c>
      <c r="E38" s="131"/>
      <c r="F38" s="131"/>
      <c r="G38" s="131"/>
      <c r="H38" s="131"/>
      <c r="I38" s="131"/>
      <c r="J38" s="131"/>
      <c r="K38" s="133"/>
      <c r="L38" s="133"/>
      <c r="Q38" s="435"/>
      <c r="R38" s="161"/>
    </row>
    <row r="39" spans="1:18" ht="30.75" hidden="1" customHeight="1" x14ac:dyDescent="0.25">
      <c r="A39" s="128"/>
      <c r="B39" s="136" t="s">
        <v>719</v>
      </c>
      <c r="C39" s="130">
        <f t="shared" si="3"/>
        <v>209.63399999999999</v>
      </c>
      <c r="D39" s="131">
        <v>209.63399999999999</v>
      </c>
      <c r="E39" s="131"/>
      <c r="F39" s="131"/>
      <c r="G39" s="131"/>
      <c r="H39" s="131"/>
      <c r="I39" s="131"/>
      <c r="J39" s="131"/>
      <c r="K39" s="133"/>
      <c r="L39" s="133"/>
      <c r="Q39" s="435"/>
      <c r="R39" s="161"/>
    </row>
    <row r="40" spans="1:18" s="119" customFormat="1" ht="30.75" hidden="1" customHeight="1" x14ac:dyDescent="0.2">
      <c r="A40" s="124">
        <v>2</v>
      </c>
      <c r="B40" s="125" t="s">
        <v>720</v>
      </c>
      <c r="C40" s="137">
        <f t="shared" si="3"/>
        <v>9914.4616000000005</v>
      </c>
      <c r="D40" s="127">
        <f>D41+D42</f>
        <v>7296.6310000000003</v>
      </c>
      <c r="E40" s="127">
        <f>E41+E42</f>
        <v>805.5</v>
      </c>
      <c r="F40" s="127">
        <f t="shared" ref="F40:K40" si="5">F41+F42</f>
        <v>0</v>
      </c>
      <c r="G40" s="127">
        <f t="shared" si="5"/>
        <v>1810.905</v>
      </c>
      <c r="H40" s="127">
        <f t="shared" si="5"/>
        <v>1.4255999999999998</v>
      </c>
      <c r="I40" s="127"/>
      <c r="J40" s="127"/>
      <c r="K40" s="127">
        <f t="shared" si="5"/>
        <v>0</v>
      </c>
      <c r="L40" s="127">
        <f>L41+L42</f>
        <v>0</v>
      </c>
      <c r="Q40" s="434"/>
      <c r="R40" s="271"/>
    </row>
    <row r="41" spans="1:18" ht="30.75" hidden="1" customHeight="1" x14ac:dyDescent="0.25">
      <c r="A41" s="128"/>
      <c r="B41" s="129" t="s">
        <v>721</v>
      </c>
      <c r="C41" s="130">
        <f t="shared" si="3"/>
        <v>323.05659999999995</v>
      </c>
      <c r="D41" s="131">
        <v>321.63099999999997</v>
      </c>
      <c r="E41" s="131"/>
      <c r="F41" s="131"/>
      <c r="G41" s="131"/>
      <c r="H41" s="131">
        <v>1.4255999999999998</v>
      </c>
      <c r="I41" s="131"/>
      <c r="J41" s="131"/>
      <c r="K41" s="133"/>
      <c r="L41" s="133"/>
      <c r="Q41" s="435"/>
      <c r="R41" s="161"/>
    </row>
    <row r="42" spans="1:18" ht="30.75" hidden="1" customHeight="1" x14ac:dyDescent="0.25">
      <c r="A42" s="128"/>
      <c r="B42" s="129" t="s">
        <v>722</v>
      </c>
      <c r="C42" s="130">
        <f t="shared" si="3"/>
        <v>9591.4050000000007</v>
      </c>
      <c r="D42" s="131">
        <v>6975</v>
      </c>
      <c r="E42" s="131">
        <f>537/8*12</f>
        <v>805.5</v>
      </c>
      <c r="F42" s="131"/>
      <c r="G42" s="131">
        <f>1207.27/8*12</f>
        <v>1810.905</v>
      </c>
      <c r="H42" s="131"/>
      <c r="I42" s="131">
        <f>SUM(I43:I71)</f>
        <v>0</v>
      </c>
      <c r="J42" s="131">
        <f>SUM(J43:J71)</f>
        <v>0</v>
      </c>
      <c r="K42" s="131">
        <f>SUM(K43:K71)</f>
        <v>0</v>
      </c>
      <c r="L42" s="131">
        <f>SUM(L43:L71)</f>
        <v>0</v>
      </c>
      <c r="Q42" s="435"/>
      <c r="R42" s="161"/>
    </row>
    <row r="43" spans="1:18" ht="30.75" hidden="1" customHeight="1" x14ac:dyDescent="0.25">
      <c r="A43" s="128"/>
      <c r="B43" s="129" t="s">
        <v>723</v>
      </c>
      <c r="C43" s="130">
        <f t="shared" si="3"/>
        <v>2192</v>
      </c>
      <c r="D43" s="131">
        <f>2388-196</f>
        <v>2192</v>
      </c>
      <c r="E43" s="131"/>
      <c r="F43" s="131"/>
      <c r="G43" s="131"/>
      <c r="H43" s="131"/>
      <c r="I43" s="131"/>
      <c r="J43" s="131"/>
      <c r="K43" s="133"/>
      <c r="L43" s="133"/>
      <c r="Q43" s="435"/>
      <c r="R43" s="161"/>
    </row>
    <row r="44" spans="1:18" ht="30.75" hidden="1" customHeight="1" x14ac:dyDescent="0.25">
      <c r="A44" s="128"/>
      <c r="B44" s="129" t="s">
        <v>724</v>
      </c>
      <c r="C44" s="130">
        <f t="shared" si="3"/>
        <v>2085</v>
      </c>
      <c r="D44" s="131">
        <f>2271-186</f>
        <v>2085</v>
      </c>
      <c r="E44" s="131"/>
      <c r="F44" s="131"/>
      <c r="G44" s="131"/>
      <c r="H44" s="131"/>
      <c r="I44" s="131"/>
      <c r="J44" s="131"/>
      <c r="K44" s="133"/>
      <c r="L44" s="133"/>
      <c r="Q44" s="435"/>
      <c r="R44" s="161"/>
    </row>
    <row r="45" spans="1:18" ht="30.75" hidden="1" customHeight="1" x14ac:dyDescent="0.25">
      <c r="A45" s="128"/>
      <c r="B45" s="129" t="s">
        <v>725</v>
      </c>
      <c r="C45" s="130">
        <f t="shared" si="3"/>
        <v>1705</v>
      </c>
      <c r="D45" s="131">
        <f>1843-138</f>
        <v>1705</v>
      </c>
      <c r="E45" s="131"/>
      <c r="F45" s="131"/>
      <c r="G45" s="131"/>
      <c r="H45" s="131"/>
      <c r="I45" s="131"/>
      <c r="J45" s="131"/>
      <c r="K45" s="133"/>
      <c r="L45" s="133"/>
      <c r="Q45" s="435"/>
      <c r="R45" s="161"/>
    </row>
    <row r="46" spans="1:18" ht="30.75" hidden="1" customHeight="1" x14ac:dyDescent="0.25">
      <c r="A46" s="128"/>
      <c r="B46" s="129" t="s">
        <v>726</v>
      </c>
      <c r="C46" s="130">
        <f t="shared" si="3"/>
        <v>875</v>
      </c>
      <c r="D46" s="131">
        <f>928-53</f>
        <v>875</v>
      </c>
      <c r="E46" s="131"/>
      <c r="F46" s="131"/>
      <c r="G46" s="131"/>
      <c r="H46" s="131"/>
      <c r="I46" s="131"/>
      <c r="J46" s="131"/>
      <c r="K46" s="133"/>
      <c r="L46" s="133"/>
      <c r="Q46" s="435"/>
      <c r="R46" s="161"/>
    </row>
    <row r="47" spans="1:18" ht="30.75" hidden="1" customHeight="1" x14ac:dyDescent="0.25">
      <c r="A47" s="128"/>
      <c r="B47" s="129" t="s">
        <v>727</v>
      </c>
      <c r="C47" s="130">
        <f t="shared" si="3"/>
        <v>1679</v>
      </c>
      <c r="D47" s="131">
        <f>1824-145</f>
        <v>1679</v>
      </c>
      <c r="E47" s="131"/>
      <c r="F47" s="131"/>
      <c r="G47" s="131"/>
      <c r="H47" s="131"/>
      <c r="I47" s="131"/>
      <c r="J47" s="131"/>
      <c r="K47" s="133"/>
      <c r="L47" s="133"/>
      <c r="Q47" s="435"/>
      <c r="R47" s="161"/>
    </row>
    <row r="48" spans="1:18" ht="30.75" hidden="1" customHeight="1" x14ac:dyDescent="0.25">
      <c r="A48" s="128"/>
      <c r="B48" s="129" t="s">
        <v>728</v>
      </c>
      <c r="C48" s="130">
        <f t="shared" si="3"/>
        <v>1836</v>
      </c>
      <c r="D48" s="131">
        <f>1946-110</f>
        <v>1836</v>
      </c>
      <c r="E48" s="131"/>
      <c r="F48" s="131"/>
      <c r="G48" s="131"/>
      <c r="H48" s="131"/>
      <c r="I48" s="131"/>
      <c r="J48" s="131"/>
      <c r="K48" s="133"/>
      <c r="L48" s="133"/>
      <c r="Q48" s="435"/>
      <c r="R48" s="161"/>
    </row>
    <row r="49" spans="1:18" ht="30.75" hidden="1" customHeight="1" x14ac:dyDescent="0.25">
      <c r="A49" s="128"/>
      <c r="B49" s="129" t="s">
        <v>729</v>
      </c>
      <c r="C49" s="130">
        <f t="shared" si="3"/>
        <v>1282</v>
      </c>
      <c r="D49" s="131">
        <f>1367-85</f>
        <v>1282</v>
      </c>
      <c r="E49" s="131"/>
      <c r="F49" s="131"/>
      <c r="G49" s="131"/>
      <c r="H49" s="131"/>
      <c r="I49" s="131"/>
      <c r="J49" s="131"/>
      <c r="K49" s="133"/>
      <c r="L49" s="133"/>
      <c r="Q49" s="435"/>
      <c r="R49" s="161"/>
    </row>
    <row r="50" spans="1:18" ht="30.75" hidden="1" customHeight="1" x14ac:dyDescent="0.25">
      <c r="A50" s="128"/>
      <c r="B50" s="129" t="s">
        <v>730</v>
      </c>
      <c r="C50" s="130">
        <f t="shared" si="3"/>
        <v>1914</v>
      </c>
      <c r="D50" s="131">
        <f>2073-159</f>
        <v>1914</v>
      </c>
      <c r="E50" s="131"/>
      <c r="F50" s="131"/>
      <c r="G50" s="131"/>
      <c r="H50" s="131"/>
      <c r="I50" s="131"/>
      <c r="J50" s="131"/>
      <c r="K50" s="133"/>
      <c r="L50" s="133"/>
      <c r="Q50" s="435"/>
      <c r="R50" s="161"/>
    </row>
    <row r="51" spans="1:18" ht="30.75" hidden="1" customHeight="1" x14ac:dyDescent="0.25">
      <c r="A51" s="128"/>
      <c r="B51" s="129" t="s">
        <v>731</v>
      </c>
      <c r="C51" s="130">
        <f t="shared" si="3"/>
        <v>1683</v>
      </c>
      <c r="D51" s="131">
        <f>1297-45-38</f>
        <v>1214</v>
      </c>
      <c r="E51" s="131">
        <v>173</v>
      </c>
      <c r="F51" s="131">
        <v>173</v>
      </c>
      <c r="G51" s="131">
        <v>123</v>
      </c>
      <c r="H51" s="131"/>
      <c r="I51" s="131"/>
      <c r="J51" s="131"/>
      <c r="K51" s="133"/>
      <c r="L51" s="133"/>
      <c r="Q51" s="435"/>
      <c r="R51" s="161"/>
    </row>
    <row r="52" spans="1:18" ht="30.75" hidden="1" customHeight="1" x14ac:dyDescent="0.25">
      <c r="A52" s="128"/>
      <c r="B52" s="129" t="s">
        <v>732</v>
      </c>
      <c r="C52" s="130">
        <f t="shared" si="3"/>
        <v>1665</v>
      </c>
      <c r="D52" s="131">
        <f>1861-196</f>
        <v>1665</v>
      </c>
      <c r="E52" s="131"/>
      <c r="F52" s="131"/>
      <c r="G52" s="131"/>
      <c r="H52" s="131"/>
      <c r="I52" s="131"/>
      <c r="J52" s="131"/>
      <c r="K52" s="133"/>
      <c r="L52" s="133"/>
      <c r="Q52" s="435"/>
      <c r="R52" s="161"/>
    </row>
    <row r="53" spans="1:18" ht="30.75" hidden="1" customHeight="1" x14ac:dyDescent="0.25">
      <c r="A53" s="128"/>
      <c r="B53" s="129" t="s">
        <v>733</v>
      </c>
      <c r="C53" s="130">
        <f t="shared" si="3"/>
        <v>1867</v>
      </c>
      <c r="D53" s="131">
        <f>1878-363-102</f>
        <v>1413</v>
      </c>
      <c r="E53" s="131">
        <v>167</v>
      </c>
      <c r="F53" s="131">
        <v>167</v>
      </c>
      <c r="G53" s="131">
        <v>120</v>
      </c>
      <c r="H53" s="131"/>
      <c r="I53" s="131"/>
      <c r="J53" s="131"/>
      <c r="K53" s="133"/>
      <c r="L53" s="133"/>
      <c r="Q53" s="435"/>
      <c r="R53" s="161"/>
    </row>
    <row r="54" spans="1:18" ht="30.75" hidden="1" customHeight="1" x14ac:dyDescent="0.25">
      <c r="A54" s="128"/>
      <c r="B54" s="129" t="s">
        <v>734</v>
      </c>
      <c r="C54" s="130">
        <f t="shared" si="3"/>
        <v>1871</v>
      </c>
      <c r="D54" s="131">
        <f>1519-35-82</f>
        <v>1402</v>
      </c>
      <c r="E54" s="131">
        <v>186</v>
      </c>
      <c r="F54" s="131">
        <v>186</v>
      </c>
      <c r="G54" s="131">
        <v>97</v>
      </c>
      <c r="H54" s="131"/>
      <c r="I54" s="131"/>
      <c r="J54" s="131"/>
      <c r="K54" s="133"/>
      <c r="L54" s="133"/>
      <c r="Q54" s="435"/>
      <c r="R54" s="161"/>
    </row>
    <row r="55" spans="1:18" ht="30.75" hidden="1" customHeight="1" x14ac:dyDescent="0.25">
      <c r="A55" s="128"/>
      <c r="B55" s="129" t="s">
        <v>735</v>
      </c>
      <c r="C55" s="130">
        <f t="shared" si="3"/>
        <v>1036</v>
      </c>
      <c r="D55" s="131">
        <f>1120-84</f>
        <v>1036</v>
      </c>
      <c r="E55" s="131"/>
      <c r="F55" s="131"/>
      <c r="G55" s="131"/>
      <c r="H55" s="131"/>
      <c r="I55" s="131"/>
      <c r="J55" s="131"/>
      <c r="K55" s="133"/>
      <c r="L55" s="133"/>
      <c r="Q55" s="435"/>
      <c r="R55" s="161"/>
    </row>
    <row r="56" spans="1:18" ht="30.75" hidden="1" customHeight="1" x14ac:dyDescent="0.25">
      <c r="A56" s="128"/>
      <c r="B56" s="129" t="s">
        <v>736</v>
      </c>
      <c r="C56" s="130">
        <f t="shared" si="3"/>
        <v>1745</v>
      </c>
      <c r="D56" s="131">
        <f>1862-117</f>
        <v>1745</v>
      </c>
      <c r="E56" s="131"/>
      <c r="F56" s="131"/>
      <c r="G56" s="131"/>
      <c r="H56" s="131"/>
      <c r="I56" s="131"/>
      <c r="J56" s="131"/>
      <c r="K56" s="133"/>
      <c r="L56" s="133"/>
      <c r="Q56" s="435"/>
      <c r="R56" s="161"/>
    </row>
    <row r="57" spans="1:18" ht="30.75" hidden="1" customHeight="1" x14ac:dyDescent="0.25">
      <c r="A57" s="128"/>
      <c r="B57" s="134" t="s">
        <v>737</v>
      </c>
      <c r="C57" s="130">
        <f t="shared" si="3"/>
        <v>1015</v>
      </c>
      <c r="D57" s="131">
        <f>1085-70</f>
        <v>1015</v>
      </c>
      <c r="E57" s="131"/>
      <c r="F57" s="131"/>
      <c r="G57" s="131"/>
      <c r="H57" s="131"/>
      <c r="I57" s="131"/>
      <c r="J57" s="131"/>
      <c r="K57" s="133"/>
      <c r="L57" s="133"/>
      <c r="Q57" s="435"/>
      <c r="R57" s="161"/>
    </row>
    <row r="58" spans="1:18" ht="30.75" hidden="1" customHeight="1" x14ac:dyDescent="0.25">
      <c r="A58" s="128"/>
      <c r="B58" s="134" t="s">
        <v>738</v>
      </c>
      <c r="C58" s="130">
        <f t="shared" si="3"/>
        <v>1026</v>
      </c>
      <c r="D58" s="131">
        <f>1088-62</f>
        <v>1026</v>
      </c>
      <c r="E58" s="131"/>
      <c r="F58" s="131"/>
      <c r="G58" s="131"/>
      <c r="H58" s="131"/>
      <c r="I58" s="131"/>
      <c r="J58" s="131"/>
      <c r="K58" s="133"/>
      <c r="L58" s="133"/>
      <c r="Q58" s="435"/>
      <c r="R58" s="161"/>
    </row>
    <row r="59" spans="1:18" ht="30.75" hidden="1" customHeight="1" x14ac:dyDescent="0.25">
      <c r="A59" s="128"/>
      <c r="B59" s="134" t="s">
        <v>739</v>
      </c>
      <c r="C59" s="130">
        <f t="shared" si="3"/>
        <v>1071</v>
      </c>
      <c r="D59" s="131">
        <f>1143-72</f>
        <v>1071</v>
      </c>
      <c r="E59" s="131"/>
      <c r="F59" s="131"/>
      <c r="G59" s="131"/>
      <c r="H59" s="131"/>
      <c r="I59" s="131"/>
      <c r="J59" s="131"/>
      <c r="K59" s="133"/>
      <c r="L59" s="133"/>
      <c r="Q59" s="435"/>
      <c r="R59" s="161"/>
    </row>
    <row r="60" spans="1:18" ht="30.75" hidden="1" customHeight="1" x14ac:dyDescent="0.25">
      <c r="A60" s="128"/>
      <c r="B60" s="134" t="s">
        <v>740</v>
      </c>
      <c r="C60" s="130">
        <f t="shared" si="3"/>
        <v>1121</v>
      </c>
      <c r="D60" s="131">
        <f>1202-81</f>
        <v>1121</v>
      </c>
      <c r="E60" s="131"/>
      <c r="F60" s="131"/>
      <c r="G60" s="131"/>
      <c r="H60" s="131"/>
      <c r="I60" s="131"/>
      <c r="J60" s="131"/>
      <c r="K60" s="133"/>
      <c r="L60" s="133"/>
      <c r="Q60" s="435"/>
      <c r="R60" s="161"/>
    </row>
    <row r="61" spans="1:18" ht="30.75" hidden="1" customHeight="1" x14ac:dyDescent="0.25">
      <c r="A61" s="128"/>
      <c r="B61" s="134" t="s">
        <v>741</v>
      </c>
      <c r="C61" s="130">
        <f t="shared" si="3"/>
        <v>1168</v>
      </c>
      <c r="D61" s="131">
        <f>960-88-8</f>
        <v>864</v>
      </c>
      <c r="E61" s="131">
        <v>31</v>
      </c>
      <c r="F61" s="131">
        <v>31</v>
      </c>
      <c r="G61" s="131">
        <v>242</v>
      </c>
      <c r="H61" s="131"/>
      <c r="I61" s="131"/>
      <c r="J61" s="131"/>
      <c r="K61" s="133"/>
      <c r="L61" s="133"/>
      <c r="Q61" s="435"/>
      <c r="R61" s="161"/>
    </row>
    <row r="62" spans="1:18" ht="30.75" hidden="1" customHeight="1" x14ac:dyDescent="0.25">
      <c r="A62" s="128"/>
      <c r="B62" s="129" t="s">
        <v>742</v>
      </c>
      <c r="C62" s="130">
        <f t="shared" si="3"/>
        <v>862</v>
      </c>
      <c r="D62" s="131">
        <f>942-80</f>
        <v>862</v>
      </c>
      <c r="E62" s="131"/>
      <c r="F62" s="131"/>
      <c r="G62" s="131"/>
      <c r="H62" s="131"/>
      <c r="I62" s="131"/>
      <c r="J62" s="131"/>
      <c r="K62" s="133"/>
      <c r="L62" s="133"/>
      <c r="Q62" s="435"/>
      <c r="R62" s="161"/>
    </row>
    <row r="63" spans="1:18" ht="30.75" hidden="1" customHeight="1" x14ac:dyDescent="0.25">
      <c r="A63" s="128"/>
      <c r="B63" s="129" t="s">
        <v>743</v>
      </c>
      <c r="C63" s="130">
        <f t="shared" si="3"/>
        <v>609</v>
      </c>
      <c r="D63" s="131">
        <f>663-54</f>
        <v>609</v>
      </c>
      <c r="E63" s="131"/>
      <c r="F63" s="131"/>
      <c r="G63" s="131"/>
      <c r="H63" s="131"/>
      <c r="I63" s="131"/>
      <c r="J63" s="131"/>
      <c r="K63" s="133"/>
      <c r="L63" s="133"/>
      <c r="Q63" s="435"/>
      <c r="R63" s="161"/>
    </row>
    <row r="64" spans="1:18" ht="30.75" hidden="1" customHeight="1" x14ac:dyDescent="0.25">
      <c r="A64" s="128"/>
      <c r="B64" s="129" t="s">
        <v>744</v>
      </c>
      <c r="C64" s="130">
        <f t="shared" si="3"/>
        <v>498</v>
      </c>
      <c r="D64" s="131">
        <f>525-27</f>
        <v>498</v>
      </c>
      <c r="E64" s="131"/>
      <c r="F64" s="131"/>
      <c r="G64" s="131"/>
      <c r="H64" s="131"/>
      <c r="I64" s="131"/>
      <c r="J64" s="131"/>
      <c r="K64" s="133"/>
      <c r="L64" s="133"/>
      <c r="Q64" s="435"/>
      <c r="R64" s="161"/>
    </row>
    <row r="65" spans="1:18" ht="30.75" hidden="1" customHeight="1" x14ac:dyDescent="0.25">
      <c r="A65" s="128"/>
      <c r="B65" s="134" t="s">
        <v>745</v>
      </c>
      <c r="C65" s="130">
        <f t="shared" si="3"/>
        <v>318</v>
      </c>
      <c r="D65" s="131">
        <f>349-87-7</f>
        <v>255</v>
      </c>
      <c r="E65" s="131">
        <v>10</v>
      </c>
      <c r="F65" s="131">
        <v>10</v>
      </c>
      <c r="G65" s="131">
        <v>43</v>
      </c>
      <c r="H65" s="131"/>
      <c r="I65" s="131"/>
      <c r="J65" s="131"/>
      <c r="K65" s="133"/>
      <c r="L65" s="133"/>
      <c r="Q65" s="435"/>
      <c r="R65" s="161"/>
    </row>
    <row r="66" spans="1:18" ht="30.75" hidden="1" customHeight="1" x14ac:dyDescent="0.25">
      <c r="A66" s="128"/>
      <c r="B66" s="134" t="s">
        <v>746</v>
      </c>
      <c r="C66" s="130">
        <f t="shared" si="3"/>
        <v>197</v>
      </c>
      <c r="D66" s="131">
        <f>198-1</f>
        <v>197</v>
      </c>
      <c r="E66" s="131"/>
      <c r="F66" s="131"/>
      <c r="G66" s="131"/>
      <c r="H66" s="131"/>
      <c r="I66" s="131"/>
      <c r="J66" s="131"/>
      <c r="K66" s="133"/>
      <c r="L66" s="133"/>
      <c r="Q66" s="435"/>
      <c r="R66" s="161"/>
    </row>
    <row r="67" spans="1:18" ht="30.75" hidden="1" customHeight="1" x14ac:dyDescent="0.25">
      <c r="A67" s="128"/>
      <c r="B67" s="134" t="s">
        <v>747</v>
      </c>
      <c r="C67" s="130">
        <f t="shared" si="3"/>
        <v>182</v>
      </c>
      <c r="D67" s="131">
        <f>189-7</f>
        <v>182</v>
      </c>
      <c r="E67" s="131"/>
      <c r="F67" s="131"/>
      <c r="G67" s="131"/>
      <c r="H67" s="131"/>
      <c r="I67" s="131"/>
      <c r="J67" s="131"/>
      <c r="K67" s="133"/>
      <c r="L67" s="133"/>
      <c r="Q67" s="435"/>
      <c r="R67" s="161"/>
    </row>
    <row r="68" spans="1:18" ht="30.75" hidden="1" customHeight="1" x14ac:dyDescent="0.25">
      <c r="A68" s="128"/>
      <c r="B68" s="134" t="s">
        <v>748</v>
      </c>
      <c r="C68" s="130">
        <f t="shared" si="3"/>
        <v>179</v>
      </c>
      <c r="D68" s="131">
        <f>191-12</f>
        <v>179</v>
      </c>
      <c r="E68" s="131"/>
      <c r="F68" s="131"/>
      <c r="G68" s="131"/>
      <c r="H68" s="131"/>
      <c r="I68" s="131"/>
      <c r="J68" s="131"/>
      <c r="K68" s="133"/>
      <c r="L68" s="133"/>
      <c r="Q68" s="435"/>
      <c r="R68" s="161"/>
    </row>
    <row r="69" spans="1:18" ht="30.75" hidden="1" customHeight="1" x14ac:dyDescent="0.25">
      <c r="A69" s="128"/>
      <c r="B69" s="134" t="s">
        <v>749</v>
      </c>
      <c r="C69" s="130">
        <f t="shared" si="3"/>
        <v>292</v>
      </c>
      <c r="D69" s="131">
        <f>304-12</f>
        <v>292</v>
      </c>
      <c r="E69" s="131"/>
      <c r="F69" s="131"/>
      <c r="G69" s="131"/>
      <c r="H69" s="131"/>
      <c r="I69" s="131"/>
      <c r="J69" s="131"/>
      <c r="K69" s="133"/>
      <c r="L69" s="133"/>
      <c r="Q69" s="435"/>
      <c r="R69" s="161"/>
    </row>
    <row r="70" spans="1:18" ht="30.75" hidden="1" customHeight="1" x14ac:dyDescent="0.25">
      <c r="A70" s="128"/>
      <c r="B70" s="134" t="s">
        <v>750</v>
      </c>
      <c r="C70" s="130">
        <f t="shared" ref="C70:C133" si="6">SUM(D70:K70)</f>
        <v>171</v>
      </c>
      <c r="D70" s="131">
        <f>177-6</f>
        <v>171</v>
      </c>
      <c r="E70" s="131"/>
      <c r="F70" s="131"/>
      <c r="G70" s="131"/>
      <c r="H70" s="131"/>
      <c r="I70" s="131"/>
      <c r="J70" s="131"/>
      <c r="K70" s="133"/>
      <c r="L70" s="133"/>
      <c r="Q70" s="435"/>
      <c r="R70" s="161"/>
    </row>
    <row r="71" spans="1:18" ht="30.75" hidden="1" customHeight="1" x14ac:dyDescent="0.25">
      <c r="A71" s="128"/>
      <c r="B71" s="134" t="s">
        <v>751</v>
      </c>
      <c r="C71" s="130">
        <f t="shared" si="6"/>
        <v>290</v>
      </c>
      <c r="D71" s="131">
        <f>263-8-8</f>
        <v>247</v>
      </c>
      <c r="E71" s="131">
        <v>10</v>
      </c>
      <c r="F71" s="131">
        <v>10</v>
      </c>
      <c r="G71" s="131">
        <v>23</v>
      </c>
      <c r="H71" s="131"/>
      <c r="I71" s="131"/>
      <c r="J71" s="131"/>
      <c r="K71" s="133"/>
      <c r="L71" s="133"/>
      <c r="Q71" s="435"/>
      <c r="R71" s="161"/>
    </row>
    <row r="72" spans="1:18" s="119" customFormat="1" ht="30.75" hidden="1" customHeight="1" x14ac:dyDescent="0.2">
      <c r="A72" s="124">
        <v>3</v>
      </c>
      <c r="B72" s="138" t="s">
        <v>752</v>
      </c>
      <c r="C72" s="137">
        <f t="shared" si="6"/>
        <v>535.14819999999997</v>
      </c>
      <c r="D72" s="127">
        <v>533.80899999999997</v>
      </c>
      <c r="E72" s="127"/>
      <c r="F72" s="127"/>
      <c r="G72" s="127"/>
      <c r="H72" s="127">
        <v>1.3391999999999999</v>
      </c>
      <c r="I72" s="127"/>
      <c r="J72" s="127"/>
      <c r="K72" s="139"/>
      <c r="L72" s="139"/>
      <c r="Q72" s="434"/>
      <c r="R72" s="271"/>
    </row>
    <row r="73" spans="1:18" s="119" customFormat="1" ht="30.75" hidden="1" customHeight="1" x14ac:dyDescent="0.2">
      <c r="A73" s="124">
        <v>4</v>
      </c>
      <c r="B73" s="138" t="s">
        <v>753</v>
      </c>
      <c r="C73" s="137">
        <f t="shared" si="6"/>
        <v>223.90800000000002</v>
      </c>
      <c r="D73" s="127">
        <f>SUM(D74:D75)</f>
        <v>223.90800000000002</v>
      </c>
      <c r="E73" s="127"/>
      <c r="F73" s="127"/>
      <c r="G73" s="127"/>
      <c r="H73" s="127"/>
      <c r="I73" s="127"/>
      <c r="J73" s="127"/>
      <c r="K73" s="139"/>
      <c r="L73" s="139"/>
      <c r="Q73" s="434"/>
      <c r="R73" s="271"/>
    </row>
    <row r="74" spans="1:18" ht="30.75" hidden="1" customHeight="1" x14ac:dyDescent="0.25">
      <c r="A74" s="128"/>
      <c r="B74" s="129" t="s">
        <v>754</v>
      </c>
      <c r="C74" s="130">
        <f t="shared" si="6"/>
        <v>190.69800000000001</v>
      </c>
      <c r="D74" s="131">
        <v>190.69800000000001</v>
      </c>
      <c r="E74" s="131"/>
      <c r="F74" s="131"/>
      <c r="G74" s="131"/>
      <c r="H74" s="131"/>
      <c r="I74" s="131"/>
      <c r="J74" s="131"/>
      <c r="K74" s="133"/>
      <c r="L74" s="133"/>
      <c r="Q74" s="435"/>
      <c r="R74" s="161"/>
    </row>
    <row r="75" spans="1:18" ht="30.75" hidden="1" customHeight="1" x14ac:dyDescent="0.25">
      <c r="A75" s="128"/>
      <c r="B75" s="129" t="s">
        <v>755</v>
      </c>
      <c r="C75" s="130">
        <f t="shared" si="6"/>
        <v>33.21</v>
      </c>
      <c r="D75" s="131">
        <v>33.21</v>
      </c>
      <c r="E75" s="131"/>
      <c r="F75" s="131"/>
      <c r="G75" s="131"/>
      <c r="H75" s="131"/>
      <c r="I75" s="131"/>
      <c r="J75" s="131"/>
      <c r="K75" s="133"/>
      <c r="L75" s="133"/>
      <c r="Q75" s="435"/>
      <c r="R75" s="161"/>
    </row>
    <row r="76" spans="1:18" s="119" customFormat="1" ht="30.75" hidden="1" customHeight="1" x14ac:dyDescent="0.2">
      <c r="A76" s="124">
        <v>5</v>
      </c>
      <c r="B76" s="125" t="s">
        <v>756</v>
      </c>
      <c r="C76" s="137">
        <f t="shared" si="6"/>
        <v>406.17320000000001</v>
      </c>
      <c r="D76" s="127">
        <f>SUM(D77:D78)</f>
        <v>405.05</v>
      </c>
      <c r="E76" s="127"/>
      <c r="F76" s="127"/>
      <c r="G76" s="127"/>
      <c r="H76" s="127">
        <f>SUM(H77:H78)</f>
        <v>1.1232</v>
      </c>
      <c r="I76" s="127"/>
      <c r="J76" s="127"/>
      <c r="K76" s="127">
        <f>SUM(K77:K78)</f>
        <v>0</v>
      </c>
      <c r="L76" s="127">
        <f>SUM(L77:L78)</f>
        <v>0</v>
      </c>
      <c r="Q76" s="434"/>
      <c r="R76" s="271"/>
    </row>
    <row r="77" spans="1:18" ht="30.75" hidden="1" customHeight="1" x14ac:dyDescent="0.25">
      <c r="A77" s="128"/>
      <c r="B77" s="129" t="s">
        <v>754</v>
      </c>
      <c r="C77" s="130">
        <f t="shared" si="6"/>
        <v>351.86320000000001</v>
      </c>
      <c r="D77" s="131">
        <v>350.74</v>
      </c>
      <c r="E77" s="131"/>
      <c r="F77" s="131"/>
      <c r="G77" s="131"/>
      <c r="H77" s="131">
        <v>1.1232</v>
      </c>
      <c r="I77" s="131"/>
      <c r="J77" s="131"/>
      <c r="K77" s="133"/>
      <c r="L77" s="133"/>
      <c r="Q77" s="435"/>
      <c r="R77" s="161"/>
    </row>
    <row r="78" spans="1:18" ht="30.75" hidden="1" customHeight="1" x14ac:dyDescent="0.25">
      <c r="A78" s="128"/>
      <c r="B78" s="129" t="s">
        <v>757</v>
      </c>
      <c r="C78" s="130">
        <f t="shared" si="6"/>
        <v>54.31</v>
      </c>
      <c r="D78" s="131">
        <v>54.31</v>
      </c>
      <c r="E78" s="131"/>
      <c r="F78" s="131"/>
      <c r="G78" s="131"/>
      <c r="H78" s="131"/>
      <c r="I78" s="131"/>
      <c r="J78" s="131"/>
      <c r="K78" s="133"/>
      <c r="L78" s="133"/>
      <c r="Q78" s="435"/>
      <c r="R78" s="161"/>
    </row>
    <row r="79" spans="1:18" s="119" customFormat="1" ht="30.75" hidden="1" customHeight="1" x14ac:dyDescent="0.2">
      <c r="A79" s="124">
        <v>6</v>
      </c>
      <c r="B79" s="125" t="s">
        <v>165</v>
      </c>
      <c r="C79" s="137">
        <f t="shared" si="6"/>
        <v>274.63040000000001</v>
      </c>
      <c r="D79" s="127">
        <v>273.68</v>
      </c>
      <c r="E79" s="127"/>
      <c r="F79" s="127"/>
      <c r="G79" s="127"/>
      <c r="H79" s="127">
        <v>0.95039999999999991</v>
      </c>
      <c r="I79" s="127"/>
      <c r="J79" s="127"/>
      <c r="K79" s="139"/>
      <c r="L79" s="139"/>
      <c r="Q79" s="434"/>
      <c r="R79" s="271"/>
    </row>
    <row r="80" spans="1:18" s="119" customFormat="1" ht="30.75" hidden="1" customHeight="1" x14ac:dyDescent="0.2">
      <c r="A80" s="124">
        <v>7</v>
      </c>
      <c r="B80" s="125" t="s">
        <v>161</v>
      </c>
      <c r="C80" s="137">
        <f t="shared" si="6"/>
        <v>210.3998</v>
      </c>
      <c r="D80" s="127">
        <v>209.03899999999999</v>
      </c>
      <c r="E80" s="127"/>
      <c r="F80" s="127"/>
      <c r="G80" s="127"/>
      <c r="H80" s="127">
        <v>1.3607999999999998</v>
      </c>
      <c r="I80" s="127"/>
      <c r="J80" s="127"/>
      <c r="K80" s="139"/>
      <c r="L80" s="139"/>
      <c r="Q80" s="434"/>
      <c r="R80" s="271"/>
    </row>
    <row r="81" spans="1:18" s="119" customFormat="1" ht="30.75" hidden="1" customHeight="1" x14ac:dyDescent="0.2">
      <c r="A81" s="124">
        <v>8</v>
      </c>
      <c r="B81" s="125" t="s">
        <v>758</v>
      </c>
      <c r="C81" s="137">
        <f t="shared" si="6"/>
        <v>1043.5860892799999</v>
      </c>
      <c r="D81" s="127">
        <v>1042.37648928</v>
      </c>
      <c r="E81" s="127"/>
      <c r="F81" s="127"/>
      <c r="G81" s="127"/>
      <c r="H81" s="127">
        <f>H82</f>
        <v>1.2096</v>
      </c>
      <c r="I81" s="127"/>
      <c r="J81" s="127"/>
      <c r="K81" s="127">
        <f>SUM(K82:K83)</f>
        <v>0</v>
      </c>
      <c r="L81" s="127">
        <f>SUM(L82:L83)</f>
        <v>0</v>
      </c>
      <c r="Q81" s="434"/>
      <c r="R81" s="271"/>
    </row>
    <row r="82" spans="1:18" ht="30.75" hidden="1" customHeight="1" x14ac:dyDescent="0.25">
      <c r="A82" s="128"/>
      <c r="B82" s="129" t="s">
        <v>754</v>
      </c>
      <c r="C82" s="130">
        <f t="shared" si="6"/>
        <v>178.9256</v>
      </c>
      <c r="D82" s="131">
        <v>177.71600000000001</v>
      </c>
      <c r="E82" s="131"/>
      <c r="F82" s="131"/>
      <c r="G82" s="131"/>
      <c r="H82" s="131">
        <v>1.2096</v>
      </c>
      <c r="I82" s="131"/>
      <c r="J82" s="131"/>
      <c r="K82" s="133"/>
      <c r="L82" s="133"/>
      <c r="Q82" s="435"/>
      <c r="R82" s="161"/>
    </row>
    <row r="83" spans="1:18" ht="30.75" hidden="1" customHeight="1" x14ac:dyDescent="0.25">
      <c r="A83" s="128"/>
      <c r="B83" s="129" t="s">
        <v>759</v>
      </c>
      <c r="C83" s="130">
        <f t="shared" si="6"/>
        <v>104.518</v>
      </c>
      <c r="D83" s="131">
        <v>104.518</v>
      </c>
      <c r="E83" s="131"/>
      <c r="F83" s="131"/>
      <c r="G83" s="131"/>
      <c r="H83" s="131"/>
      <c r="I83" s="131"/>
      <c r="J83" s="131"/>
      <c r="K83" s="133"/>
      <c r="L83" s="133"/>
      <c r="Q83" s="435"/>
      <c r="R83" s="161"/>
    </row>
    <row r="84" spans="1:18" s="119" customFormat="1" ht="30.75" hidden="1" customHeight="1" x14ac:dyDescent="0.2">
      <c r="A84" s="124">
        <v>9</v>
      </c>
      <c r="B84" s="125" t="s">
        <v>160</v>
      </c>
      <c r="C84" s="137">
        <f t="shared" si="6"/>
        <v>389.99400000000003</v>
      </c>
      <c r="D84" s="127">
        <f>D85+D90</f>
        <v>389.99400000000003</v>
      </c>
      <c r="E84" s="127"/>
      <c r="F84" s="127"/>
      <c r="G84" s="127"/>
      <c r="H84" s="127"/>
      <c r="I84" s="127"/>
      <c r="J84" s="127"/>
      <c r="K84" s="127">
        <f>K85+K90</f>
        <v>0</v>
      </c>
      <c r="L84" s="127">
        <f>L85+L90</f>
        <v>0</v>
      </c>
      <c r="Q84" s="434"/>
      <c r="R84" s="271"/>
    </row>
    <row r="85" spans="1:18" ht="30.75" hidden="1" customHeight="1" x14ac:dyDescent="0.25">
      <c r="A85" s="128"/>
      <c r="B85" s="129" t="s">
        <v>754</v>
      </c>
      <c r="C85" s="130">
        <f t="shared" si="6"/>
        <v>362.98200000000003</v>
      </c>
      <c r="D85" s="131">
        <v>362.98200000000003</v>
      </c>
      <c r="E85" s="131"/>
      <c r="F85" s="131"/>
      <c r="G85" s="131"/>
      <c r="H85" s="131"/>
      <c r="I85" s="131"/>
      <c r="J85" s="131"/>
      <c r="K85" s="131">
        <f>SUM(K86:K89)</f>
        <v>0</v>
      </c>
      <c r="L85" s="131">
        <f>SUM(L86:L89)</f>
        <v>0</v>
      </c>
      <c r="Q85" s="435"/>
      <c r="R85" s="161"/>
    </row>
    <row r="86" spans="1:18" ht="30.75" hidden="1" customHeight="1" x14ac:dyDescent="0.25">
      <c r="A86" s="128"/>
      <c r="B86" s="134" t="s">
        <v>760</v>
      </c>
      <c r="C86" s="130">
        <f t="shared" si="6"/>
        <v>724</v>
      </c>
      <c r="D86" s="131">
        <v>724</v>
      </c>
      <c r="E86" s="131"/>
      <c r="F86" s="131"/>
      <c r="G86" s="131"/>
      <c r="H86" s="131"/>
      <c r="I86" s="131"/>
      <c r="J86" s="131"/>
      <c r="K86" s="133"/>
      <c r="L86" s="133"/>
      <c r="Q86" s="435"/>
      <c r="R86" s="161"/>
    </row>
    <row r="87" spans="1:18" ht="30.75" hidden="1" customHeight="1" x14ac:dyDescent="0.25">
      <c r="A87" s="128"/>
      <c r="B87" s="134" t="s">
        <v>761</v>
      </c>
      <c r="C87" s="130">
        <f t="shared" si="6"/>
        <v>276</v>
      </c>
      <c r="D87" s="131">
        <v>276</v>
      </c>
      <c r="E87" s="131"/>
      <c r="F87" s="131"/>
      <c r="G87" s="131"/>
      <c r="H87" s="131"/>
      <c r="I87" s="131"/>
      <c r="J87" s="131"/>
      <c r="K87" s="133"/>
      <c r="L87" s="133"/>
      <c r="Q87" s="435"/>
      <c r="R87" s="161"/>
    </row>
    <row r="88" spans="1:18" ht="30.75" hidden="1" customHeight="1" x14ac:dyDescent="0.25">
      <c r="A88" s="128"/>
      <c r="B88" s="134" t="s">
        <v>762</v>
      </c>
      <c r="C88" s="130">
        <f t="shared" si="6"/>
        <v>197</v>
      </c>
      <c r="D88" s="131">
        <v>197</v>
      </c>
      <c r="E88" s="131"/>
      <c r="F88" s="131"/>
      <c r="G88" s="131"/>
      <c r="H88" s="131"/>
      <c r="I88" s="131"/>
      <c r="J88" s="131"/>
      <c r="K88" s="133"/>
      <c r="L88" s="133"/>
      <c r="Q88" s="435"/>
      <c r="R88" s="161"/>
    </row>
    <row r="89" spans="1:18" ht="30.75" hidden="1" customHeight="1" x14ac:dyDescent="0.25">
      <c r="A89" s="128"/>
      <c r="B89" s="134" t="s">
        <v>763</v>
      </c>
      <c r="C89" s="130">
        <f t="shared" si="6"/>
        <v>107</v>
      </c>
      <c r="D89" s="131">
        <v>107</v>
      </c>
      <c r="E89" s="131"/>
      <c r="F89" s="131"/>
      <c r="G89" s="131"/>
      <c r="H89" s="131"/>
      <c r="I89" s="131"/>
      <c r="J89" s="131"/>
      <c r="K89" s="133"/>
      <c r="L89" s="133"/>
      <c r="Q89" s="435"/>
      <c r="R89" s="161"/>
    </row>
    <row r="90" spans="1:18" ht="30.75" hidden="1" customHeight="1" x14ac:dyDescent="0.25">
      <c r="A90" s="128"/>
      <c r="B90" s="129" t="s">
        <v>757</v>
      </c>
      <c r="C90" s="130">
        <f t="shared" si="6"/>
        <v>27.012</v>
      </c>
      <c r="D90" s="131">
        <v>27.012</v>
      </c>
      <c r="E90" s="131"/>
      <c r="F90" s="131"/>
      <c r="G90" s="131"/>
      <c r="H90" s="131"/>
      <c r="I90" s="131"/>
      <c r="J90" s="131"/>
      <c r="K90" s="133"/>
      <c r="L90" s="133"/>
      <c r="Q90" s="435"/>
      <c r="R90" s="161"/>
    </row>
    <row r="91" spans="1:18" s="119" customFormat="1" ht="30.75" hidden="1" customHeight="1" x14ac:dyDescent="0.2">
      <c r="A91" s="124">
        <v>10</v>
      </c>
      <c r="B91" s="125" t="s">
        <v>163</v>
      </c>
      <c r="C91" s="137">
        <f t="shared" si="6"/>
        <v>409.61460000000005</v>
      </c>
      <c r="D91" s="127">
        <f>SUM(D92:D93)</f>
        <v>408.51300000000003</v>
      </c>
      <c r="E91" s="127">
        <f>SUM(E92:E93)</f>
        <v>0</v>
      </c>
      <c r="F91" s="127">
        <f>SUM(F92:F93)</f>
        <v>0</v>
      </c>
      <c r="G91" s="127">
        <f>SUM(G92:G93)</f>
        <v>0</v>
      </c>
      <c r="H91" s="127">
        <f>H92</f>
        <v>1.1015999999999999</v>
      </c>
      <c r="I91" s="127"/>
      <c r="J91" s="127"/>
      <c r="K91" s="127">
        <f>K92+K93</f>
        <v>0</v>
      </c>
      <c r="L91" s="127">
        <f>L92+L93</f>
        <v>0</v>
      </c>
      <c r="Q91" s="434"/>
      <c r="R91" s="271"/>
    </row>
    <row r="92" spans="1:18" ht="30.75" hidden="1" customHeight="1" x14ac:dyDescent="0.25">
      <c r="A92" s="128"/>
      <c r="B92" s="129" t="s">
        <v>754</v>
      </c>
      <c r="C92" s="130">
        <f t="shared" si="6"/>
        <v>208.6146</v>
      </c>
      <c r="D92" s="131">
        <v>207.51300000000001</v>
      </c>
      <c r="E92" s="131"/>
      <c r="F92" s="131"/>
      <c r="G92" s="131"/>
      <c r="H92" s="131">
        <v>1.1015999999999999</v>
      </c>
      <c r="I92" s="131"/>
      <c r="J92" s="131"/>
      <c r="K92" s="133"/>
      <c r="L92" s="133"/>
      <c r="Q92" s="435"/>
      <c r="R92" s="161"/>
    </row>
    <row r="93" spans="1:18" ht="30.75" hidden="1" customHeight="1" x14ac:dyDescent="0.25">
      <c r="A93" s="128"/>
      <c r="B93" s="129" t="s">
        <v>757</v>
      </c>
      <c r="C93" s="130">
        <f t="shared" si="6"/>
        <v>201</v>
      </c>
      <c r="D93" s="131">
        <v>201</v>
      </c>
      <c r="E93" s="131"/>
      <c r="F93" s="131"/>
      <c r="G93" s="131"/>
      <c r="H93" s="131"/>
      <c r="I93" s="131"/>
      <c r="J93" s="131"/>
      <c r="K93" s="131">
        <f>SUM(K94:K96)</f>
        <v>0</v>
      </c>
      <c r="L93" s="131">
        <f>SUM(L94:L96)</f>
        <v>0</v>
      </c>
      <c r="Q93" s="435"/>
      <c r="R93" s="161"/>
    </row>
    <row r="94" spans="1:18" ht="30.75" hidden="1" customHeight="1" x14ac:dyDescent="0.25">
      <c r="A94" s="128"/>
      <c r="B94" s="129" t="s">
        <v>764</v>
      </c>
      <c r="C94" s="130">
        <f t="shared" si="6"/>
        <v>605</v>
      </c>
      <c r="D94" s="131">
        <f>556-20</f>
        <v>536</v>
      </c>
      <c r="E94" s="131">
        <v>7</v>
      </c>
      <c r="F94" s="131">
        <v>7</v>
      </c>
      <c r="G94" s="131">
        <v>55</v>
      </c>
      <c r="H94" s="131"/>
      <c r="I94" s="131"/>
      <c r="J94" s="131"/>
      <c r="K94" s="133"/>
      <c r="L94" s="133"/>
      <c r="Q94" s="435"/>
      <c r="R94" s="161"/>
    </row>
    <row r="95" spans="1:18" ht="30.75" hidden="1" customHeight="1" x14ac:dyDescent="0.25">
      <c r="A95" s="128"/>
      <c r="B95" s="129" t="s">
        <v>765</v>
      </c>
      <c r="C95" s="130">
        <f t="shared" si="6"/>
        <v>261</v>
      </c>
      <c r="D95" s="131">
        <v>261</v>
      </c>
      <c r="E95" s="131"/>
      <c r="F95" s="131"/>
      <c r="G95" s="131"/>
      <c r="H95" s="131"/>
      <c r="I95" s="131"/>
      <c r="J95" s="131"/>
      <c r="K95" s="133"/>
      <c r="L95" s="133"/>
      <c r="Q95" s="435"/>
      <c r="R95" s="161"/>
    </row>
    <row r="96" spans="1:18" ht="30.75" hidden="1" customHeight="1" x14ac:dyDescent="0.25">
      <c r="A96" s="128"/>
      <c r="B96" s="134" t="s">
        <v>766</v>
      </c>
      <c r="C96" s="130">
        <f t="shared" si="6"/>
        <v>145</v>
      </c>
      <c r="D96" s="131">
        <v>145</v>
      </c>
      <c r="E96" s="131"/>
      <c r="F96" s="131"/>
      <c r="G96" s="131"/>
      <c r="H96" s="131"/>
      <c r="I96" s="131"/>
      <c r="J96" s="131"/>
      <c r="K96" s="133"/>
      <c r="L96" s="133"/>
      <c r="Q96" s="435"/>
      <c r="R96" s="161"/>
    </row>
    <row r="97" spans="1:18" s="119" customFormat="1" ht="30.75" hidden="1" customHeight="1" x14ac:dyDescent="0.2">
      <c r="A97" s="124">
        <v>11</v>
      </c>
      <c r="B97" s="125" t="s">
        <v>767</v>
      </c>
      <c r="C97" s="137">
        <f t="shared" si="6"/>
        <v>265.8494</v>
      </c>
      <c r="D97" s="127">
        <f>SUM(D98:D99)</f>
        <v>265.11500000000001</v>
      </c>
      <c r="E97" s="127"/>
      <c r="F97" s="127"/>
      <c r="G97" s="127"/>
      <c r="H97" s="127">
        <f>H98</f>
        <v>0.73439999999999994</v>
      </c>
      <c r="I97" s="127"/>
      <c r="J97" s="127"/>
      <c r="K97" s="127">
        <f>SUM(K98:K99)</f>
        <v>0</v>
      </c>
      <c r="L97" s="127">
        <f>SUM(L98:L99)</f>
        <v>0</v>
      </c>
      <c r="Q97" s="434"/>
      <c r="R97" s="271"/>
    </row>
    <row r="98" spans="1:18" ht="30.75" hidden="1" customHeight="1" x14ac:dyDescent="0.25">
      <c r="A98" s="128"/>
      <c r="B98" s="134" t="s">
        <v>754</v>
      </c>
      <c r="C98" s="130">
        <f t="shared" si="6"/>
        <v>198.04139999999998</v>
      </c>
      <c r="D98" s="131">
        <v>197.30699999999999</v>
      </c>
      <c r="E98" s="131"/>
      <c r="F98" s="131"/>
      <c r="G98" s="131"/>
      <c r="H98" s="131">
        <v>0.73439999999999994</v>
      </c>
      <c r="I98" s="131"/>
      <c r="J98" s="131"/>
      <c r="K98" s="133"/>
      <c r="L98" s="133"/>
      <c r="Q98" s="435"/>
      <c r="R98" s="161"/>
    </row>
    <row r="99" spans="1:18" ht="30.75" hidden="1" customHeight="1" x14ac:dyDescent="0.25">
      <c r="A99" s="128"/>
      <c r="B99" s="134" t="s">
        <v>757</v>
      </c>
      <c r="C99" s="130">
        <f t="shared" si="6"/>
        <v>67.808000000000007</v>
      </c>
      <c r="D99" s="131">
        <v>67.808000000000007</v>
      </c>
      <c r="E99" s="131"/>
      <c r="F99" s="131"/>
      <c r="G99" s="131"/>
      <c r="H99" s="131"/>
      <c r="I99" s="131"/>
      <c r="J99" s="131"/>
      <c r="K99" s="133"/>
      <c r="L99" s="133"/>
      <c r="Q99" s="435"/>
      <c r="R99" s="161"/>
    </row>
    <row r="100" spans="1:18" s="119" customFormat="1" ht="30.75" hidden="1" customHeight="1" x14ac:dyDescent="0.2">
      <c r="A100" s="124">
        <v>12</v>
      </c>
      <c r="B100" s="125" t="s">
        <v>176</v>
      </c>
      <c r="C100" s="137">
        <f t="shared" si="6"/>
        <v>423.91680000000002</v>
      </c>
      <c r="D100" s="127">
        <v>423.31200000000001</v>
      </c>
      <c r="E100" s="127"/>
      <c r="F100" s="127"/>
      <c r="G100" s="127"/>
      <c r="H100" s="127">
        <v>0.6048</v>
      </c>
      <c r="I100" s="127"/>
      <c r="J100" s="127"/>
      <c r="K100" s="139"/>
      <c r="L100" s="139"/>
      <c r="Q100" s="434"/>
      <c r="R100" s="271"/>
    </row>
    <row r="101" spans="1:18" s="119" customFormat="1" ht="30.75" hidden="1" customHeight="1" x14ac:dyDescent="0.2">
      <c r="A101" s="124">
        <v>13</v>
      </c>
      <c r="B101" s="125" t="s">
        <v>768</v>
      </c>
      <c r="C101" s="137">
        <f t="shared" si="6"/>
        <v>601.37720000000002</v>
      </c>
      <c r="D101" s="127">
        <f>D102+D105+D109+D103</f>
        <v>600.14600000000007</v>
      </c>
      <c r="E101" s="127">
        <f>E102+E105+E109+E103</f>
        <v>0</v>
      </c>
      <c r="F101" s="127">
        <f>F102+F105+F109+F103</f>
        <v>0</v>
      </c>
      <c r="G101" s="127">
        <f>G102+G105+G109+G103</f>
        <v>0</v>
      </c>
      <c r="H101" s="127">
        <f>H102</f>
        <v>1.2311999999999999</v>
      </c>
      <c r="I101" s="127"/>
      <c r="J101" s="127"/>
      <c r="K101" s="127">
        <f>K102+K105+K109+K103</f>
        <v>0</v>
      </c>
      <c r="L101" s="127">
        <f>L102+L105+L109+L103</f>
        <v>0</v>
      </c>
      <c r="Q101" s="434"/>
      <c r="R101" s="271"/>
    </row>
    <row r="102" spans="1:18" ht="30.75" hidden="1" customHeight="1" x14ac:dyDescent="0.25">
      <c r="A102" s="128"/>
      <c r="B102" s="129" t="s">
        <v>754</v>
      </c>
      <c r="C102" s="130">
        <f t="shared" si="6"/>
        <v>247.94720000000001</v>
      </c>
      <c r="D102" s="131">
        <f>2*123.358</f>
        <v>246.71600000000001</v>
      </c>
      <c r="E102" s="131"/>
      <c r="F102" s="131"/>
      <c r="G102" s="131"/>
      <c r="H102" s="131">
        <v>1.2311999999999999</v>
      </c>
      <c r="I102" s="131"/>
      <c r="J102" s="131"/>
      <c r="K102" s="133"/>
      <c r="L102" s="133"/>
      <c r="Q102" s="435"/>
      <c r="R102" s="161"/>
    </row>
    <row r="103" spans="1:18" ht="30.75" hidden="1" customHeight="1" x14ac:dyDescent="0.25">
      <c r="A103" s="128"/>
      <c r="B103" s="134" t="s">
        <v>769</v>
      </c>
      <c r="C103" s="130">
        <f t="shared" si="6"/>
        <v>25.138000000000002</v>
      </c>
      <c r="D103" s="131">
        <f>2*12.569</f>
        <v>25.138000000000002</v>
      </c>
      <c r="E103" s="131">
        <f>E104</f>
        <v>0</v>
      </c>
      <c r="F103" s="131">
        <f>F104</f>
        <v>0</v>
      </c>
      <c r="G103" s="131">
        <f>G104</f>
        <v>0</v>
      </c>
      <c r="H103" s="131"/>
      <c r="I103" s="131"/>
      <c r="J103" s="131"/>
      <c r="K103" s="133"/>
      <c r="L103" s="133"/>
      <c r="Q103" s="435"/>
      <c r="R103" s="161"/>
    </row>
    <row r="104" spans="1:18" ht="30.75" hidden="1" customHeight="1" x14ac:dyDescent="0.25">
      <c r="A104" s="128"/>
      <c r="B104" s="129" t="s">
        <v>770</v>
      </c>
      <c r="C104" s="130">
        <f t="shared" si="6"/>
        <v>1129</v>
      </c>
      <c r="D104" s="131">
        <f>1165-36</f>
        <v>1129</v>
      </c>
      <c r="E104" s="131"/>
      <c r="F104" s="131"/>
      <c r="G104" s="131"/>
      <c r="H104" s="131"/>
      <c r="I104" s="131"/>
      <c r="J104" s="131"/>
      <c r="K104" s="133"/>
      <c r="L104" s="133"/>
      <c r="Q104" s="435"/>
      <c r="R104" s="161"/>
    </row>
    <row r="105" spans="1:18" ht="30.75" hidden="1" customHeight="1" x14ac:dyDescent="0.25">
      <c r="A105" s="128"/>
      <c r="B105" s="129" t="s">
        <v>771</v>
      </c>
      <c r="C105" s="130">
        <f t="shared" si="6"/>
        <v>280.07799999999997</v>
      </c>
      <c r="D105" s="131">
        <f>2*140.039</f>
        <v>280.07799999999997</v>
      </c>
      <c r="E105" s="131">
        <f>SUM(E106:E108)</f>
        <v>0</v>
      </c>
      <c r="F105" s="131">
        <f>SUM(F106:F108)</f>
        <v>0</v>
      </c>
      <c r="G105" s="131">
        <f>SUM(G106:G108)</f>
        <v>0</v>
      </c>
      <c r="H105" s="131"/>
      <c r="I105" s="131"/>
      <c r="J105" s="131"/>
      <c r="K105" s="131">
        <f>SUM(K106:K108)</f>
        <v>0</v>
      </c>
      <c r="L105" s="131">
        <f>SUM(L106:L108)</f>
        <v>0</v>
      </c>
      <c r="Q105" s="435"/>
      <c r="R105" s="161"/>
    </row>
    <row r="106" spans="1:18" ht="30.75" hidden="1" customHeight="1" x14ac:dyDescent="0.25">
      <c r="A106" s="128"/>
      <c r="B106" s="134" t="s">
        <v>772</v>
      </c>
      <c r="C106" s="130">
        <f t="shared" si="6"/>
        <v>833</v>
      </c>
      <c r="D106" s="131">
        <v>833</v>
      </c>
      <c r="E106" s="131"/>
      <c r="F106" s="131"/>
      <c r="G106" s="131"/>
      <c r="H106" s="131"/>
      <c r="I106" s="131"/>
      <c r="J106" s="131"/>
      <c r="K106" s="133"/>
      <c r="L106" s="133"/>
      <c r="Q106" s="435"/>
      <c r="R106" s="161"/>
    </row>
    <row r="107" spans="1:18" ht="30.75" hidden="1" customHeight="1" x14ac:dyDescent="0.25">
      <c r="A107" s="128"/>
      <c r="B107" s="129" t="s">
        <v>773</v>
      </c>
      <c r="C107" s="130">
        <f t="shared" si="6"/>
        <v>363</v>
      </c>
      <c r="D107" s="131">
        <f>414-51</f>
        <v>363</v>
      </c>
      <c r="E107" s="131"/>
      <c r="F107" s="131"/>
      <c r="G107" s="131"/>
      <c r="H107" s="131"/>
      <c r="I107" s="131"/>
      <c r="J107" s="131"/>
      <c r="K107" s="133"/>
      <c r="L107" s="133"/>
      <c r="Q107" s="435"/>
      <c r="R107" s="161"/>
    </row>
    <row r="108" spans="1:18" ht="37.5" hidden="1" customHeight="1" x14ac:dyDescent="0.25">
      <c r="A108" s="128"/>
      <c r="B108" s="136" t="s">
        <v>774</v>
      </c>
      <c r="C108" s="130">
        <f t="shared" si="6"/>
        <v>74</v>
      </c>
      <c r="D108" s="131">
        <v>74</v>
      </c>
      <c r="E108" s="131"/>
      <c r="F108" s="131"/>
      <c r="G108" s="131"/>
      <c r="H108" s="131"/>
      <c r="I108" s="131"/>
      <c r="J108" s="131"/>
      <c r="K108" s="133"/>
      <c r="L108" s="133"/>
      <c r="Q108" s="435"/>
      <c r="R108" s="161"/>
    </row>
    <row r="109" spans="1:18" ht="30.75" hidden="1" customHeight="1" x14ac:dyDescent="0.25">
      <c r="A109" s="128"/>
      <c r="B109" s="135" t="s">
        <v>775</v>
      </c>
      <c r="C109" s="130">
        <f t="shared" si="6"/>
        <v>48.213999999999999</v>
      </c>
      <c r="D109" s="131">
        <f>2*24.107</f>
        <v>48.213999999999999</v>
      </c>
      <c r="E109" s="131"/>
      <c r="F109" s="131"/>
      <c r="G109" s="131"/>
      <c r="H109" s="131"/>
      <c r="I109" s="131"/>
      <c r="J109" s="131"/>
      <c r="K109" s="133"/>
      <c r="L109" s="133"/>
      <c r="Q109" s="435"/>
      <c r="R109" s="161"/>
    </row>
    <row r="110" spans="1:18" s="119" customFormat="1" ht="30.75" hidden="1" customHeight="1" x14ac:dyDescent="0.2">
      <c r="A110" s="124">
        <v>14</v>
      </c>
      <c r="B110" s="140" t="s">
        <v>776</v>
      </c>
      <c r="C110" s="137">
        <f t="shared" si="6"/>
        <v>852.9079999999999</v>
      </c>
      <c r="D110" s="127">
        <f>D111+D112+D118+D119</f>
        <v>851.93599999999992</v>
      </c>
      <c r="E110" s="127">
        <f>E111+E112+E118+E119</f>
        <v>0</v>
      </c>
      <c r="F110" s="127">
        <f t="shared" ref="F110:K110" si="7">F111+F112+F118+F119</f>
        <v>0</v>
      </c>
      <c r="G110" s="127">
        <f t="shared" si="7"/>
        <v>0</v>
      </c>
      <c r="H110" s="127">
        <f t="shared" si="7"/>
        <v>0.97199999999999998</v>
      </c>
      <c r="I110" s="127">
        <f t="shared" si="7"/>
        <v>0</v>
      </c>
      <c r="J110" s="127">
        <f t="shared" si="7"/>
        <v>0</v>
      </c>
      <c r="K110" s="127">
        <f t="shared" si="7"/>
        <v>0</v>
      </c>
      <c r="L110" s="127">
        <f>L111+L112+L118+L119</f>
        <v>0</v>
      </c>
      <c r="Q110" s="434"/>
      <c r="R110" s="271"/>
    </row>
    <row r="111" spans="1:18" ht="30.75" hidden="1" customHeight="1" x14ac:dyDescent="0.25">
      <c r="A111" s="128"/>
      <c r="B111" s="134" t="s">
        <v>754</v>
      </c>
      <c r="C111" s="130">
        <f t="shared" si="6"/>
        <v>275.43199999999996</v>
      </c>
      <c r="D111" s="131">
        <v>274.45999999999998</v>
      </c>
      <c r="E111" s="131"/>
      <c r="F111" s="131"/>
      <c r="G111" s="131"/>
      <c r="H111" s="131">
        <v>0.97199999999999998</v>
      </c>
      <c r="I111" s="131"/>
      <c r="J111" s="131"/>
      <c r="K111" s="133"/>
      <c r="L111" s="133"/>
      <c r="Q111" s="435"/>
      <c r="R111" s="161"/>
    </row>
    <row r="112" spans="1:18" ht="30.75" hidden="1" customHeight="1" x14ac:dyDescent="0.25">
      <c r="A112" s="128"/>
      <c r="B112" s="134" t="s">
        <v>777</v>
      </c>
      <c r="C112" s="130">
        <f t="shared" si="6"/>
        <v>541.51199999999994</v>
      </c>
      <c r="D112" s="131">
        <v>541.51199999999994</v>
      </c>
      <c r="E112" s="131"/>
      <c r="F112" s="131"/>
      <c r="G112" s="131"/>
      <c r="H112" s="131"/>
      <c r="I112" s="131"/>
      <c r="J112" s="131"/>
      <c r="K112" s="131">
        <f>SUM(K113:K117)</f>
        <v>0</v>
      </c>
      <c r="L112" s="131">
        <f>SUM(L113:L117)</f>
        <v>0</v>
      </c>
      <c r="Q112" s="435"/>
      <c r="R112" s="161"/>
    </row>
    <row r="113" spans="1:18" ht="30.75" hidden="1" customHeight="1" x14ac:dyDescent="0.25">
      <c r="A113" s="128"/>
      <c r="B113" s="134" t="s">
        <v>778</v>
      </c>
      <c r="C113" s="130">
        <f t="shared" si="6"/>
        <v>523</v>
      </c>
      <c r="D113" s="131">
        <v>523</v>
      </c>
      <c r="E113" s="131"/>
      <c r="F113" s="131"/>
      <c r="G113" s="131"/>
      <c r="H113" s="131"/>
      <c r="I113" s="131"/>
      <c r="J113" s="131"/>
      <c r="K113" s="133"/>
      <c r="L113" s="133"/>
      <c r="Q113" s="435"/>
      <c r="R113" s="161"/>
    </row>
    <row r="114" spans="1:18" ht="30.75" hidden="1" customHeight="1" x14ac:dyDescent="0.25">
      <c r="A114" s="128"/>
      <c r="B114" s="134" t="s">
        <v>779</v>
      </c>
      <c r="C114" s="130">
        <f t="shared" si="6"/>
        <v>778</v>
      </c>
      <c r="D114" s="131">
        <f>552-130</f>
        <v>422</v>
      </c>
      <c r="E114" s="131"/>
      <c r="F114" s="131"/>
      <c r="G114" s="131">
        <v>356</v>
      </c>
      <c r="H114" s="131"/>
      <c r="I114" s="131"/>
      <c r="J114" s="131"/>
      <c r="K114" s="133"/>
      <c r="L114" s="133"/>
      <c r="Q114" s="435"/>
      <c r="R114" s="161"/>
    </row>
    <row r="115" spans="1:18" ht="30.75" hidden="1" customHeight="1" x14ac:dyDescent="0.25">
      <c r="A115" s="128"/>
      <c r="B115" s="134" t="s">
        <v>780</v>
      </c>
      <c r="C115" s="130">
        <f t="shared" si="6"/>
        <v>753</v>
      </c>
      <c r="D115" s="131">
        <v>753</v>
      </c>
      <c r="E115" s="131"/>
      <c r="F115" s="131"/>
      <c r="G115" s="131"/>
      <c r="H115" s="131"/>
      <c r="I115" s="131"/>
      <c r="J115" s="131"/>
      <c r="K115" s="133"/>
      <c r="L115" s="133"/>
      <c r="Q115" s="435"/>
      <c r="R115" s="161"/>
    </row>
    <row r="116" spans="1:18" ht="30.75" hidden="1" customHeight="1" x14ac:dyDescent="0.25">
      <c r="A116" s="128"/>
      <c r="B116" s="134" t="s">
        <v>781</v>
      </c>
      <c r="C116" s="130">
        <f t="shared" si="6"/>
        <v>254</v>
      </c>
      <c r="D116" s="131">
        <v>254</v>
      </c>
      <c r="E116" s="131"/>
      <c r="F116" s="131"/>
      <c r="G116" s="131"/>
      <c r="H116" s="131"/>
      <c r="I116" s="131"/>
      <c r="J116" s="131"/>
      <c r="K116" s="133"/>
      <c r="L116" s="133"/>
      <c r="Q116" s="435"/>
      <c r="R116" s="161"/>
    </row>
    <row r="117" spans="1:18" ht="30.75" hidden="1" customHeight="1" x14ac:dyDescent="0.25">
      <c r="A117" s="128"/>
      <c r="B117" s="134" t="s">
        <v>782</v>
      </c>
      <c r="C117" s="130">
        <f t="shared" si="6"/>
        <v>196</v>
      </c>
      <c r="D117" s="131">
        <v>196</v>
      </c>
      <c r="E117" s="131"/>
      <c r="F117" s="131"/>
      <c r="G117" s="131"/>
      <c r="H117" s="131"/>
      <c r="I117" s="131"/>
      <c r="J117" s="131"/>
      <c r="K117" s="133"/>
      <c r="L117" s="133"/>
      <c r="Q117" s="435"/>
      <c r="R117" s="161"/>
    </row>
    <row r="118" spans="1:18" s="146" customFormat="1" ht="30.75" hidden="1" customHeight="1" x14ac:dyDescent="0.25">
      <c r="A118" s="141"/>
      <c r="B118" s="142"/>
      <c r="C118" s="143"/>
      <c r="D118" s="144"/>
      <c r="E118" s="144"/>
      <c r="F118" s="144"/>
      <c r="G118" s="144"/>
      <c r="H118" s="144"/>
      <c r="I118" s="144"/>
      <c r="J118" s="144"/>
      <c r="K118" s="145"/>
      <c r="L118" s="145"/>
      <c r="Q118" s="436"/>
      <c r="R118" s="272"/>
    </row>
    <row r="119" spans="1:18" s="146" customFormat="1" ht="35.25" hidden="1" customHeight="1" x14ac:dyDescent="0.25">
      <c r="A119" s="141"/>
      <c r="B119" s="135" t="s">
        <v>783</v>
      </c>
      <c r="C119" s="143">
        <f t="shared" si="6"/>
        <v>35.963999999999999</v>
      </c>
      <c r="D119" s="133">
        <v>35.963999999999999</v>
      </c>
      <c r="E119" s="133"/>
      <c r="F119" s="133"/>
      <c r="G119" s="133"/>
      <c r="H119" s="133"/>
      <c r="I119" s="133"/>
      <c r="J119" s="133"/>
      <c r="K119" s="133"/>
      <c r="L119" s="133"/>
      <c r="Q119" s="436"/>
      <c r="R119" s="272"/>
    </row>
    <row r="120" spans="1:18" s="119" customFormat="1" ht="30.75" hidden="1" customHeight="1" x14ac:dyDescent="0.2">
      <c r="A120" s="124">
        <v>15</v>
      </c>
      <c r="B120" s="140" t="s">
        <v>169</v>
      </c>
      <c r="C120" s="137">
        <f t="shared" si="6"/>
        <v>288.1302</v>
      </c>
      <c r="D120" s="127">
        <f>D121+D124</f>
        <v>286.791</v>
      </c>
      <c r="E120" s="127">
        <f>E121+E124</f>
        <v>0</v>
      </c>
      <c r="F120" s="127">
        <f>F121+F124</f>
        <v>0</v>
      </c>
      <c r="G120" s="127">
        <f>G121+G124</f>
        <v>0</v>
      </c>
      <c r="H120" s="127">
        <f>H121</f>
        <v>1.3391999999999999</v>
      </c>
      <c r="I120" s="127"/>
      <c r="J120" s="127"/>
      <c r="K120" s="127">
        <f>K121+K124</f>
        <v>0</v>
      </c>
      <c r="L120" s="127">
        <f>L121+L124</f>
        <v>0</v>
      </c>
      <c r="Q120" s="434"/>
      <c r="R120" s="271"/>
    </row>
    <row r="121" spans="1:18" ht="30.75" hidden="1" customHeight="1" x14ac:dyDescent="0.25">
      <c r="A121" s="128"/>
      <c r="B121" s="134" t="s">
        <v>754</v>
      </c>
      <c r="C121" s="130">
        <f t="shared" si="6"/>
        <v>207.43720000000002</v>
      </c>
      <c r="D121" s="131">
        <v>206.09800000000001</v>
      </c>
      <c r="E121" s="131"/>
      <c r="F121" s="131"/>
      <c r="G121" s="131"/>
      <c r="H121" s="131">
        <v>1.3391999999999999</v>
      </c>
      <c r="I121" s="131"/>
      <c r="J121" s="131"/>
      <c r="K121" s="133"/>
      <c r="L121" s="133"/>
      <c r="Q121" s="435"/>
      <c r="R121" s="161"/>
    </row>
    <row r="122" spans="1:18" ht="30.75" hidden="1" customHeight="1" x14ac:dyDescent="0.25">
      <c r="A122" s="128"/>
      <c r="B122" s="134" t="s">
        <v>784</v>
      </c>
      <c r="C122" s="130">
        <f t="shared" si="6"/>
        <v>698</v>
      </c>
      <c r="D122" s="131">
        <v>698</v>
      </c>
      <c r="E122" s="131"/>
      <c r="F122" s="131"/>
      <c r="G122" s="131"/>
      <c r="H122" s="131"/>
      <c r="I122" s="131"/>
      <c r="J122" s="131"/>
      <c r="K122" s="133"/>
      <c r="L122" s="133"/>
      <c r="Q122" s="435"/>
      <c r="R122" s="161"/>
    </row>
    <row r="123" spans="1:18" ht="30.75" hidden="1" customHeight="1" x14ac:dyDescent="0.25">
      <c r="A123" s="128"/>
      <c r="B123" s="134" t="s">
        <v>785</v>
      </c>
      <c r="C123" s="130">
        <f t="shared" si="6"/>
        <v>197</v>
      </c>
      <c r="D123" s="131">
        <v>197</v>
      </c>
      <c r="E123" s="131"/>
      <c r="F123" s="131"/>
      <c r="G123" s="131"/>
      <c r="H123" s="131"/>
      <c r="I123" s="131"/>
      <c r="J123" s="131"/>
      <c r="K123" s="133"/>
      <c r="L123" s="133"/>
      <c r="Q123" s="435"/>
      <c r="R123" s="161"/>
    </row>
    <row r="124" spans="1:18" ht="30.75" hidden="1" customHeight="1" x14ac:dyDescent="0.25">
      <c r="A124" s="128"/>
      <c r="B124" s="134" t="s">
        <v>786</v>
      </c>
      <c r="C124" s="130">
        <f t="shared" si="6"/>
        <v>80.692999999999998</v>
      </c>
      <c r="D124" s="131">
        <v>80.692999999999998</v>
      </c>
      <c r="E124" s="131"/>
      <c r="F124" s="131"/>
      <c r="G124" s="131"/>
      <c r="H124" s="131"/>
      <c r="I124" s="131"/>
      <c r="J124" s="131"/>
      <c r="K124" s="133"/>
      <c r="L124" s="133"/>
      <c r="Q124" s="435"/>
      <c r="R124" s="161"/>
    </row>
    <row r="125" spans="1:18" s="119" customFormat="1" ht="30.75" hidden="1" customHeight="1" x14ac:dyDescent="0.2">
      <c r="A125" s="124">
        <v>16</v>
      </c>
      <c r="B125" s="140" t="s">
        <v>162</v>
      </c>
      <c r="C125" s="137">
        <f t="shared" si="6"/>
        <v>296.11960000000005</v>
      </c>
      <c r="D125" s="127">
        <v>294.91000000000003</v>
      </c>
      <c r="E125" s="127"/>
      <c r="F125" s="127"/>
      <c r="G125" s="127"/>
      <c r="H125" s="127">
        <v>1.2096</v>
      </c>
      <c r="I125" s="127"/>
      <c r="J125" s="127"/>
      <c r="K125" s="139"/>
      <c r="L125" s="139"/>
      <c r="Q125" s="434"/>
      <c r="R125" s="271"/>
    </row>
    <row r="126" spans="1:18" s="119" customFormat="1" ht="30.75" hidden="1" customHeight="1" x14ac:dyDescent="0.2">
      <c r="A126" s="124">
        <v>17</v>
      </c>
      <c r="B126" s="140" t="s">
        <v>787</v>
      </c>
      <c r="C126" s="137">
        <f t="shared" si="6"/>
        <v>216.22139999999999</v>
      </c>
      <c r="D126" s="127">
        <v>215.27099999999999</v>
      </c>
      <c r="E126" s="127"/>
      <c r="F126" s="127"/>
      <c r="G126" s="127"/>
      <c r="H126" s="127">
        <v>0.95039999999999991</v>
      </c>
      <c r="I126" s="127"/>
      <c r="J126" s="127"/>
      <c r="K126" s="139"/>
      <c r="L126" s="139"/>
      <c r="Q126" s="434"/>
      <c r="R126" s="271"/>
    </row>
    <row r="127" spans="1:18" s="119" customFormat="1" ht="30.75" hidden="1" customHeight="1" x14ac:dyDescent="0.2">
      <c r="A127" s="124">
        <v>18</v>
      </c>
      <c r="B127" s="140" t="s">
        <v>170</v>
      </c>
      <c r="C127" s="137">
        <f t="shared" si="6"/>
        <v>3692.9465</v>
      </c>
      <c r="D127" s="127">
        <f t="shared" ref="D127:L127" si="8">D128+D137</f>
        <v>3094.88</v>
      </c>
      <c r="E127" s="127">
        <f t="shared" si="8"/>
        <v>0</v>
      </c>
      <c r="F127" s="127">
        <f t="shared" si="8"/>
        <v>10.17</v>
      </c>
      <c r="G127" s="127">
        <f t="shared" si="8"/>
        <v>585.95249999999999</v>
      </c>
      <c r="H127" s="127">
        <f t="shared" si="8"/>
        <v>1.944</v>
      </c>
      <c r="I127" s="127">
        <f t="shared" si="8"/>
        <v>0</v>
      </c>
      <c r="J127" s="127">
        <f t="shared" si="8"/>
        <v>0</v>
      </c>
      <c r="K127" s="127">
        <f t="shared" si="8"/>
        <v>0</v>
      </c>
      <c r="L127" s="127">
        <f t="shared" si="8"/>
        <v>0</v>
      </c>
      <c r="Q127" s="434"/>
      <c r="R127" s="271"/>
    </row>
    <row r="128" spans="1:18" ht="30.75" hidden="1" customHeight="1" x14ac:dyDescent="0.25">
      <c r="A128" s="128"/>
      <c r="B128" s="134" t="s">
        <v>754</v>
      </c>
      <c r="C128" s="130">
        <f t="shared" si="6"/>
        <v>2432.4594999999999</v>
      </c>
      <c r="D128" s="131">
        <v>2062.174</v>
      </c>
      <c r="E128" s="131">
        <f>SUM(E129:E136)</f>
        <v>0</v>
      </c>
      <c r="F128" s="131">
        <f>SUM(F129:F136)</f>
        <v>0</v>
      </c>
      <c r="G128" s="131">
        <f>245.561/8*12</f>
        <v>368.3415</v>
      </c>
      <c r="H128" s="131">
        <v>1.944</v>
      </c>
      <c r="I128" s="131"/>
      <c r="J128" s="131"/>
      <c r="K128" s="131">
        <f>SUM(K129:K136)</f>
        <v>0</v>
      </c>
      <c r="L128" s="131">
        <f>SUM(L129:L136)</f>
        <v>0</v>
      </c>
      <c r="Q128" s="435"/>
      <c r="R128" s="161"/>
    </row>
    <row r="129" spans="1:18" ht="30.75" hidden="1" customHeight="1" x14ac:dyDescent="0.25">
      <c r="A129" s="128"/>
      <c r="B129" s="134" t="s">
        <v>687</v>
      </c>
      <c r="C129" s="130">
        <f t="shared" si="6"/>
        <v>774</v>
      </c>
      <c r="D129" s="131">
        <v>758</v>
      </c>
      <c r="E129" s="131"/>
      <c r="F129" s="131"/>
      <c r="G129" s="131"/>
      <c r="H129" s="131">
        <v>16</v>
      </c>
      <c r="I129" s="131"/>
      <c r="J129" s="131"/>
      <c r="K129" s="133"/>
      <c r="L129" s="133"/>
      <c r="Q129" s="435"/>
      <c r="R129" s="161"/>
    </row>
    <row r="130" spans="1:18" ht="30.75" hidden="1" customHeight="1" x14ac:dyDescent="0.25">
      <c r="A130" s="128"/>
      <c r="B130" s="134" t="s">
        <v>788</v>
      </c>
      <c r="C130" s="130">
        <f t="shared" si="6"/>
        <v>279</v>
      </c>
      <c r="D130" s="131">
        <v>279</v>
      </c>
      <c r="E130" s="131"/>
      <c r="F130" s="131"/>
      <c r="G130" s="131"/>
      <c r="H130" s="131"/>
      <c r="I130" s="131"/>
      <c r="J130" s="131"/>
      <c r="K130" s="133"/>
      <c r="L130" s="133"/>
      <c r="Q130" s="435"/>
      <c r="R130" s="161"/>
    </row>
    <row r="131" spans="1:18" ht="30.75" hidden="1" customHeight="1" x14ac:dyDescent="0.25">
      <c r="A131" s="128"/>
      <c r="B131" s="134" t="s">
        <v>789</v>
      </c>
      <c r="C131" s="130">
        <f t="shared" si="6"/>
        <v>190</v>
      </c>
      <c r="D131" s="131">
        <v>190</v>
      </c>
      <c r="E131" s="131"/>
      <c r="F131" s="131"/>
      <c r="G131" s="131"/>
      <c r="H131" s="131"/>
      <c r="I131" s="131"/>
      <c r="J131" s="131"/>
      <c r="K131" s="133"/>
      <c r="L131" s="133"/>
      <c r="Q131" s="435"/>
      <c r="R131" s="161"/>
    </row>
    <row r="132" spans="1:18" ht="30.75" hidden="1" customHeight="1" x14ac:dyDescent="0.25">
      <c r="A132" s="128"/>
      <c r="B132" s="134" t="s">
        <v>790</v>
      </c>
      <c r="C132" s="130">
        <f t="shared" si="6"/>
        <v>298</v>
      </c>
      <c r="D132" s="131">
        <v>298</v>
      </c>
      <c r="E132" s="131"/>
      <c r="F132" s="131"/>
      <c r="G132" s="131"/>
      <c r="H132" s="131"/>
      <c r="I132" s="131"/>
      <c r="J132" s="131"/>
      <c r="K132" s="133"/>
      <c r="L132" s="133"/>
      <c r="Q132" s="435"/>
      <c r="R132" s="161"/>
    </row>
    <row r="133" spans="1:18" ht="30.75" hidden="1" customHeight="1" x14ac:dyDescent="0.25">
      <c r="A133" s="128"/>
      <c r="B133" s="134" t="s">
        <v>791</v>
      </c>
      <c r="C133" s="130">
        <f t="shared" si="6"/>
        <v>172</v>
      </c>
      <c r="D133" s="131">
        <v>172</v>
      </c>
      <c r="E133" s="131"/>
      <c r="F133" s="131"/>
      <c r="G133" s="131"/>
      <c r="H133" s="131"/>
      <c r="I133" s="131"/>
      <c r="J133" s="131"/>
      <c r="K133" s="133"/>
      <c r="L133" s="133"/>
      <c r="Q133" s="435"/>
      <c r="R133" s="161"/>
    </row>
    <row r="134" spans="1:18" ht="30.75" hidden="1" customHeight="1" x14ac:dyDescent="0.25">
      <c r="A134" s="128"/>
      <c r="B134" s="134" t="s">
        <v>792</v>
      </c>
      <c r="C134" s="130">
        <f t="shared" ref="C134:C162" si="9">SUM(D134:K134)</f>
        <v>340</v>
      </c>
      <c r="D134" s="131">
        <v>340</v>
      </c>
      <c r="E134" s="131"/>
      <c r="F134" s="131"/>
      <c r="G134" s="131"/>
      <c r="H134" s="131"/>
      <c r="I134" s="131"/>
      <c r="J134" s="131"/>
      <c r="K134" s="133"/>
      <c r="L134" s="133"/>
      <c r="Q134" s="435"/>
      <c r="R134" s="161"/>
    </row>
    <row r="135" spans="1:18" ht="30.75" hidden="1" customHeight="1" x14ac:dyDescent="0.25">
      <c r="A135" s="128"/>
      <c r="B135" s="134" t="s">
        <v>793</v>
      </c>
      <c r="C135" s="130">
        <f t="shared" si="9"/>
        <v>312</v>
      </c>
      <c r="D135" s="131">
        <v>312</v>
      </c>
      <c r="E135" s="131"/>
      <c r="F135" s="131"/>
      <c r="G135" s="131"/>
      <c r="H135" s="131"/>
      <c r="I135" s="131"/>
      <c r="J135" s="131"/>
      <c r="K135" s="133"/>
      <c r="L135" s="133"/>
      <c r="Q135" s="435"/>
      <c r="R135" s="161"/>
    </row>
    <row r="136" spans="1:18" ht="48.75" hidden="1" customHeight="1" x14ac:dyDescent="0.25">
      <c r="A136" s="128"/>
      <c r="B136" s="135" t="s">
        <v>794</v>
      </c>
      <c r="C136" s="130">
        <f t="shared" si="9"/>
        <v>9226</v>
      </c>
      <c r="D136" s="131">
        <f>7631-917</f>
        <v>6714</v>
      </c>
      <c r="E136" s="131"/>
      <c r="F136" s="131"/>
      <c r="G136" s="131">
        <v>2512</v>
      </c>
      <c r="H136" s="131"/>
      <c r="I136" s="131"/>
      <c r="J136" s="131"/>
      <c r="K136" s="133"/>
      <c r="L136" s="133"/>
      <c r="Q136" s="435"/>
      <c r="R136" s="161"/>
    </row>
    <row r="137" spans="1:18" ht="30.75" hidden="1" customHeight="1" x14ac:dyDescent="0.25">
      <c r="A137" s="128"/>
      <c r="B137" s="134" t="s">
        <v>757</v>
      </c>
      <c r="C137" s="130">
        <f t="shared" si="9"/>
        <v>1260.4870000000001</v>
      </c>
      <c r="D137" s="131">
        <v>1032.7059999999999</v>
      </c>
      <c r="E137" s="131"/>
      <c r="F137" s="131">
        <f>6.78/8*12</f>
        <v>10.17</v>
      </c>
      <c r="G137" s="131">
        <f>145.074/8*12</f>
        <v>217.61100000000002</v>
      </c>
      <c r="H137" s="131"/>
      <c r="I137" s="131"/>
      <c r="J137" s="131"/>
      <c r="K137" s="131">
        <f>SUM(K138:K143)</f>
        <v>0</v>
      </c>
      <c r="L137" s="131">
        <f>SUM(L138:L143)</f>
        <v>0</v>
      </c>
      <c r="Q137" s="435"/>
      <c r="R137" s="161"/>
    </row>
    <row r="138" spans="1:18" ht="30.75" hidden="1" customHeight="1" x14ac:dyDescent="0.25">
      <c r="A138" s="128"/>
      <c r="B138" s="134" t="s">
        <v>792</v>
      </c>
      <c r="C138" s="130">
        <f t="shared" si="9"/>
        <v>2518</v>
      </c>
      <c r="D138" s="131">
        <f>758-43</f>
        <v>715</v>
      </c>
      <c r="E138" s="131"/>
      <c r="F138" s="131"/>
      <c r="G138" s="131">
        <v>119</v>
      </c>
      <c r="H138" s="131"/>
      <c r="I138" s="131">
        <v>1684</v>
      </c>
      <c r="J138" s="131"/>
      <c r="K138" s="133"/>
      <c r="L138" s="133"/>
      <c r="Q138" s="435"/>
      <c r="R138" s="161"/>
    </row>
    <row r="139" spans="1:18" ht="30.75" hidden="1" customHeight="1" x14ac:dyDescent="0.25">
      <c r="A139" s="128"/>
      <c r="B139" s="134" t="s">
        <v>793</v>
      </c>
      <c r="C139" s="130">
        <f t="shared" si="9"/>
        <v>801</v>
      </c>
      <c r="D139" s="131">
        <f>700-47</f>
        <v>653</v>
      </c>
      <c r="E139" s="131">
        <v>10</v>
      </c>
      <c r="F139" s="131">
        <v>10</v>
      </c>
      <c r="G139" s="131">
        <v>128</v>
      </c>
      <c r="H139" s="131"/>
      <c r="I139" s="131"/>
      <c r="J139" s="131"/>
      <c r="K139" s="133"/>
      <c r="L139" s="133"/>
      <c r="Q139" s="435"/>
      <c r="R139" s="161"/>
    </row>
    <row r="140" spans="1:18" ht="30.75" hidden="1" customHeight="1" x14ac:dyDescent="0.25">
      <c r="A140" s="128"/>
      <c r="B140" s="134" t="s">
        <v>795</v>
      </c>
      <c r="C140" s="130">
        <f t="shared" si="9"/>
        <v>1907</v>
      </c>
      <c r="D140" s="131">
        <f>1290-275</f>
        <v>1015</v>
      </c>
      <c r="E140" s="131">
        <v>69</v>
      </c>
      <c r="F140" s="131">
        <v>69</v>
      </c>
      <c r="G140" s="131">
        <v>754</v>
      </c>
      <c r="H140" s="131"/>
      <c r="I140" s="131"/>
      <c r="J140" s="131"/>
      <c r="K140" s="133"/>
      <c r="L140" s="133"/>
      <c r="Q140" s="435"/>
      <c r="R140" s="161"/>
    </row>
    <row r="141" spans="1:18" ht="30.75" hidden="1" customHeight="1" x14ac:dyDescent="0.25">
      <c r="A141" s="128"/>
      <c r="B141" s="134" t="s">
        <v>796</v>
      </c>
      <c r="C141" s="130">
        <f t="shared" si="9"/>
        <v>344</v>
      </c>
      <c r="D141" s="131">
        <v>266</v>
      </c>
      <c r="E141" s="131">
        <v>39</v>
      </c>
      <c r="F141" s="131">
        <v>39</v>
      </c>
      <c r="G141" s="131"/>
      <c r="H141" s="131"/>
      <c r="I141" s="131"/>
      <c r="J141" s="131"/>
      <c r="K141" s="133"/>
      <c r="L141" s="133"/>
      <c r="Q141" s="435"/>
      <c r="R141" s="161"/>
    </row>
    <row r="142" spans="1:18" ht="30.75" hidden="1" customHeight="1" x14ac:dyDescent="0.25">
      <c r="A142" s="128"/>
      <c r="B142" s="134" t="s">
        <v>797</v>
      </c>
      <c r="C142" s="130">
        <f t="shared" si="9"/>
        <v>948</v>
      </c>
      <c r="D142" s="131">
        <f>850-57</f>
        <v>793</v>
      </c>
      <c r="E142" s="131"/>
      <c r="F142" s="131"/>
      <c r="G142" s="131">
        <v>155</v>
      </c>
      <c r="H142" s="131"/>
      <c r="I142" s="131"/>
      <c r="J142" s="131"/>
      <c r="K142" s="133"/>
      <c r="L142" s="133"/>
      <c r="Q142" s="435"/>
      <c r="R142" s="161"/>
    </row>
    <row r="143" spans="1:18" ht="30.75" hidden="1" customHeight="1" x14ac:dyDescent="0.25">
      <c r="A143" s="128"/>
      <c r="B143" s="134" t="s">
        <v>798</v>
      </c>
      <c r="C143" s="130">
        <f t="shared" si="9"/>
        <v>260</v>
      </c>
      <c r="D143" s="131">
        <v>260</v>
      </c>
      <c r="E143" s="131"/>
      <c r="F143" s="131"/>
      <c r="G143" s="131"/>
      <c r="H143" s="131"/>
      <c r="I143" s="131"/>
      <c r="J143" s="131"/>
      <c r="K143" s="133"/>
      <c r="L143" s="133"/>
      <c r="Q143" s="435"/>
      <c r="R143" s="161"/>
    </row>
    <row r="144" spans="1:18" s="119" customFormat="1" ht="30.75" hidden="1" customHeight="1" x14ac:dyDescent="0.2">
      <c r="A144" s="124">
        <v>19</v>
      </c>
      <c r="B144" s="140" t="s">
        <v>604</v>
      </c>
      <c r="C144" s="137">
        <f t="shared" si="9"/>
        <v>479.21800000000002</v>
      </c>
      <c r="D144" s="127">
        <v>479.21800000000002</v>
      </c>
      <c r="E144" s="127"/>
      <c r="F144" s="127"/>
      <c r="G144" s="127"/>
      <c r="H144" s="127"/>
      <c r="I144" s="127"/>
      <c r="J144" s="127"/>
      <c r="K144" s="139"/>
      <c r="L144" s="139"/>
      <c r="Q144" s="434"/>
      <c r="R144" s="271"/>
    </row>
    <row r="145" spans="1:18" s="119" customFormat="1" ht="30.75" hidden="1" customHeight="1" x14ac:dyDescent="0.2">
      <c r="A145" s="124">
        <v>20</v>
      </c>
      <c r="B145" s="140" t="s">
        <v>799</v>
      </c>
      <c r="C145" s="137">
        <f t="shared" si="9"/>
        <v>318.09219999999999</v>
      </c>
      <c r="D145" s="127">
        <f>SUM(D146:D147)</f>
        <v>316.75299999999999</v>
      </c>
      <c r="E145" s="127"/>
      <c r="F145" s="127"/>
      <c r="G145" s="127"/>
      <c r="H145" s="127">
        <f>H146</f>
        <v>1.3391999999999999</v>
      </c>
      <c r="I145" s="127"/>
      <c r="J145" s="127"/>
      <c r="K145" s="127">
        <f>SUM(K146:K147)</f>
        <v>0</v>
      </c>
      <c r="L145" s="127">
        <f>SUM(L146:L147)</f>
        <v>0</v>
      </c>
      <c r="Q145" s="434"/>
      <c r="R145" s="271"/>
    </row>
    <row r="146" spans="1:18" ht="30.75" hidden="1" customHeight="1" x14ac:dyDescent="0.25">
      <c r="A146" s="128"/>
      <c r="B146" s="134" t="s">
        <v>800</v>
      </c>
      <c r="C146" s="130">
        <f t="shared" si="9"/>
        <v>195.2542</v>
      </c>
      <c r="D146" s="131">
        <v>193.91499999999999</v>
      </c>
      <c r="E146" s="131"/>
      <c r="F146" s="131"/>
      <c r="G146" s="131"/>
      <c r="H146" s="131">
        <v>1.3391999999999999</v>
      </c>
      <c r="I146" s="131"/>
      <c r="J146" s="131"/>
      <c r="K146" s="133"/>
      <c r="L146" s="133"/>
      <c r="Q146" s="435"/>
      <c r="R146" s="161"/>
    </row>
    <row r="147" spans="1:18" ht="30.75" hidden="1" customHeight="1" x14ac:dyDescent="0.25">
      <c r="A147" s="128"/>
      <c r="B147" s="134" t="s">
        <v>801</v>
      </c>
      <c r="C147" s="130">
        <f t="shared" si="9"/>
        <v>122.83799999999999</v>
      </c>
      <c r="D147" s="131">
        <v>122.83799999999999</v>
      </c>
      <c r="E147" s="131"/>
      <c r="F147" s="131"/>
      <c r="G147" s="131"/>
      <c r="H147" s="131"/>
      <c r="I147" s="131"/>
      <c r="J147" s="131"/>
      <c r="K147" s="133"/>
      <c r="L147" s="133"/>
      <c r="Q147" s="435"/>
      <c r="R147" s="161"/>
    </row>
    <row r="148" spans="1:18" s="119" customFormat="1" ht="30.75" hidden="1" customHeight="1" x14ac:dyDescent="0.2">
      <c r="A148" s="124">
        <v>21</v>
      </c>
      <c r="B148" s="140" t="s">
        <v>802</v>
      </c>
      <c r="C148" s="137">
        <f t="shared" si="9"/>
        <v>642.41420000000005</v>
      </c>
      <c r="D148" s="127">
        <f>D149+D152</f>
        <v>641.07500000000005</v>
      </c>
      <c r="E148" s="127"/>
      <c r="F148" s="127"/>
      <c r="G148" s="127"/>
      <c r="H148" s="127">
        <f>H149+H152</f>
        <v>1.3391999999999999</v>
      </c>
      <c r="I148" s="127"/>
      <c r="J148" s="127"/>
      <c r="K148" s="127">
        <f>K149+K152</f>
        <v>0</v>
      </c>
      <c r="L148" s="127">
        <f>L149+L152</f>
        <v>0</v>
      </c>
      <c r="Q148" s="434"/>
      <c r="R148" s="271"/>
    </row>
    <row r="149" spans="1:18" ht="30.75" hidden="1" customHeight="1" x14ac:dyDescent="0.25">
      <c r="A149" s="128"/>
      <c r="B149" s="134" t="s">
        <v>754</v>
      </c>
      <c r="C149" s="130">
        <f t="shared" si="9"/>
        <v>272.25119999999998</v>
      </c>
      <c r="D149" s="131">
        <v>270.91199999999998</v>
      </c>
      <c r="E149" s="131"/>
      <c r="F149" s="131"/>
      <c r="G149" s="131"/>
      <c r="H149" s="131">
        <v>1.3391999999999999</v>
      </c>
      <c r="I149" s="131"/>
      <c r="J149" s="131"/>
      <c r="K149" s="133"/>
      <c r="L149" s="133"/>
      <c r="Q149" s="435"/>
      <c r="R149" s="161"/>
    </row>
    <row r="150" spans="1:18" ht="30.75" hidden="1" customHeight="1" x14ac:dyDescent="0.25">
      <c r="A150" s="128"/>
      <c r="B150" s="134" t="s">
        <v>687</v>
      </c>
      <c r="C150" s="130">
        <f t="shared" si="9"/>
        <v>808</v>
      </c>
      <c r="D150" s="131">
        <v>808</v>
      </c>
      <c r="E150" s="131"/>
      <c r="F150" s="131"/>
      <c r="G150" s="131"/>
      <c r="H150" s="131"/>
      <c r="I150" s="131"/>
      <c r="J150" s="131"/>
      <c r="K150" s="133"/>
      <c r="L150" s="133"/>
      <c r="Q150" s="435"/>
      <c r="R150" s="161"/>
    </row>
    <row r="151" spans="1:18" ht="30.75" hidden="1" customHeight="1" x14ac:dyDescent="0.25">
      <c r="A151" s="128"/>
      <c r="B151" s="134" t="s">
        <v>803</v>
      </c>
      <c r="C151" s="130">
        <f t="shared" si="9"/>
        <v>188</v>
      </c>
      <c r="D151" s="131">
        <v>188</v>
      </c>
      <c r="E151" s="131"/>
      <c r="F151" s="131"/>
      <c r="G151" s="131"/>
      <c r="H151" s="131"/>
      <c r="I151" s="131"/>
      <c r="J151" s="131"/>
      <c r="K151" s="133"/>
      <c r="L151" s="133"/>
      <c r="Q151" s="435"/>
      <c r="R151" s="161"/>
    </row>
    <row r="152" spans="1:18" ht="30.75" hidden="1" customHeight="1" x14ac:dyDescent="0.25">
      <c r="A152" s="128"/>
      <c r="B152" s="134" t="s">
        <v>757</v>
      </c>
      <c r="C152" s="130">
        <f t="shared" si="9"/>
        <v>370.16300000000001</v>
      </c>
      <c r="D152" s="131">
        <v>370.16300000000001</v>
      </c>
      <c r="E152" s="131"/>
      <c r="F152" s="131"/>
      <c r="G152" s="131"/>
      <c r="H152" s="131"/>
      <c r="I152" s="131"/>
      <c r="J152" s="131"/>
      <c r="K152" s="131">
        <f>SUM(K153:K157)</f>
        <v>0</v>
      </c>
      <c r="L152" s="131">
        <f>SUM(L153:L157)</f>
        <v>0</v>
      </c>
      <c r="Q152" s="435"/>
      <c r="R152" s="161"/>
    </row>
    <row r="153" spans="1:18" ht="30.75" hidden="1" customHeight="1" x14ac:dyDescent="0.25">
      <c r="A153" s="128"/>
      <c r="B153" s="134" t="s">
        <v>804</v>
      </c>
      <c r="C153" s="130">
        <f t="shared" si="9"/>
        <v>273</v>
      </c>
      <c r="D153" s="131">
        <v>273</v>
      </c>
      <c r="E153" s="131"/>
      <c r="F153" s="131"/>
      <c r="G153" s="131"/>
      <c r="H153" s="131"/>
      <c r="I153" s="131"/>
      <c r="J153" s="131"/>
      <c r="K153" s="133"/>
      <c r="L153" s="133"/>
      <c r="Q153" s="435"/>
      <c r="R153" s="161"/>
    </row>
    <row r="154" spans="1:18" ht="30.75" hidden="1" customHeight="1" x14ac:dyDescent="0.25">
      <c r="A154" s="128"/>
      <c r="B154" s="134" t="s">
        <v>805</v>
      </c>
      <c r="C154" s="130">
        <f t="shared" si="9"/>
        <v>92</v>
      </c>
      <c r="D154" s="131">
        <v>92</v>
      </c>
      <c r="E154" s="131"/>
      <c r="F154" s="131"/>
      <c r="G154" s="131"/>
      <c r="H154" s="131"/>
      <c r="I154" s="131"/>
      <c r="J154" s="131"/>
      <c r="K154" s="133"/>
      <c r="L154" s="133"/>
      <c r="Q154" s="435"/>
      <c r="R154" s="161"/>
    </row>
    <row r="155" spans="1:18" ht="30.75" hidden="1" customHeight="1" x14ac:dyDescent="0.25">
      <c r="A155" s="128"/>
      <c r="B155" s="134" t="s">
        <v>806</v>
      </c>
      <c r="C155" s="130">
        <f t="shared" si="9"/>
        <v>183</v>
      </c>
      <c r="D155" s="131">
        <v>183</v>
      </c>
      <c r="E155" s="131"/>
      <c r="F155" s="131"/>
      <c r="G155" s="131"/>
      <c r="H155" s="131"/>
      <c r="I155" s="131"/>
      <c r="J155" s="131"/>
      <c r="K155" s="133"/>
      <c r="L155" s="133"/>
      <c r="Q155" s="435"/>
      <c r="R155" s="161"/>
    </row>
    <row r="156" spans="1:18" ht="38.25" hidden="1" customHeight="1" x14ac:dyDescent="0.25">
      <c r="A156" s="128"/>
      <c r="B156" s="135" t="s">
        <v>807</v>
      </c>
      <c r="C156" s="130">
        <f t="shared" si="9"/>
        <v>275</v>
      </c>
      <c r="D156" s="131">
        <v>275</v>
      </c>
      <c r="E156" s="131"/>
      <c r="F156" s="131"/>
      <c r="G156" s="131"/>
      <c r="H156" s="131"/>
      <c r="I156" s="131"/>
      <c r="J156" s="131"/>
      <c r="K156" s="133"/>
      <c r="L156" s="133"/>
      <c r="Q156" s="435"/>
      <c r="R156" s="161"/>
    </row>
    <row r="157" spans="1:18" ht="30.75" hidden="1" customHeight="1" x14ac:dyDescent="0.25">
      <c r="A157" s="128"/>
      <c r="B157" s="135" t="s">
        <v>808</v>
      </c>
      <c r="C157" s="130">
        <f t="shared" si="9"/>
        <v>203</v>
      </c>
      <c r="D157" s="131">
        <v>203</v>
      </c>
      <c r="E157" s="131"/>
      <c r="F157" s="131"/>
      <c r="G157" s="131"/>
      <c r="H157" s="131"/>
      <c r="I157" s="131"/>
      <c r="J157" s="131"/>
      <c r="K157" s="133"/>
      <c r="L157" s="133"/>
      <c r="Q157" s="435"/>
      <c r="R157" s="161"/>
    </row>
    <row r="158" spans="1:18" s="119" customFormat="1" ht="30.75" hidden="1" customHeight="1" x14ac:dyDescent="0.2">
      <c r="A158" s="124">
        <v>22</v>
      </c>
      <c r="B158" s="140" t="s">
        <v>607</v>
      </c>
      <c r="C158" s="137">
        <f t="shared" si="9"/>
        <v>114.161</v>
      </c>
      <c r="D158" s="127">
        <v>114.161</v>
      </c>
      <c r="E158" s="127"/>
      <c r="F158" s="127"/>
      <c r="G158" s="127"/>
      <c r="H158" s="127"/>
      <c r="I158" s="127"/>
      <c r="J158" s="127"/>
      <c r="K158" s="139"/>
      <c r="L158" s="139"/>
      <c r="Q158" s="434"/>
      <c r="R158" s="271"/>
    </row>
    <row r="159" spans="1:18" s="119" customFormat="1" ht="30.75" hidden="1" customHeight="1" x14ac:dyDescent="0.2">
      <c r="A159" s="124">
        <v>23</v>
      </c>
      <c r="B159" s="140" t="s">
        <v>809</v>
      </c>
      <c r="C159" s="137">
        <f t="shared" si="9"/>
        <v>135.7276</v>
      </c>
      <c r="D159" s="127">
        <f>SUM(D160:D161)</f>
        <v>134.626</v>
      </c>
      <c r="E159" s="127"/>
      <c r="F159" s="127"/>
      <c r="G159" s="127"/>
      <c r="H159" s="127">
        <f>SUM(H160:H161)</f>
        <v>1.1015999999999999</v>
      </c>
      <c r="I159" s="127"/>
      <c r="J159" s="127"/>
      <c r="K159" s="127">
        <f>SUM(K160:K161)</f>
        <v>0</v>
      </c>
      <c r="L159" s="127">
        <f>SUM(L160:L161)</f>
        <v>0</v>
      </c>
      <c r="Q159" s="434"/>
      <c r="R159" s="271"/>
    </row>
    <row r="160" spans="1:18" ht="30.75" hidden="1" customHeight="1" x14ac:dyDescent="0.25">
      <c r="A160" s="128"/>
      <c r="B160" s="134" t="s">
        <v>754</v>
      </c>
      <c r="C160" s="130">
        <f t="shared" si="9"/>
        <v>89.075600000000009</v>
      </c>
      <c r="D160" s="131">
        <v>87.974000000000004</v>
      </c>
      <c r="E160" s="131"/>
      <c r="F160" s="131"/>
      <c r="G160" s="131"/>
      <c r="H160" s="127">
        <v>1.1015999999999999</v>
      </c>
      <c r="I160" s="131"/>
      <c r="J160" s="131"/>
      <c r="K160" s="133"/>
      <c r="L160" s="133"/>
      <c r="Q160" s="435"/>
      <c r="R160" s="161"/>
    </row>
    <row r="161" spans="1:18" ht="30.75" hidden="1" customHeight="1" x14ac:dyDescent="0.25">
      <c r="A161" s="128"/>
      <c r="B161" s="134" t="s">
        <v>757</v>
      </c>
      <c r="C161" s="130">
        <f t="shared" si="9"/>
        <v>46.652000000000001</v>
      </c>
      <c r="D161" s="131">
        <v>46.652000000000001</v>
      </c>
      <c r="E161" s="131"/>
      <c r="F161" s="131"/>
      <c r="G161" s="131"/>
      <c r="H161" s="131"/>
      <c r="I161" s="131"/>
      <c r="J161" s="131"/>
      <c r="K161" s="133"/>
      <c r="L161" s="133"/>
      <c r="Q161" s="435"/>
      <c r="R161" s="161"/>
    </row>
    <row r="162" spans="1:18" s="119" customFormat="1" ht="30.75" hidden="1" customHeight="1" x14ac:dyDescent="0.2">
      <c r="A162" s="124">
        <v>24</v>
      </c>
      <c r="B162" s="140" t="s">
        <v>810</v>
      </c>
      <c r="C162" s="137">
        <f t="shared" si="9"/>
        <v>332.63819999999998</v>
      </c>
      <c r="D162" s="127">
        <v>331.29899999999998</v>
      </c>
      <c r="E162" s="127"/>
      <c r="F162" s="127"/>
      <c r="G162" s="127"/>
      <c r="H162" s="127">
        <v>1.3391999999999999</v>
      </c>
      <c r="I162" s="127"/>
      <c r="J162" s="127"/>
      <c r="K162" s="139"/>
      <c r="L162" s="139"/>
      <c r="Q162" s="434"/>
      <c r="R162" s="271"/>
    </row>
    <row r="163" spans="1:18" s="119" customFormat="1" ht="24" hidden="1" customHeight="1" x14ac:dyDescent="0.2">
      <c r="A163" s="147">
        <v>25</v>
      </c>
      <c r="B163" s="148" t="s">
        <v>811</v>
      </c>
      <c r="C163" s="126">
        <f>SUM(C164:C173)</f>
        <v>2047.7128000000002</v>
      </c>
      <c r="D163" s="127">
        <f>SUM(D164:D173)</f>
        <v>2045.4880000000003</v>
      </c>
      <c r="E163" s="127"/>
      <c r="F163" s="127"/>
      <c r="G163" s="127"/>
      <c r="H163" s="127">
        <f>SUM(H164:H173)</f>
        <v>2.2248000000000001</v>
      </c>
      <c r="I163" s="127"/>
      <c r="J163" s="127"/>
      <c r="K163" s="127">
        <f>SUM(K164:K173)</f>
        <v>0</v>
      </c>
      <c r="L163" s="127">
        <f>SUM(L164:L173)</f>
        <v>0</v>
      </c>
      <c r="Q163" s="434"/>
      <c r="R163" s="271"/>
    </row>
    <row r="164" spans="1:18" ht="26.25" hidden="1" customHeight="1" x14ac:dyDescent="0.25">
      <c r="A164" s="149" t="s">
        <v>288</v>
      </c>
      <c r="B164" s="150" t="s">
        <v>812</v>
      </c>
      <c r="C164" s="130">
        <f t="shared" ref="C164:C199" si="10">SUM(D164:K164)</f>
        <v>411.79520000000002</v>
      </c>
      <c r="D164" s="133">
        <v>410.67200000000003</v>
      </c>
      <c r="E164" s="133"/>
      <c r="F164" s="133"/>
      <c r="G164" s="133"/>
      <c r="H164" s="133">
        <v>1.1232</v>
      </c>
      <c r="I164" s="133"/>
      <c r="J164" s="133"/>
      <c r="K164" s="133"/>
      <c r="L164" s="133"/>
      <c r="Q164" s="435"/>
      <c r="R164" s="161"/>
    </row>
    <row r="165" spans="1:18" ht="26.25" hidden="1" customHeight="1" x14ac:dyDescent="0.25">
      <c r="A165" s="149" t="s">
        <v>288</v>
      </c>
      <c r="B165" s="150" t="s">
        <v>813</v>
      </c>
      <c r="C165" s="130">
        <f t="shared" si="10"/>
        <v>123.77500000000001</v>
      </c>
      <c r="D165" s="133">
        <v>123.77500000000001</v>
      </c>
      <c r="E165" s="133"/>
      <c r="F165" s="133"/>
      <c r="G165" s="133"/>
      <c r="H165" s="133"/>
      <c r="I165" s="133"/>
      <c r="J165" s="133"/>
      <c r="K165" s="133"/>
      <c r="L165" s="133"/>
      <c r="Q165" s="435"/>
      <c r="R165" s="161"/>
    </row>
    <row r="166" spans="1:18" ht="26.25" hidden="1" customHeight="1" x14ac:dyDescent="0.25">
      <c r="A166" s="149" t="s">
        <v>288</v>
      </c>
      <c r="B166" s="150" t="s">
        <v>814</v>
      </c>
      <c r="C166" s="130">
        <f t="shared" si="10"/>
        <v>137.321</v>
      </c>
      <c r="D166" s="133">
        <v>137.321</v>
      </c>
      <c r="E166" s="133"/>
      <c r="F166" s="133"/>
      <c r="G166" s="133"/>
      <c r="H166" s="133"/>
      <c r="I166" s="133"/>
      <c r="J166" s="133"/>
      <c r="K166" s="133"/>
      <c r="L166" s="133"/>
      <c r="Q166" s="435"/>
      <c r="R166" s="161"/>
    </row>
    <row r="167" spans="1:18" ht="26.25" hidden="1" customHeight="1" x14ac:dyDescent="0.25">
      <c r="A167" s="149" t="s">
        <v>288</v>
      </c>
      <c r="B167" s="150" t="s">
        <v>815</v>
      </c>
      <c r="C167" s="130">
        <f t="shared" si="10"/>
        <v>175.584</v>
      </c>
      <c r="D167" s="133">
        <v>175.584</v>
      </c>
      <c r="E167" s="133"/>
      <c r="F167" s="133"/>
      <c r="G167" s="133"/>
      <c r="H167" s="133"/>
      <c r="I167" s="133"/>
      <c r="J167" s="133"/>
      <c r="K167" s="133"/>
      <c r="L167" s="133"/>
      <c r="Q167" s="435"/>
      <c r="R167" s="161"/>
    </row>
    <row r="168" spans="1:18" ht="26.25" hidden="1" customHeight="1" x14ac:dyDescent="0.25">
      <c r="A168" s="149" t="s">
        <v>288</v>
      </c>
      <c r="B168" s="150" t="s">
        <v>816</v>
      </c>
      <c r="C168" s="130">
        <f t="shared" si="10"/>
        <v>167.03299999999999</v>
      </c>
      <c r="D168" s="133">
        <v>167.03299999999999</v>
      </c>
      <c r="E168" s="133"/>
      <c r="F168" s="133"/>
      <c r="G168" s="133"/>
      <c r="H168" s="133"/>
      <c r="I168" s="133"/>
      <c r="J168" s="133"/>
      <c r="K168" s="133"/>
      <c r="L168" s="133"/>
      <c r="Q168" s="435"/>
      <c r="R168" s="161"/>
    </row>
    <row r="169" spans="1:18" ht="26.25" hidden="1" customHeight="1" x14ac:dyDescent="0.25">
      <c r="A169" s="149" t="s">
        <v>288</v>
      </c>
      <c r="B169" s="150" t="s">
        <v>817</v>
      </c>
      <c r="C169" s="130">
        <f t="shared" si="10"/>
        <v>230.29</v>
      </c>
      <c r="D169" s="133">
        <v>230.29</v>
      </c>
      <c r="E169" s="133"/>
      <c r="F169" s="133"/>
      <c r="G169" s="133"/>
      <c r="H169" s="133"/>
      <c r="I169" s="133"/>
      <c r="J169" s="133"/>
      <c r="K169" s="133"/>
      <c r="L169" s="133"/>
      <c r="Q169" s="435"/>
      <c r="R169" s="161"/>
    </row>
    <row r="170" spans="1:18" ht="26.25" hidden="1" customHeight="1" x14ac:dyDescent="0.25">
      <c r="A170" s="149" t="s">
        <v>288</v>
      </c>
      <c r="B170" s="150" t="s">
        <v>818</v>
      </c>
      <c r="C170" s="130">
        <f t="shared" si="10"/>
        <v>265.54000000000002</v>
      </c>
      <c r="D170" s="133">
        <v>265.54000000000002</v>
      </c>
      <c r="E170" s="133"/>
      <c r="F170" s="133"/>
      <c r="G170" s="133"/>
      <c r="H170" s="133"/>
      <c r="I170" s="133"/>
      <c r="J170" s="133"/>
      <c r="K170" s="133"/>
      <c r="L170" s="133"/>
      <c r="Q170" s="435"/>
      <c r="R170" s="161"/>
    </row>
    <row r="171" spans="1:18" ht="26.25" hidden="1" customHeight="1" x14ac:dyDescent="0.25">
      <c r="A171" s="149" t="s">
        <v>288</v>
      </c>
      <c r="B171" s="150" t="s">
        <v>819</v>
      </c>
      <c r="C171" s="130">
        <f t="shared" si="10"/>
        <v>244.07900000000001</v>
      </c>
      <c r="D171" s="133">
        <v>244.07900000000001</v>
      </c>
      <c r="E171" s="133"/>
      <c r="F171" s="133"/>
      <c r="G171" s="133"/>
      <c r="H171" s="133"/>
      <c r="I171" s="133"/>
      <c r="J171" s="133"/>
      <c r="K171" s="133"/>
      <c r="L171" s="133"/>
      <c r="Q171" s="435"/>
      <c r="R171" s="161"/>
    </row>
    <row r="172" spans="1:18" ht="26.25" hidden="1" customHeight="1" x14ac:dyDescent="0.25">
      <c r="A172" s="149" t="s">
        <v>288</v>
      </c>
      <c r="B172" s="150" t="s">
        <v>820</v>
      </c>
      <c r="C172" s="130">
        <f t="shared" si="10"/>
        <v>194.0016</v>
      </c>
      <c r="D172" s="133">
        <v>192.9</v>
      </c>
      <c r="E172" s="133"/>
      <c r="F172" s="133"/>
      <c r="G172" s="133"/>
      <c r="H172" s="133">
        <v>1.1015999999999999</v>
      </c>
      <c r="I172" s="133"/>
      <c r="J172" s="133"/>
      <c r="K172" s="133"/>
      <c r="L172" s="133"/>
      <c r="Q172" s="435"/>
      <c r="R172" s="161"/>
    </row>
    <row r="173" spans="1:18" ht="26.25" hidden="1" customHeight="1" x14ac:dyDescent="0.25">
      <c r="A173" s="149" t="s">
        <v>288</v>
      </c>
      <c r="B173" s="150" t="s">
        <v>821</v>
      </c>
      <c r="C173" s="130">
        <f t="shared" si="10"/>
        <v>98.293999999999997</v>
      </c>
      <c r="D173" s="133">
        <v>98.293999999999997</v>
      </c>
      <c r="E173" s="133"/>
      <c r="F173" s="133"/>
      <c r="G173" s="133"/>
      <c r="H173" s="133"/>
      <c r="I173" s="133"/>
      <c r="J173" s="133"/>
      <c r="K173" s="133"/>
      <c r="L173" s="133"/>
      <c r="Q173" s="435"/>
      <c r="R173" s="161"/>
    </row>
    <row r="174" spans="1:18" s="119" customFormat="1" ht="26.25" hidden="1" customHeight="1" x14ac:dyDescent="0.2">
      <c r="A174" s="124">
        <v>26</v>
      </c>
      <c r="B174" s="140" t="s">
        <v>186</v>
      </c>
      <c r="C174" s="137">
        <f t="shared" si="10"/>
        <v>269.7</v>
      </c>
      <c r="D174" s="139">
        <v>269.7</v>
      </c>
      <c r="E174" s="139"/>
      <c r="F174" s="139"/>
      <c r="G174" s="139"/>
      <c r="H174" s="139"/>
      <c r="I174" s="139"/>
      <c r="J174" s="139"/>
      <c r="K174" s="139"/>
      <c r="L174" s="139"/>
      <c r="Q174" s="434"/>
      <c r="R174" s="271"/>
    </row>
    <row r="175" spans="1:18" s="119" customFormat="1" ht="26.25" hidden="1" customHeight="1" x14ac:dyDescent="0.2">
      <c r="A175" s="124">
        <v>27</v>
      </c>
      <c r="B175" s="140" t="s">
        <v>822</v>
      </c>
      <c r="C175" s="137">
        <f t="shared" si="10"/>
        <v>189.203</v>
      </c>
      <c r="D175" s="139">
        <v>189.203</v>
      </c>
      <c r="E175" s="139"/>
      <c r="F175" s="139"/>
      <c r="G175" s="139"/>
      <c r="H175" s="139"/>
      <c r="I175" s="139"/>
      <c r="J175" s="139"/>
      <c r="K175" s="139"/>
      <c r="L175" s="139"/>
      <c r="Q175" s="434"/>
      <c r="R175" s="271"/>
    </row>
    <row r="176" spans="1:18" s="119" customFormat="1" ht="26.25" hidden="1" customHeight="1" x14ac:dyDescent="0.2">
      <c r="A176" s="124">
        <v>28</v>
      </c>
      <c r="B176" s="140" t="s">
        <v>191</v>
      </c>
      <c r="C176" s="137">
        <f t="shared" si="10"/>
        <v>194.31</v>
      </c>
      <c r="D176" s="139">
        <v>194.31</v>
      </c>
      <c r="E176" s="139"/>
      <c r="F176" s="139"/>
      <c r="G176" s="139"/>
      <c r="H176" s="139"/>
      <c r="I176" s="139"/>
      <c r="J176" s="139"/>
      <c r="K176" s="139"/>
      <c r="L176" s="139"/>
      <c r="Q176" s="434"/>
      <c r="R176" s="271"/>
    </row>
    <row r="177" spans="1:18" s="119" customFormat="1" ht="26.25" hidden="1" customHeight="1" x14ac:dyDescent="0.2">
      <c r="A177" s="124">
        <v>29</v>
      </c>
      <c r="B177" s="140" t="s">
        <v>823</v>
      </c>
      <c r="C177" s="137">
        <f t="shared" si="10"/>
        <v>182.35300000000001</v>
      </c>
      <c r="D177" s="139">
        <v>182.35300000000001</v>
      </c>
      <c r="E177" s="139"/>
      <c r="F177" s="139"/>
      <c r="G177" s="139"/>
      <c r="H177" s="139"/>
      <c r="I177" s="139"/>
      <c r="J177" s="139"/>
      <c r="K177" s="139"/>
      <c r="L177" s="139"/>
      <c r="Q177" s="434"/>
      <c r="R177" s="271"/>
    </row>
    <row r="178" spans="1:18" s="119" customFormat="1" ht="26.25" hidden="1" customHeight="1" x14ac:dyDescent="0.2">
      <c r="A178" s="124">
        <v>30</v>
      </c>
      <c r="B178" s="140" t="s">
        <v>824</v>
      </c>
      <c r="C178" s="137">
        <f t="shared" si="10"/>
        <v>0</v>
      </c>
      <c r="D178" s="139"/>
      <c r="E178" s="139"/>
      <c r="F178" s="139"/>
      <c r="G178" s="139"/>
      <c r="H178" s="139"/>
      <c r="I178" s="139"/>
      <c r="J178" s="139"/>
      <c r="K178" s="139"/>
      <c r="L178" s="139"/>
      <c r="Q178" s="434"/>
      <c r="R178" s="271"/>
    </row>
    <row r="179" spans="1:18" s="119" customFormat="1" ht="26.25" hidden="1" customHeight="1" x14ac:dyDescent="0.2">
      <c r="A179" s="124">
        <v>31</v>
      </c>
      <c r="B179" s="140" t="s">
        <v>825</v>
      </c>
      <c r="C179" s="137">
        <f t="shared" si="10"/>
        <v>97.081999999999994</v>
      </c>
      <c r="D179" s="139">
        <v>97.081999999999994</v>
      </c>
      <c r="E179" s="139"/>
      <c r="F179" s="139"/>
      <c r="G179" s="139"/>
      <c r="H179" s="139"/>
      <c r="I179" s="139"/>
      <c r="J179" s="139"/>
      <c r="K179" s="139"/>
      <c r="L179" s="139"/>
      <c r="Q179" s="434"/>
      <c r="R179" s="271"/>
    </row>
    <row r="180" spans="1:18" s="119" customFormat="1" ht="26.25" hidden="1" customHeight="1" x14ac:dyDescent="0.2">
      <c r="A180" s="124">
        <v>32</v>
      </c>
      <c r="B180" s="140" t="s">
        <v>826</v>
      </c>
      <c r="C180" s="137">
        <f t="shared" si="10"/>
        <v>151.21299999999999</v>
      </c>
      <c r="D180" s="139">
        <v>151.21299999999999</v>
      </c>
      <c r="E180" s="139"/>
      <c r="F180" s="139"/>
      <c r="G180" s="139"/>
      <c r="H180" s="139"/>
      <c r="I180" s="139"/>
      <c r="J180" s="139"/>
      <c r="K180" s="139"/>
      <c r="L180" s="139"/>
      <c r="Q180" s="434"/>
      <c r="R180" s="271"/>
    </row>
    <row r="181" spans="1:18" s="119" customFormat="1" ht="26.25" hidden="1" customHeight="1" x14ac:dyDescent="0.2">
      <c r="A181" s="124">
        <v>33</v>
      </c>
      <c r="B181" s="140" t="s">
        <v>827</v>
      </c>
      <c r="C181" s="137">
        <f t="shared" si="10"/>
        <v>46.149000000000001</v>
      </c>
      <c r="D181" s="139">
        <v>46.149000000000001</v>
      </c>
      <c r="E181" s="139"/>
      <c r="F181" s="139"/>
      <c r="G181" s="139"/>
      <c r="H181" s="139"/>
      <c r="I181" s="139"/>
      <c r="J181" s="139"/>
      <c r="K181" s="139"/>
      <c r="L181" s="139"/>
      <c r="Q181" s="434"/>
      <c r="R181" s="271"/>
    </row>
    <row r="182" spans="1:18" s="119" customFormat="1" ht="26.25" hidden="1" customHeight="1" x14ac:dyDescent="0.2">
      <c r="A182" s="124">
        <v>34</v>
      </c>
      <c r="B182" s="140" t="s">
        <v>828</v>
      </c>
      <c r="C182" s="137">
        <f t="shared" si="10"/>
        <v>29.632999999999999</v>
      </c>
      <c r="D182" s="139">
        <v>29.632999999999999</v>
      </c>
      <c r="E182" s="139"/>
      <c r="F182" s="139"/>
      <c r="G182" s="139"/>
      <c r="H182" s="139"/>
      <c r="I182" s="139"/>
      <c r="J182" s="139"/>
      <c r="K182" s="139"/>
      <c r="L182" s="139"/>
      <c r="Q182" s="434"/>
      <c r="R182" s="271"/>
    </row>
    <row r="183" spans="1:18" s="119" customFormat="1" ht="26.25" hidden="1" customHeight="1" x14ac:dyDescent="0.2">
      <c r="A183" s="124">
        <v>35</v>
      </c>
      <c r="B183" s="140" t="s">
        <v>829</v>
      </c>
      <c r="C183" s="137">
        <f t="shared" si="10"/>
        <v>18.131</v>
      </c>
      <c r="D183" s="139">
        <v>18.131</v>
      </c>
      <c r="E183" s="139"/>
      <c r="F183" s="139"/>
      <c r="G183" s="139"/>
      <c r="H183" s="139"/>
      <c r="I183" s="139"/>
      <c r="J183" s="139"/>
      <c r="K183" s="139"/>
      <c r="L183" s="139"/>
      <c r="Q183" s="434"/>
      <c r="R183" s="271"/>
    </row>
    <row r="184" spans="1:18" s="119" customFormat="1" ht="26.25" hidden="1" customHeight="1" x14ac:dyDescent="0.2">
      <c r="A184" s="124">
        <v>36</v>
      </c>
      <c r="B184" s="140" t="s">
        <v>830</v>
      </c>
      <c r="C184" s="137">
        <f t="shared" si="10"/>
        <v>40.912999999999997</v>
      </c>
      <c r="D184" s="139">
        <v>40.912999999999997</v>
      </c>
      <c r="E184" s="139"/>
      <c r="F184" s="139"/>
      <c r="G184" s="139"/>
      <c r="H184" s="139"/>
      <c r="I184" s="139"/>
      <c r="J184" s="139"/>
      <c r="K184" s="139"/>
      <c r="L184" s="139"/>
      <c r="Q184" s="434"/>
      <c r="R184" s="271"/>
    </row>
    <row r="185" spans="1:18" s="119" customFormat="1" ht="26.25" hidden="1" customHeight="1" x14ac:dyDescent="0.2">
      <c r="A185" s="124">
        <v>37</v>
      </c>
      <c r="B185" s="140" t="s">
        <v>831</v>
      </c>
      <c r="C185" s="137">
        <f t="shared" si="10"/>
        <v>74.102999999999994</v>
      </c>
      <c r="D185" s="139">
        <v>74.102999999999994</v>
      </c>
      <c r="E185" s="139"/>
      <c r="F185" s="139"/>
      <c r="G185" s="139"/>
      <c r="H185" s="139"/>
      <c r="I185" s="139"/>
      <c r="J185" s="139"/>
      <c r="K185" s="139"/>
      <c r="L185" s="139"/>
      <c r="Q185" s="434"/>
      <c r="R185" s="271"/>
    </row>
    <row r="186" spans="1:18" s="119" customFormat="1" ht="26.25" hidden="1" customHeight="1" x14ac:dyDescent="0.2">
      <c r="A186" s="124">
        <v>38</v>
      </c>
      <c r="B186" s="140" t="s">
        <v>832</v>
      </c>
      <c r="C186" s="137">
        <f t="shared" si="10"/>
        <v>14.989999999999998</v>
      </c>
      <c r="D186" s="139">
        <v>12.29</v>
      </c>
      <c r="E186" s="139"/>
      <c r="F186" s="139"/>
      <c r="G186" s="139"/>
      <c r="H186" s="139"/>
      <c r="I186" s="139"/>
      <c r="J186" s="139"/>
      <c r="K186" s="139">
        <v>2.7</v>
      </c>
      <c r="L186" s="139"/>
      <c r="Q186" s="434"/>
      <c r="R186" s="271"/>
    </row>
    <row r="187" spans="1:18" s="119" customFormat="1" ht="26.25" hidden="1" customHeight="1" x14ac:dyDescent="0.2">
      <c r="A187" s="124">
        <v>39</v>
      </c>
      <c r="B187" s="140" t="s">
        <v>833</v>
      </c>
      <c r="C187" s="137">
        <f t="shared" si="10"/>
        <v>82.850000000000009</v>
      </c>
      <c r="D187" s="139">
        <v>80.150000000000006</v>
      </c>
      <c r="E187" s="139"/>
      <c r="F187" s="139"/>
      <c r="G187" s="139"/>
      <c r="H187" s="139"/>
      <c r="I187" s="139"/>
      <c r="J187" s="139"/>
      <c r="K187" s="139">
        <v>2.7</v>
      </c>
      <c r="L187" s="139"/>
      <c r="Q187" s="434"/>
      <c r="R187" s="271"/>
    </row>
    <row r="188" spans="1:18" s="119" customFormat="1" ht="33" hidden="1" customHeight="1" x14ac:dyDescent="0.2">
      <c r="A188" s="124">
        <v>40</v>
      </c>
      <c r="B188" s="151" t="s">
        <v>834</v>
      </c>
      <c r="C188" s="137">
        <f t="shared" si="10"/>
        <v>10.166</v>
      </c>
      <c r="D188" s="139">
        <v>7.4660000000000002</v>
      </c>
      <c r="E188" s="139"/>
      <c r="F188" s="139"/>
      <c r="G188" s="139"/>
      <c r="H188" s="139"/>
      <c r="I188" s="139"/>
      <c r="J188" s="139"/>
      <c r="K188" s="139">
        <v>2.7</v>
      </c>
      <c r="L188" s="139"/>
      <c r="Q188" s="434"/>
      <c r="R188" s="271"/>
    </row>
    <row r="189" spans="1:18" s="119" customFormat="1" ht="26.25" hidden="1" customHeight="1" x14ac:dyDescent="0.2">
      <c r="A189" s="124">
        <v>41</v>
      </c>
      <c r="B189" s="140" t="s">
        <v>835</v>
      </c>
      <c r="C189" s="137">
        <f t="shared" si="10"/>
        <v>12.670000000000002</v>
      </c>
      <c r="D189" s="139">
        <v>9.9700000000000006</v>
      </c>
      <c r="E189" s="139"/>
      <c r="F189" s="139"/>
      <c r="G189" s="139"/>
      <c r="H189" s="139"/>
      <c r="I189" s="139"/>
      <c r="J189" s="139"/>
      <c r="K189" s="139">
        <v>2.7</v>
      </c>
      <c r="L189" s="139"/>
      <c r="Q189" s="434"/>
      <c r="R189" s="271"/>
    </row>
    <row r="190" spans="1:18" s="119" customFormat="1" ht="36" hidden="1" customHeight="1" x14ac:dyDescent="0.2">
      <c r="A190" s="124">
        <v>42</v>
      </c>
      <c r="B190" s="151" t="s">
        <v>836</v>
      </c>
      <c r="C190" s="137">
        <f t="shared" si="10"/>
        <v>10.783000000000001</v>
      </c>
      <c r="D190" s="139">
        <v>8.0830000000000002</v>
      </c>
      <c r="E190" s="139"/>
      <c r="F190" s="139"/>
      <c r="G190" s="139"/>
      <c r="H190" s="139"/>
      <c r="I190" s="139"/>
      <c r="J190" s="139"/>
      <c r="K190" s="139">
        <v>2.7</v>
      </c>
      <c r="L190" s="139"/>
      <c r="Q190" s="434"/>
      <c r="R190" s="271"/>
    </row>
    <row r="191" spans="1:18" s="119" customFormat="1" ht="26.25" hidden="1" customHeight="1" x14ac:dyDescent="0.2">
      <c r="A191" s="124">
        <v>43</v>
      </c>
      <c r="B191" s="151" t="s">
        <v>182</v>
      </c>
      <c r="C191" s="137">
        <f t="shared" si="10"/>
        <v>13.151999999999999</v>
      </c>
      <c r="D191" s="139">
        <v>13.151999999999999</v>
      </c>
      <c r="E191" s="139"/>
      <c r="F191" s="139"/>
      <c r="G191" s="139"/>
      <c r="H191" s="139"/>
      <c r="I191" s="139"/>
      <c r="J191" s="139"/>
      <c r="K191" s="139"/>
      <c r="L191" s="139"/>
      <c r="Q191" s="434"/>
      <c r="R191" s="271"/>
    </row>
    <row r="192" spans="1:18" s="119" customFormat="1" ht="26.25" hidden="1" customHeight="1" x14ac:dyDescent="0.2">
      <c r="A192" s="124">
        <v>44</v>
      </c>
      <c r="B192" s="151" t="s">
        <v>837</v>
      </c>
      <c r="C192" s="137">
        <f t="shared" si="10"/>
        <v>30.968</v>
      </c>
      <c r="D192" s="139">
        <v>30.968</v>
      </c>
      <c r="E192" s="139"/>
      <c r="F192" s="139"/>
      <c r="G192" s="139"/>
      <c r="H192" s="139"/>
      <c r="I192" s="139"/>
      <c r="J192" s="139"/>
      <c r="K192" s="139"/>
      <c r="L192" s="139"/>
      <c r="Q192" s="434"/>
      <c r="R192" s="271"/>
    </row>
    <row r="193" spans="1:20" s="119" customFormat="1" ht="26.25" hidden="1" customHeight="1" x14ac:dyDescent="0.2">
      <c r="A193" s="124">
        <v>45</v>
      </c>
      <c r="B193" s="151" t="s">
        <v>200</v>
      </c>
      <c r="C193" s="137">
        <f t="shared" si="10"/>
        <v>23.116</v>
      </c>
      <c r="D193" s="139">
        <v>20.416</v>
      </c>
      <c r="E193" s="139"/>
      <c r="F193" s="139"/>
      <c r="G193" s="139"/>
      <c r="H193" s="139"/>
      <c r="I193" s="139"/>
      <c r="J193" s="139"/>
      <c r="K193" s="139">
        <v>2.7</v>
      </c>
      <c r="L193" s="139"/>
      <c r="Q193" s="434"/>
      <c r="R193" s="271"/>
    </row>
    <row r="194" spans="1:20" s="119" customFormat="1" ht="26.25" hidden="1" customHeight="1" x14ac:dyDescent="0.2">
      <c r="A194" s="124">
        <v>46</v>
      </c>
      <c r="B194" s="151" t="s">
        <v>183</v>
      </c>
      <c r="C194" s="137">
        <f t="shared" si="10"/>
        <v>16.215</v>
      </c>
      <c r="D194" s="139">
        <v>16.215</v>
      </c>
      <c r="E194" s="139"/>
      <c r="F194" s="139"/>
      <c r="G194" s="139"/>
      <c r="H194" s="139"/>
      <c r="I194" s="139"/>
      <c r="J194" s="139"/>
      <c r="K194" s="139"/>
      <c r="L194" s="139"/>
      <c r="Q194" s="434"/>
      <c r="R194" s="271"/>
    </row>
    <row r="195" spans="1:20" s="154" customFormat="1" ht="26.25" hidden="1" customHeight="1" x14ac:dyDescent="0.2">
      <c r="A195" s="152">
        <v>47</v>
      </c>
      <c r="B195" s="153" t="s">
        <v>216</v>
      </c>
      <c r="C195" s="139">
        <f t="shared" si="10"/>
        <v>0</v>
      </c>
      <c r="D195" s="139"/>
      <c r="E195" s="139"/>
      <c r="F195" s="139"/>
      <c r="G195" s="139"/>
      <c r="H195" s="139"/>
      <c r="I195" s="139"/>
      <c r="J195" s="139"/>
      <c r="K195" s="139"/>
      <c r="L195" s="139"/>
      <c r="Q195" s="434"/>
      <c r="R195" s="273"/>
    </row>
    <row r="196" spans="1:20" s="119" customFormat="1" ht="26.25" hidden="1" customHeight="1" x14ac:dyDescent="0.2">
      <c r="A196" s="124">
        <v>48</v>
      </c>
      <c r="B196" s="151" t="s">
        <v>838</v>
      </c>
      <c r="C196" s="139">
        <f t="shared" si="10"/>
        <v>48.423999999999999</v>
      </c>
      <c r="D196" s="139">
        <v>48.423999999999999</v>
      </c>
      <c r="E196" s="139"/>
      <c r="F196" s="139"/>
      <c r="G196" s="139"/>
      <c r="H196" s="139"/>
      <c r="I196" s="139"/>
      <c r="J196" s="139"/>
      <c r="K196" s="139"/>
      <c r="L196" s="139"/>
      <c r="Q196" s="434"/>
      <c r="R196" s="271"/>
    </row>
    <row r="197" spans="1:20" s="119" customFormat="1" ht="26.25" hidden="1" customHeight="1" x14ac:dyDescent="0.2">
      <c r="A197" s="124">
        <v>49</v>
      </c>
      <c r="B197" s="151" t="s">
        <v>839</v>
      </c>
      <c r="C197" s="139">
        <f t="shared" si="10"/>
        <v>13.762</v>
      </c>
      <c r="D197" s="139">
        <v>13.762</v>
      </c>
      <c r="E197" s="139"/>
      <c r="F197" s="139"/>
      <c r="G197" s="139"/>
      <c r="H197" s="139"/>
      <c r="I197" s="139"/>
      <c r="J197" s="139"/>
      <c r="K197" s="139"/>
      <c r="L197" s="139"/>
      <c r="Q197" s="434"/>
      <c r="R197" s="271"/>
    </row>
    <row r="198" spans="1:20" s="119" customFormat="1" ht="26.25" hidden="1" customHeight="1" x14ac:dyDescent="0.2">
      <c r="A198" s="124">
        <v>50</v>
      </c>
      <c r="B198" s="151" t="s">
        <v>840</v>
      </c>
      <c r="C198" s="139">
        <f t="shared" si="10"/>
        <v>279.024</v>
      </c>
      <c r="D198" s="139">
        <v>279.024</v>
      </c>
      <c r="E198" s="139"/>
      <c r="F198" s="139"/>
      <c r="G198" s="139"/>
      <c r="H198" s="139"/>
      <c r="I198" s="139"/>
      <c r="J198" s="139"/>
      <c r="K198" s="139"/>
      <c r="L198" s="139"/>
      <c r="Q198" s="434"/>
      <c r="R198" s="271"/>
    </row>
    <row r="199" spans="1:20" s="154" customFormat="1" ht="26.25" hidden="1" customHeight="1" x14ac:dyDescent="0.2">
      <c r="A199" s="152">
        <v>51</v>
      </c>
      <c r="B199" s="153"/>
      <c r="C199" s="139">
        <f t="shared" si="10"/>
        <v>0</v>
      </c>
      <c r="D199" s="139"/>
      <c r="E199" s="139"/>
      <c r="F199" s="139"/>
      <c r="G199" s="139"/>
      <c r="H199" s="139"/>
      <c r="I199" s="139"/>
      <c r="J199" s="139"/>
      <c r="K199" s="139"/>
      <c r="L199" s="139"/>
      <c r="Q199" s="434">
        <f>5061+2335+988</f>
        <v>8384</v>
      </c>
      <c r="R199" s="273">
        <f>Q3+Q199</f>
        <v>117901.79538928001</v>
      </c>
    </row>
    <row r="200" spans="1:20" s="119" customFormat="1" ht="26.25" customHeight="1" x14ac:dyDescent="0.2">
      <c r="A200" s="155" t="s">
        <v>11</v>
      </c>
      <c r="B200" s="156" t="s">
        <v>841</v>
      </c>
      <c r="C200" s="249">
        <f>SUM(D200:L200)</f>
        <v>112143</v>
      </c>
      <c r="D200" s="139">
        <f t="shared" ref="D200:O200" si="11">D201+D224+D247+D269+D291+D313+D335+D359</f>
        <v>75458</v>
      </c>
      <c r="E200" s="139">
        <f t="shared" si="11"/>
        <v>5117</v>
      </c>
      <c r="F200" s="139">
        <f t="shared" si="11"/>
        <v>338</v>
      </c>
      <c r="G200" s="139">
        <f t="shared" si="11"/>
        <v>17164</v>
      </c>
      <c r="H200" s="139">
        <f>H201+H224+H247+H269+H291+H313+H335+H359</f>
        <v>2734</v>
      </c>
      <c r="I200" s="139">
        <f t="shared" si="11"/>
        <v>8187</v>
      </c>
      <c r="J200" s="139">
        <f t="shared" si="11"/>
        <v>760</v>
      </c>
      <c r="K200" s="139">
        <f>K201+K224+K247+K269+K291+K313+K335+K359</f>
        <v>425</v>
      </c>
      <c r="L200" s="139">
        <f t="shared" si="11"/>
        <v>1960</v>
      </c>
      <c r="M200" s="139">
        <f t="shared" si="11"/>
        <v>18555</v>
      </c>
      <c r="N200" s="139">
        <f t="shared" si="11"/>
        <v>3712</v>
      </c>
      <c r="O200" s="139">
        <f t="shared" si="11"/>
        <v>9629</v>
      </c>
      <c r="P200" s="247">
        <f>P201+P224+P247+P269+P291+P313+P335+P359</f>
        <v>81110</v>
      </c>
      <c r="Q200" s="434">
        <f>N216+N239+N261+N283+N305+N327+N351+N375</f>
        <v>1414</v>
      </c>
      <c r="R200" s="271" t="s">
        <v>942</v>
      </c>
      <c r="S200" s="119">
        <f>'Biểu 37'!S7</f>
        <v>18074</v>
      </c>
      <c r="T200" s="119">
        <f>T4-T3</f>
        <v>40301.244610719994</v>
      </c>
    </row>
    <row r="201" spans="1:20" s="119" customFormat="1" ht="26.25" customHeight="1" x14ac:dyDescent="0.2">
      <c r="A201" s="155">
        <v>1</v>
      </c>
      <c r="B201" s="157" t="s">
        <v>148</v>
      </c>
      <c r="C201" s="249">
        <f>SUM(D201:L201)</f>
        <v>7533</v>
      </c>
      <c r="D201" s="139">
        <f t="shared" ref="D201:K201" si="12">D202+SUM(D214:D223)</f>
        <v>6491</v>
      </c>
      <c r="E201" s="139">
        <f>E202+SUM(E214:E223)</f>
        <v>0</v>
      </c>
      <c r="F201" s="139">
        <f t="shared" si="12"/>
        <v>0</v>
      </c>
      <c r="G201" s="139">
        <f t="shared" si="12"/>
        <v>0</v>
      </c>
      <c r="H201" s="139">
        <f>H202+SUM(H214:H223)</f>
        <v>210</v>
      </c>
      <c r="I201" s="139">
        <f>I202+SUM(I214:I223)</f>
        <v>607</v>
      </c>
      <c r="J201" s="139">
        <f t="shared" si="12"/>
        <v>44</v>
      </c>
      <c r="K201" s="139">
        <f t="shared" si="12"/>
        <v>52</v>
      </c>
      <c r="L201" s="139">
        <f>L202+SUM(L214:L223)</f>
        <v>129</v>
      </c>
      <c r="M201" s="119">
        <f>SUM(M202:M223)</f>
        <v>1862</v>
      </c>
      <c r="N201" s="119">
        <f>SUM(N202:N223)</f>
        <v>372</v>
      </c>
      <c r="P201" s="248">
        <f>SUM(P202:P223)</f>
        <v>5299</v>
      </c>
      <c r="R201" s="254">
        <f>S201-S3</f>
        <v>-1659</v>
      </c>
      <c r="S201" s="119">
        <v>34970</v>
      </c>
      <c r="T201" s="119">
        <v>10577</v>
      </c>
    </row>
    <row r="202" spans="1:20" ht="26.25" customHeight="1" x14ac:dyDescent="0.25">
      <c r="A202" s="158" t="s">
        <v>288</v>
      </c>
      <c r="B202" s="159" t="s">
        <v>842</v>
      </c>
      <c r="C202" s="249">
        <f>SUM(D202:K202)</f>
        <v>2730</v>
      </c>
      <c r="D202" s="133">
        <f>SUM(D203:D208)+D211</f>
        <v>2071</v>
      </c>
      <c r="E202" s="133">
        <f>SUM(E203:E208)+E211</f>
        <v>0</v>
      </c>
      <c r="F202" s="133">
        <f>SUM(F203:F208)+F211</f>
        <v>0</v>
      </c>
      <c r="G202" s="133">
        <f>SUM(G203:G208)+G211</f>
        <v>0</v>
      </c>
      <c r="H202" s="133">
        <f>SUM(H203:H208)+H211</f>
        <v>0</v>
      </c>
      <c r="I202" s="133">
        <f t="shared" ref="I202:J202" si="13">SUM(I203:I208)+I211</f>
        <v>607</v>
      </c>
      <c r="J202" s="133">
        <f t="shared" si="13"/>
        <v>0</v>
      </c>
      <c r="K202" s="133">
        <f>SUM(K203:K208)+K211</f>
        <v>52</v>
      </c>
      <c r="L202" s="133">
        <f>SUM(L203:L208)+L211</f>
        <v>0</v>
      </c>
      <c r="M202" s="132">
        <f>832</f>
        <v>832</v>
      </c>
      <c r="N202" s="132">
        <f>83*2</f>
        <v>166</v>
      </c>
      <c r="P202" s="132">
        <f>C202-M202-N202</f>
        <v>1732</v>
      </c>
      <c r="R202" s="161" t="s">
        <v>943</v>
      </c>
      <c r="S202" s="274"/>
      <c r="T202" s="132">
        <f>T200-T201</f>
        <v>29724.244610719994</v>
      </c>
    </row>
    <row r="203" spans="1:20" ht="26.25" customHeight="1" x14ac:dyDescent="0.25">
      <c r="A203" s="158"/>
      <c r="B203" s="159" t="s">
        <v>843</v>
      </c>
      <c r="C203" s="130">
        <f t="shared" ref="C203:C220" si="14">SUM(D203:K203)</f>
        <v>760</v>
      </c>
      <c r="D203" s="253">
        <f>660+100</f>
        <v>760</v>
      </c>
      <c r="E203" s="133"/>
      <c r="F203" s="133"/>
      <c r="G203" s="133"/>
      <c r="H203" s="133"/>
      <c r="I203" s="133"/>
      <c r="J203" s="133"/>
      <c r="K203" s="133"/>
      <c r="L203" s="133"/>
      <c r="R203" s="161" t="s">
        <v>593</v>
      </c>
      <c r="S203" s="274"/>
      <c r="T203" s="132">
        <f>'Biểu 09DT'!C11</f>
        <v>143919</v>
      </c>
    </row>
    <row r="204" spans="1:20" ht="26.25" customHeight="1" x14ac:dyDescent="0.25">
      <c r="A204" s="158"/>
      <c r="B204" s="159" t="s">
        <v>844</v>
      </c>
      <c r="C204" s="130">
        <f>SUM(D204:K204)</f>
        <v>363</v>
      </c>
      <c r="D204" s="253">
        <f>50+313</f>
        <v>363</v>
      </c>
      <c r="E204" s="133"/>
      <c r="F204" s="133"/>
      <c r="G204" s="133"/>
      <c r="H204" s="133"/>
      <c r="I204" s="133"/>
      <c r="J204" s="133"/>
      <c r="K204" s="133"/>
      <c r="L204" s="133"/>
      <c r="R204" s="161" t="s">
        <v>594</v>
      </c>
      <c r="S204" s="274"/>
      <c r="T204" s="132">
        <f>C4-S200-S2</f>
        <v>15041.755389279999</v>
      </c>
    </row>
    <row r="205" spans="1:20" ht="26.25" hidden="1" customHeight="1" x14ac:dyDescent="0.25">
      <c r="A205" s="158"/>
      <c r="B205" s="159"/>
      <c r="C205" s="130"/>
      <c r="D205" s="133"/>
      <c r="E205" s="133"/>
      <c r="F205" s="133"/>
      <c r="G205" s="133"/>
      <c r="H205" s="133"/>
      <c r="I205" s="133"/>
      <c r="J205" s="133"/>
      <c r="K205" s="133"/>
      <c r="L205" s="133"/>
      <c r="R205" s="161"/>
    </row>
    <row r="206" spans="1:20" ht="26.25" customHeight="1" x14ac:dyDescent="0.25">
      <c r="A206" s="158"/>
      <c r="B206" s="159" t="s">
        <v>845</v>
      </c>
      <c r="C206" s="130">
        <f t="shared" si="14"/>
        <v>257</v>
      </c>
      <c r="D206" s="133">
        <f>50+155</f>
        <v>205</v>
      </c>
      <c r="E206" s="133"/>
      <c r="F206" s="133"/>
      <c r="G206" s="133"/>
      <c r="H206" s="133"/>
      <c r="I206" s="133"/>
      <c r="J206" s="133"/>
      <c r="K206" s="133">
        <f>2*26</f>
        <v>52</v>
      </c>
      <c r="L206" s="133"/>
      <c r="R206" s="161" t="s">
        <v>595</v>
      </c>
      <c r="T206" s="166">
        <f>T203+T204</f>
        <v>158960.75538928001</v>
      </c>
    </row>
    <row r="207" spans="1:20" ht="45" customHeight="1" x14ac:dyDescent="0.25">
      <c r="A207" s="158"/>
      <c r="B207" s="160" t="s">
        <v>846</v>
      </c>
      <c r="C207" s="130">
        <f t="shared" si="14"/>
        <v>1286</v>
      </c>
      <c r="D207" s="133">
        <v>679</v>
      </c>
      <c r="E207" s="133"/>
      <c r="F207" s="133"/>
      <c r="G207" s="133"/>
      <c r="H207" s="133"/>
      <c r="I207" s="133">
        <v>607</v>
      </c>
      <c r="J207" s="133"/>
      <c r="K207" s="133"/>
      <c r="L207" s="133"/>
      <c r="R207" s="161" t="s">
        <v>596</v>
      </c>
      <c r="S207" s="274"/>
      <c r="T207" s="132">
        <f>T4-T206</f>
        <v>-44424.755389280006</v>
      </c>
    </row>
    <row r="208" spans="1:20" ht="26.25" customHeight="1" x14ac:dyDescent="0.25">
      <c r="A208" s="158"/>
      <c r="B208" s="160" t="s">
        <v>847</v>
      </c>
      <c r="C208" s="130">
        <f t="shared" si="14"/>
        <v>13</v>
      </c>
      <c r="D208" s="133">
        <v>13</v>
      </c>
      <c r="E208" s="133"/>
      <c r="F208" s="133"/>
      <c r="G208" s="133"/>
      <c r="H208" s="133"/>
      <c r="I208" s="133"/>
      <c r="J208" s="133"/>
      <c r="K208" s="133"/>
      <c r="L208" s="133"/>
      <c r="R208" s="161" t="s">
        <v>597</v>
      </c>
      <c r="S208" s="274"/>
      <c r="T208" s="154">
        <f>T207-T201</f>
        <v>-55001.755389280006</v>
      </c>
    </row>
    <row r="209" spans="1:19" ht="26.25" hidden="1" customHeight="1" x14ac:dyDescent="0.25">
      <c r="A209" s="158"/>
      <c r="B209" s="159"/>
      <c r="C209" s="130"/>
      <c r="D209" s="133"/>
      <c r="E209" s="133"/>
      <c r="F209" s="133"/>
      <c r="G209" s="133"/>
      <c r="H209" s="133"/>
      <c r="I209" s="133"/>
      <c r="J209" s="133"/>
      <c r="K209" s="133"/>
      <c r="L209" s="133"/>
      <c r="R209" s="161"/>
    </row>
    <row r="210" spans="1:19" ht="26.25" hidden="1" customHeight="1" x14ac:dyDescent="0.25">
      <c r="A210" s="158"/>
      <c r="B210" s="159"/>
      <c r="C210" s="130"/>
      <c r="D210" s="133"/>
      <c r="E210" s="133"/>
      <c r="F210" s="133"/>
      <c r="G210" s="133"/>
      <c r="H210" s="133"/>
      <c r="I210" s="133"/>
      <c r="J210" s="133"/>
      <c r="K210" s="133"/>
      <c r="L210" s="133"/>
      <c r="R210" s="161"/>
    </row>
    <row r="211" spans="1:19" ht="26.25" customHeight="1" x14ac:dyDescent="0.25">
      <c r="A211" s="158"/>
      <c r="B211" s="159" t="s">
        <v>848</v>
      </c>
      <c r="C211" s="130">
        <f t="shared" si="14"/>
        <v>51</v>
      </c>
      <c r="D211" s="133">
        <v>51</v>
      </c>
      <c r="E211" s="133"/>
      <c r="F211" s="133"/>
      <c r="G211" s="133"/>
      <c r="H211" s="133"/>
      <c r="I211" s="133"/>
      <c r="J211" s="133"/>
      <c r="K211" s="133"/>
      <c r="L211" s="133"/>
      <c r="R211" s="161" t="s">
        <v>598</v>
      </c>
      <c r="S211" s="274"/>
    </row>
    <row r="212" spans="1:19" ht="26.25" hidden="1" customHeight="1" x14ac:dyDescent="0.25">
      <c r="A212" s="158"/>
      <c r="B212" s="159"/>
      <c r="C212" s="130"/>
      <c r="D212" s="133"/>
      <c r="E212" s="133"/>
      <c r="F212" s="133"/>
      <c r="G212" s="133"/>
      <c r="H212" s="133"/>
      <c r="I212" s="133"/>
      <c r="J212" s="133"/>
      <c r="K212" s="133"/>
      <c r="L212" s="133"/>
      <c r="R212" s="161"/>
      <c r="S212" s="274"/>
    </row>
    <row r="213" spans="1:19" ht="26.25" hidden="1" customHeight="1" x14ac:dyDescent="0.25">
      <c r="A213" s="158"/>
      <c r="B213" s="159"/>
      <c r="C213" s="130"/>
      <c r="D213" s="133"/>
      <c r="E213" s="133"/>
      <c r="F213" s="133"/>
      <c r="G213" s="133"/>
      <c r="H213" s="133"/>
      <c r="I213" s="133"/>
      <c r="J213" s="133"/>
      <c r="K213" s="133"/>
      <c r="L213" s="133"/>
      <c r="R213" s="161"/>
      <c r="S213" s="274"/>
    </row>
    <row r="214" spans="1:19" ht="26.25" hidden="1" customHeight="1" x14ac:dyDescent="0.25">
      <c r="A214" s="158"/>
      <c r="B214" s="159"/>
      <c r="C214" s="130"/>
      <c r="D214" s="133"/>
      <c r="E214" s="133"/>
      <c r="F214" s="133"/>
      <c r="G214" s="133"/>
      <c r="H214" s="133"/>
      <c r="I214" s="133"/>
      <c r="J214" s="133"/>
      <c r="K214" s="133"/>
      <c r="L214" s="133"/>
      <c r="R214" s="161"/>
      <c r="S214" s="274"/>
    </row>
    <row r="215" spans="1:19" ht="26.25" customHeight="1" x14ac:dyDescent="0.25">
      <c r="A215" s="158" t="s">
        <v>288</v>
      </c>
      <c r="B215" s="160" t="s">
        <v>849</v>
      </c>
      <c r="C215" s="249">
        <f t="shared" si="14"/>
        <v>44</v>
      </c>
      <c r="D215" s="133"/>
      <c r="E215" s="133"/>
      <c r="F215" s="133"/>
      <c r="G215" s="133"/>
      <c r="H215" s="133"/>
      <c r="I215" s="133"/>
      <c r="J215" s="133">
        <v>44</v>
      </c>
      <c r="K215" s="133"/>
      <c r="L215" s="133"/>
      <c r="P215" s="132">
        <f t="shared" ref="P215" si="15">C215-M215</f>
        <v>44</v>
      </c>
      <c r="R215" s="161" t="s">
        <v>599</v>
      </c>
      <c r="S215" s="274"/>
    </row>
    <row r="216" spans="1:19" ht="26.25" customHeight="1" x14ac:dyDescent="0.25">
      <c r="A216" s="158" t="s">
        <v>288</v>
      </c>
      <c r="B216" s="159" t="s">
        <v>850</v>
      </c>
      <c r="C216" s="249">
        <f t="shared" si="14"/>
        <v>4274</v>
      </c>
      <c r="D216" s="253">
        <f>3924+350</f>
        <v>4274</v>
      </c>
      <c r="E216" s="133"/>
      <c r="F216" s="133"/>
      <c r="G216" s="133"/>
      <c r="H216" s="133"/>
      <c r="I216" s="133"/>
      <c r="J216" s="133"/>
      <c r="K216" s="133"/>
      <c r="L216" s="133"/>
      <c r="M216" s="132">
        <f>623</f>
        <v>623</v>
      </c>
      <c r="N216" s="132">
        <f>62*2</f>
        <v>124</v>
      </c>
      <c r="P216" s="132">
        <f>C216-M216-N216</f>
        <v>3527</v>
      </c>
      <c r="S216" s="132">
        <f>SUM(S202:S215)</f>
        <v>0</v>
      </c>
    </row>
    <row r="217" spans="1:19" ht="26.25" hidden="1" customHeight="1" x14ac:dyDescent="0.25">
      <c r="A217" s="158"/>
      <c r="B217" s="160"/>
      <c r="C217" s="130"/>
      <c r="D217" s="133"/>
      <c r="E217" s="133"/>
      <c r="F217" s="133"/>
      <c r="G217" s="133"/>
      <c r="H217" s="133"/>
      <c r="I217" s="133"/>
      <c r="J217" s="133"/>
      <c r="K217" s="133"/>
      <c r="L217" s="133"/>
      <c r="P217" s="132">
        <f t="shared" ref="P217:P223" si="16">C217-M217-N217</f>
        <v>0</v>
      </c>
    </row>
    <row r="218" spans="1:19" ht="26.25" customHeight="1" x14ac:dyDescent="0.25">
      <c r="A218" s="158" t="s">
        <v>288</v>
      </c>
      <c r="B218" s="159" t="s">
        <v>851</v>
      </c>
      <c r="C218" s="249">
        <f t="shared" si="14"/>
        <v>32</v>
      </c>
      <c r="D218" s="133">
        <v>32</v>
      </c>
      <c r="E218" s="133"/>
      <c r="F218" s="133"/>
      <c r="G218" s="133"/>
      <c r="H218" s="133"/>
      <c r="I218" s="133"/>
      <c r="J218" s="133"/>
      <c r="K218" s="133"/>
      <c r="L218" s="133"/>
      <c r="M218" s="132">
        <v>13</v>
      </c>
      <c r="N218" s="132">
        <f>2*1</f>
        <v>2</v>
      </c>
      <c r="P218" s="132">
        <f t="shared" si="16"/>
        <v>17</v>
      </c>
      <c r="R218" s="132" t="s">
        <v>944</v>
      </c>
      <c r="S218" s="132">
        <v>3696</v>
      </c>
    </row>
    <row r="219" spans="1:19" ht="26.25" customHeight="1" x14ac:dyDescent="0.25">
      <c r="A219" s="158" t="s">
        <v>288</v>
      </c>
      <c r="B219" s="159" t="s">
        <v>852</v>
      </c>
      <c r="C219" s="130">
        <f t="shared" si="14"/>
        <v>50</v>
      </c>
      <c r="D219" s="133">
        <v>50</v>
      </c>
      <c r="E219" s="133"/>
      <c r="F219" s="133"/>
      <c r="G219" s="133"/>
      <c r="H219" s="133"/>
      <c r="I219" s="133"/>
      <c r="J219" s="133"/>
      <c r="K219" s="133"/>
      <c r="L219" s="133"/>
      <c r="M219" s="132">
        <v>17</v>
      </c>
      <c r="N219" s="132">
        <f>2*2</f>
        <v>4</v>
      </c>
      <c r="P219" s="132">
        <f t="shared" si="16"/>
        <v>29</v>
      </c>
      <c r="S219" s="132">
        <f>'Biểu 09DT'!C38</f>
        <v>14554</v>
      </c>
    </row>
    <row r="220" spans="1:19" ht="26.25" customHeight="1" x14ac:dyDescent="0.25">
      <c r="A220" s="158" t="s">
        <v>288</v>
      </c>
      <c r="B220" s="159" t="s">
        <v>853</v>
      </c>
      <c r="C220" s="130">
        <f t="shared" si="14"/>
        <v>4</v>
      </c>
      <c r="D220" s="133">
        <v>4</v>
      </c>
      <c r="E220" s="133"/>
      <c r="F220" s="133"/>
      <c r="G220" s="133"/>
      <c r="H220" s="133"/>
      <c r="I220" s="133"/>
      <c r="J220" s="133"/>
      <c r="K220" s="133"/>
      <c r="L220" s="133"/>
      <c r="P220" s="132">
        <f t="shared" si="16"/>
        <v>4</v>
      </c>
      <c r="S220" s="132">
        <f>S3+S218+S219</f>
        <v>54879</v>
      </c>
    </row>
    <row r="221" spans="1:19" ht="26.25" hidden="1" customHeight="1" x14ac:dyDescent="0.25">
      <c r="A221" s="158"/>
      <c r="B221" s="159"/>
      <c r="C221" s="130"/>
      <c r="D221" s="133"/>
      <c r="E221" s="133"/>
      <c r="F221" s="133"/>
      <c r="G221" s="133"/>
      <c r="H221" s="133"/>
      <c r="I221" s="133"/>
      <c r="J221" s="133"/>
      <c r="K221" s="133"/>
      <c r="L221" s="133"/>
      <c r="P221" s="132">
        <f t="shared" si="16"/>
        <v>0</v>
      </c>
    </row>
    <row r="222" spans="1:19" ht="26.25" customHeight="1" x14ac:dyDescent="0.25">
      <c r="A222" s="158" t="s">
        <v>288</v>
      </c>
      <c r="B222" s="159" t="s">
        <v>854</v>
      </c>
      <c r="C222" s="130">
        <f t="shared" ref="C222:C283" si="17">SUM(D222:K222)</f>
        <v>210</v>
      </c>
      <c r="D222" s="133"/>
      <c r="E222" s="133"/>
      <c r="F222" s="133"/>
      <c r="G222" s="133"/>
      <c r="H222" s="133">
        <f>2*105</f>
        <v>210</v>
      </c>
      <c r="I222" s="133"/>
      <c r="J222" s="133"/>
      <c r="K222" s="133"/>
      <c r="L222" s="133"/>
      <c r="P222" s="132">
        <f t="shared" si="16"/>
        <v>210</v>
      </c>
      <c r="S222" s="132">
        <f>C3-S220</f>
        <v>99155.795389280014</v>
      </c>
    </row>
    <row r="223" spans="1:19" ht="26.25" customHeight="1" x14ac:dyDescent="0.25">
      <c r="A223" s="158" t="s">
        <v>288</v>
      </c>
      <c r="B223" s="159" t="s">
        <v>855</v>
      </c>
      <c r="C223" s="130">
        <f>SUM(D223:L223)</f>
        <v>189</v>
      </c>
      <c r="D223" s="133">
        <v>60</v>
      </c>
      <c r="E223" s="133"/>
      <c r="F223" s="133"/>
      <c r="G223" s="133"/>
      <c r="H223" s="133"/>
      <c r="I223" s="133"/>
      <c r="J223" s="133"/>
      <c r="K223" s="133"/>
      <c r="L223" s="133">
        <v>129</v>
      </c>
      <c r="M223" s="132">
        <v>377</v>
      </c>
      <c r="N223" s="132">
        <f>2*38</f>
        <v>76</v>
      </c>
      <c r="P223" s="132">
        <f t="shared" si="16"/>
        <v>-264</v>
      </c>
      <c r="R223" s="132" t="s">
        <v>945</v>
      </c>
      <c r="S223" s="132">
        <v>8384</v>
      </c>
    </row>
    <row r="224" spans="1:19" s="119" customFormat="1" ht="26.25" customHeight="1" x14ac:dyDescent="0.2">
      <c r="A224" s="155">
        <v>2</v>
      </c>
      <c r="B224" s="157" t="s">
        <v>153</v>
      </c>
      <c r="C224" s="248">
        <f>SUM(D224:L224)</f>
        <v>22800</v>
      </c>
      <c r="D224" s="139">
        <f t="shared" ref="D224:I224" si="18">D225+SUM(D238:D246)</f>
        <v>9335</v>
      </c>
      <c r="E224" s="139">
        <f t="shared" si="18"/>
        <v>2373</v>
      </c>
      <c r="F224" s="139">
        <f t="shared" si="18"/>
        <v>773</v>
      </c>
      <c r="G224" s="139">
        <f t="shared" si="18"/>
        <v>8869</v>
      </c>
      <c r="H224" s="139">
        <f>H225+SUM(H238:H246)</f>
        <v>294</v>
      </c>
      <c r="I224" s="139">
        <f t="shared" si="18"/>
        <v>880</v>
      </c>
      <c r="J224" s="139">
        <f>J225+SUM(J237:J246)</f>
        <v>54</v>
      </c>
      <c r="K224" s="139">
        <f>K225+SUM(K238:K246)</f>
        <v>45</v>
      </c>
      <c r="L224" s="139">
        <f>L225+SUM(L238:L246)</f>
        <v>177</v>
      </c>
      <c r="M224" s="248">
        <f>M225+SUM(M238:M246)</f>
        <v>1881</v>
      </c>
      <c r="N224" s="248">
        <f>N225+SUM(N238:N246)</f>
        <v>376</v>
      </c>
      <c r="O224" s="248">
        <f>O225+SUM(O237:O246)</f>
        <v>50</v>
      </c>
      <c r="P224" s="248">
        <f>P225+SUM(P237:P246)</f>
        <v>20493</v>
      </c>
      <c r="S224" s="119">
        <f>S222+S223</f>
        <v>107539.79538928001</v>
      </c>
    </row>
    <row r="225" spans="1:17" ht="26.25" customHeight="1" x14ac:dyDescent="0.25">
      <c r="A225" s="158" t="s">
        <v>288</v>
      </c>
      <c r="B225" s="159" t="s">
        <v>842</v>
      </c>
      <c r="C225" s="250">
        <f>SUM(D225:K225)</f>
        <v>5898</v>
      </c>
      <c r="D225" s="139">
        <f>SUM(D226:D231)+D234</f>
        <v>2607</v>
      </c>
      <c r="E225" s="133">
        <f>SUM(E226:E231)+E234</f>
        <v>0</v>
      </c>
      <c r="F225" s="133">
        <f t="shared" ref="F225:K225" si="19">SUM(F226:F231)+F234</f>
        <v>180</v>
      </c>
      <c r="G225" s="133">
        <f t="shared" si="19"/>
        <v>2186</v>
      </c>
      <c r="H225" s="133">
        <f t="shared" si="19"/>
        <v>0</v>
      </c>
      <c r="I225" s="133">
        <f t="shared" si="19"/>
        <v>880</v>
      </c>
      <c r="J225" s="133"/>
      <c r="K225" s="133">
        <f t="shared" si="19"/>
        <v>45</v>
      </c>
      <c r="L225" s="133">
        <f>SUM(L226:L231)+L234</f>
        <v>0</v>
      </c>
      <c r="M225" s="132">
        <f>967</f>
        <v>967</v>
      </c>
      <c r="N225" s="132">
        <f>97*2</f>
        <v>194</v>
      </c>
      <c r="O225" s="132">
        <v>50</v>
      </c>
      <c r="P225" s="132">
        <f>C225-M225-O225-N225</f>
        <v>4687</v>
      </c>
      <c r="Q225" s="132">
        <f>P225+O225</f>
        <v>4737</v>
      </c>
    </row>
    <row r="226" spans="1:17" ht="26.25" customHeight="1" x14ac:dyDescent="0.25">
      <c r="A226" s="158"/>
      <c r="B226" s="159" t="s">
        <v>843</v>
      </c>
      <c r="C226" s="251">
        <f t="shared" si="17"/>
        <v>517</v>
      </c>
      <c r="D226" s="133">
        <v>517</v>
      </c>
      <c r="E226" s="133"/>
      <c r="F226" s="133"/>
      <c r="G226" s="133"/>
      <c r="H226" s="133"/>
      <c r="I226" s="133"/>
      <c r="J226" s="133"/>
      <c r="K226" s="133"/>
      <c r="L226" s="133"/>
    </row>
    <row r="227" spans="1:17" ht="26.25" customHeight="1" x14ac:dyDescent="0.25">
      <c r="A227" s="158"/>
      <c r="B227" s="159" t="s">
        <v>844</v>
      </c>
      <c r="C227" s="251">
        <f t="shared" si="17"/>
        <v>297</v>
      </c>
      <c r="D227" s="133">
        <v>297</v>
      </c>
      <c r="E227" s="133"/>
      <c r="F227" s="133"/>
      <c r="G227" s="133"/>
      <c r="H227" s="133"/>
      <c r="I227" s="133"/>
      <c r="J227" s="133"/>
      <c r="K227" s="133"/>
      <c r="L227" s="133"/>
    </row>
    <row r="228" spans="1:17" ht="26.25" hidden="1" customHeight="1" x14ac:dyDescent="0.25">
      <c r="A228" s="158"/>
      <c r="B228" s="159"/>
      <c r="C228" s="251"/>
      <c r="D228" s="133"/>
      <c r="E228" s="133"/>
      <c r="F228" s="133"/>
      <c r="G228" s="133"/>
      <c r="H228" s="133"/>
      <c r="I228" s="133"/>
      <c r="J228" s="133"/>
      <c r="K228" s="133"/>
      <c r="L228" s="133"/>
    </row>
    <row r="229" spans="1:17" ht="26.25" customHeight="1" x14ac:dyDescent="0.25">
      <c r="A229" s="158"/>
      <c r="B229" s="159" t="s">
        <v>845</v>
      </c>
      <c r="C229" s="251">
        <f t="shared" si="17"/>
        <v>209</v>
      </c>
      <c r="D229" s="133">
        <v>164</v>
      </c>
      <c r="E229" s="133"/>
      <c r="F229" s="133"/>
      <c r="G229" s="133"/>
      <c r="H229" s="133"/>
      <c r="I229" s="133"/>
      <c r="J229" s="133"/>
      <c r="K229" s="133">
        <v>45</v>
      </c>
      <c r="L229" s="133"/>
    </row>
    <row r="230" spans="1:17" ht="37.5" customHeight="1" x14ac:dyDescent="0.25">
      <c r="A230" s="158"/>
      <c r="B230" s="160" t="s">
        <v>846</v>
      </c>
      <c r="C230" s="251">
        <f t="shared" si="17"/>
        <v>4766</v>
      </c>
      <c r="D230" s="133">
        <v>1520</v>
      </c>
      <c r="E230" s="133"/>
      <c r="F230" s="133">
        <v>180</v>
      </c>
      <c r="G230" s="133">
        <v>2186</v>
      </c>
      <c r="H230" s="133"/>
      <c r="I230" s="133">
        <v>880</v>
      </c>
      <c r="J230" s="133"/>
      <c r="K230" s="133"/>
      <c r="L230" s="133"/>
    </row>
    <row r="231" spans="1:17" ht="26.25" customHeight="1" x14ac:dyDescent="0.25">
      <c r="A231" s="158"/>
      <c r="B231" s="160" t="s">
        <v>847</v>
      </c>
      <c r="C231" s="251">
        <f t="shared" si="17"/>
        <v>13</v>
      </c>
      <c r="D231" s="133">
        <v>13</v>
      </c>
      <c r="E231" s="133"/>
      <c r="F231" s="133"/>
      <c r="G231" s="133"/>
      <c r="H231" s="133"/>
      <c r="I231" s="133"/>
      <c r="J231" s="133"/>
      <c r="K231" s="133"/>
      <c r="L231" s="133"/>
    </row>
    <row r="232" spans="1:17" ht="26.25" hidden="1" customHeight="1" x14ac:dyDescent="0.25">
      <c r="A232" s="158"/>
      <c r="B232" s="159"/>
      <c r="C232" s="251"/>
      <c r="D232" s="133"/>
      <c r="E232" s="133"/>
      <c r="F232" s="133"/>
      <c r="G232" s="133"/>
      <c r="H232" s="133"/>
      <c r="I232" s="133"/>
      <c r="J232" s="133"/>
      <c r="K232" s="133"/>
      <c r="L232" s="133"/>
    </row>
    <row r="233" spans="1:17" ht="26.25" hidden="1" customHeight="1" x14ac:dyDescent="0.25">
      <c r="A233" s="158"/>
      <c r="B233" s="159"/>
      <c r="C233" s="251"/>
      <c r="D233" s="133"/>
      <c r="E233" s="133"/>
      <c r="F233" s="133"/>
      <c r="G233" s="133"/>
      <c r="H233" s="133"/>
      <c r="I233" s="133"/>
      <c r="J233" s="133"/>
      <c r="K233" s="133"/>
      <c r="L233" s="133"/>
    </row>
    <row r="234" spans="1:17" ht="26.25" customHeight="1" x14ac:dyDescent="0.25">
      <c r="A234" s="158"/>
      <c r="B234" s="159" t="s">
        <v>848</v>
      </c>
      <c r="C234" s="251">
        <f t="shared" si="17"/>
        <v>96</v>
      </c>
      <c r="D234" s="133">
        <v>96</v>
      </c>
      <c r="E234" s="133"/>
      <c r="F234" s="133"/>
      <c r="G234" s="133"/>
      <c r="H234" s="133"/>
      <c r="I234" s="133"/>
      <c r="J234" s="133"/>
      <c r="K234" s="133"/>
      <c r="L234" s="133"/>
    </row>
    <row r="235" spans="1:17" ht="26.25" hidden="1" customHeight="1" x14ac:dyDescent="0.25">
      <c r="A235" s="158"/>
      <c r="B235" s="159"/>
      <c r="C235" s="251"/>
      <c r="D235" s="133"/>
      <c r="E235" s="133"/>
      <c r="F235" s="133"/>
      <c r="G235" s="133"/>
      <c r="H235" s="133"/>
      <c r="I235" s="133"/>
      <c r="J235" s="133"/>
      <c r="K235" s="133"/>
      <c r="L235" s="133"/>
      <c r="P235" s="132">
        <f t="shared" ref="P235:P238" si="20">C235-M235</f>
        <v>0</v>
      </c>
    </row>
    <row r="236" spans="1:17" ht="26.25" hidden="1" customHeight="1" x14ac:dyDescent="0.25">
      <c r="A236" s="158"/>
      <c r="B236" s="159"/>
      <c r="C236" s="251"/>
      <c r="D236" s="133"/>
      <c r="E236" s="133"/>
      <c r="F236" s="133"/>
      <c r="G236" s="133"/>
      <c r="H236" s="133"/>
      <c r="I236" s="133"/>
      <c r="J236" s="133"/>
      <c r="K236" s="133"/>
      <c r="L236" s="133"/>
      <c r="P236" s="132">
        <f t="shared" si="20"/>
        <v>0</v>
      </c>
    </row>
    <row r="237" spans="1:17" ht="26.25" customHeight="1" x14ac:dyDescent="0.25">
      <c r="A237" s="158" t="s">
        <v>288</v>
      </c>
      <c r="B237" s="160" t="s">
        <v>849</v>
      </c>
      <c r="C237" s="251">
        <f t="shared" si="17"/>
        <v>54</v>
      </c>
      <c r="D237" s="133"/>
      <c r="E237" s="133"/>
      <c r="F237" s="133"/>
      <c r="G237" s="133"/>
      <c r="H237" s="133"/>
      <c r="I237" s="133"/>
      <c r="J237" s="133">
        <v>54</v>
      </c>
      <c r="K237" s="133"/>
      <c r="L237" s="133"/>
      <c r="P237" s="132">
        <f t="shared" si="20"/>
        <v>54</v>
      </c>
    </row>
    <row r="238" spans="1:17" ht="26.25" hidden="1" customHeight="1" x14ac:dyDescent="0.25">
      <c r="A238" s="158"/>
      <c r="B238" s="159"/>
      <c r="C238" s="251"/>
      <c r="D238" s="133"/>
      <c r="E238" s="133"/>
      <c r="F238" s="133"/>
      <c r="G238" s="133"/>
      <c r="H238" s="133"/>
      <c r="I238" s="133"/>
      <c r="J238" s="133"/>
      <c r="K238" s="133"/>
      <c r="L238" s="133"/>
      <c r="P238" s="132">
        <f t="shared" si="20"/>
        <v>0</v>
      </c>
    </row>
    <row r="239" spans="1:17" ht="26.25" customHeight="1" x14ac:dyDescent="0.25">
      <c r="A239" s="158" t="s">
        <v>288</v>
      </c>
      <c r="B239" s="159" t="s">
        <v>850</v>
      </c>
      <c r="C239" s="251">
        <f t="shared" si="17"/>
        <v>16278</v>
      </c>
      <c r="D239" s="133">
        <f>493+6136</f>
        <v>6629</v>
      </c>
      <c r="E239" s="133">
        <v>2373</v>
      </c>
      <c r="F239" s="133">
        <v>593</v>
      </c>
      <c r="G239" s="133">
        <v>6683</v>
      </c>
      <c r="H239" s="133"/>
      <c r="I239" s="133"/>
      <c r="J239" s="133"/>
      <c r="K239" s="133"/>
      <c r="L239" s="133"/>
      <c r="M239" s="132">
        <f>742</f>
        <v>742</v>
      </c>
      <c r="N239" s="132">
        <f>74*2</f>
        <v>148</v>
      </c>
      <c r="P239" s="132">
        <f>C239-M239-N239</f>
        <v>15388</v>
      </c>
    </row>
    <row r="240" spans="1:17" ht="26.25" hidden="1" customHeight="1" x14ac:dyDescent="0.25">
      <c r="A240" s="158"/>
      <c r="B240" s="160"/>
      <c r="C240" s="251"/>
      <c r="D240" s="133"/>
      <c r="E240" s="133"/>
      <c r="F240" s="133"/>
      <c r="G240" s="133"/>
      <c r="H240" s="133"/>
      <c r="I240" s="133"/>
      <c r="J240" s="133"/>
      <c r="K240" s="133"/>
      <c r="L240" s="133"/>
      <c r="P240" s="132">
        <f t="shared" ref="P240:P246" si="21">C240-M240-N240</f>
        <v>0</v>
      </c>
    </row>
    <row r="241" spans="1:16" ht="26.25" customHeight="1" x14ac:dyDescent="0.25">
      <c r="A241" s="158" t="s">
        <v>288</v>
      </c>
      <c r="B241" s="159" t="s">
        <v>851</v>
      </c>
      <c r="C241" s="251">
        <f t="shared" si="17"/>
        <v>18</v>
      </c>
      <c r="D241" s="133">
        <v>18</v>
      </c>
      <c r="E241" s="133"/>
      <c r="F241" s="133"/>
      <c r="G241" s="133"/>
      <c r="H241" s="133"/>
      <c r="I241" s="133"/>
      <c r="J241" s="133"/>
      <c r="K241" s="133"/>
      <c r="L241" s="133"/>
      <c r="M241" s="132">
        <f>2+6</f>
        <v>8</v>
      </c>
      <c r="N241" s="132">
        <f>2*1</f>
        <v>2</v>
      </c>
      <c r="P241" s="132">
        <f t="shared" si="21"/>
        <v>8</v>
      </c>
    </row>
    <row r="242" spans="1:16" ht="26.25" customHeight="1" x14ac:dyDescent="0.25">
      <c r="A242" s="158" t="s">
        <v>288</v>
      </c>
      <c r="B242" s="159" t="s">
        <v>852</v>
      </c>
      <c r="C242" s="251">
        <f t="shared" si="17"/>
        <v>61</v>
      </c>
      <c r="D242" s="133">
        <v>61</v>
      </c>
      <c r="E242" s="133"/>
      <c r="F242" s="133"/>
      <c r="G242" s="133"/>
      <c r="H242" s="133"/>
      <c r="I242" s="133"/>
      <c r="J242" s="133"/>
      <c r="K242" s="133"/>
      <c r="L242" s="133"/>
      <c r="M242" s="132">
        <v>30</v>
      </c>
      <c r="N242" s="132">
        <f>2*3</f>
        <v>6</v>
      </c>
      <c r="P242" s="132">
        <f t="shared" si="21"/>
        <v>25</v>
      </c>
    </row>
    <row r="243" spans="1:16" ht="26.25" hidden="1" customHeight="1" x14ac:dyDescent="0.25">
      <c r="A243" s="158"/>
      <c r="B243" s="159"/>
      <c r="C243" s="251"/>
      <c r="D243" s="133"/>
      <c r="E243" s="133"/>
      <c r="F243" s="133"/>
      <c r="G243" s="133"/>
      <c r="H243" s="133"/>
      <c r="I243" s="133"/>
      <c r="J243" s="133"/>
      <c r="K243" s="133"/>
      <c r="L243" s="133"/>
      <c r="P243" s="132">
        <f t="shared" si="21"/>
        <v>0</v>
      </c>
    </row>
    <row r="244" spans="1:16" ht="26.25" hidden="1" customHeight="1" x14ac:dyDescent="0.25">
      <c r="A244" s="158"/>
      <c r="B244" s="159"/>
      <c r="C244" s="251"/>
      <c r="D244" s="133"/>
      <c r="E244" s="133"/>
      <c r="F244" s="133"/>
      <c r="G244" s="133"/>
      <c r="H244" s="133"/>
      <c r="I244" s="133"/>
      <c r="J244" s="133"/>
      <c r="K244" s="133"/>
      <c r="L244" s="133"/>
      <c r="P244" s="132">
        <f t="shared" si="21"/>
        <v>0</v>
      </c>
    </row>
    <row r="245" spans="1:16" ht="26.25" customHeight="1" x14ac:dyDescent="0.25">
      <c r="A245" s="158" t="s">
        <v>288</v>
      </c>
      <c r="B245" s="159" t="s">
        <v>854</v>
      </c>
      <c r="C245" s="251">
        <f t="shared" si="17"/>
        <v>294</v>
      </c>
      <c r="D245" s="133"/>
      <c r="E245" s="133"/>
      <c r="F245" s="133"/>
      <c r="G245" s="133"/>
      <c r="H245" s="133">
        <f>2*147</f>
        <v>294</v>
      </c>
      <c r="I245" s="133"/>
      <c r="J245" s="133"/>
      <c r="K245" s="133"/>
      <c r="L245" s="133"/>
      <c r="P245" s="132">
        <f t="shared" si="21"/>
        <v>294</v>
      </c>
    </row>
    <row r="246" spans="1:16" ht="26.25" customHeight="1" x14ac:dyDescent="0.25">
      <c r="A246" s="158" t="s">
        <v>288</v>
      </c>
      <c r="B246" s="159" t="s">
        <v>855</v>
      </c>
      <c r="C246" s="251">
        <f>SUM(D246:L246)</f>
        <v>197</v>
      </c>
      <c r="D246" s="133">
        <v>20</v>
      </c>
      <c r="E246" s="133"/>
      <c r="F246" s="133"/>
      <c r="G246" s="133"/>
      <c r="H246" s="133"/>
      <c r="I246" s="133"/>
      <c r="J246" s="133"/>
      <c r="K246" s="133"/>
      <c r="L246" s="133">
        <v>177</v>
      </c>
      <c r="M246" s="132">
        <f>134</f>
        <v>134</v>
      </c>
      <c r="N246" s="132">
        <f>2*13</f>
        <v>26</v>
      </c>
      <c r="P246" s="132">
        <f t="shared" si="21"/>
        <v>37</v>
      </c>
    </row>
    <row r="247" spans="1:16" s="119" customFormat="1" ht="26.25" customHeight="1" x14ac:dyDescent="0.2">
      <c r="A247" s="155">
        <v>3</v>
      </c>
      <c r="B247" s="157" t="s">
        <v>149</v>
      </c>
      <c r="C247" s="137">
        <f>SUM(D247:L247)</f>
        <v>18069</v>
      </c>
      <c r="D247" s="139">
        <f t="shared" ref="D247:I247" si="22">D248+SUM(D261:D268)</f>
        <v>7990</v>
      </c>
      <c r="E247" s="139">
        <f t="shared" si="22"/>
        <v>2135</v>
      </c>
      <c r="F247" s="139">
        <f t="shared" si="22"/>
        <v>455</v>
      </c>
      <c r="G247" s="139">
        <f t="shared" si="22"/>
        <v>5854</v>
      </c>
      <c r="H247" s="139">
        <f t="shared" si="22"/>
        <v>214</v>
      </c>
      <c r="I247" s="139">
        <f t="shared" si="22"/>
        <v>1017</v>
      </c>
      <c r="J247" s="139">
        <f>J248+SUM(J260:J268)</f>
        <v>90</v>
      </c>
      <c r="K247" s="139">
        <f t="shared" ref="K247:P247" si="23">K248+SUM(K260:K268)</f>
        <v>41</v>
      </c>
      <c r="L247" s="139">
        <f t="shared" si="23"/>
        <v>273</v>
      </c>
      <c r="M247" s="139">
        <f>M248+SUM(M260:M268)</f>
        <v>2107</v>
      </c>
      <c r="N247" s="139">
        <f>N248+SUM(N260:N268)</f>
        <v>422</v>
      </c>
      <c r="O247" s="139"/>
      <c r="P247" s="248">
        <f t="shared" si="23"/>
        <v>15540</v>
      </c>
    </row>
    <row r="248" spans="1:16" ht="26.25" customHeight="1" x14ac:dyDescent="0.25">
      <c r="A248" s="158" t="s">
        <v>288</v>
      </c>
      <c r="B248" s="159" t="s">
        <v>842</v>
      </c>
      <c r="C248" s="251">
        <f>SUM(D248:K248)</f>
        <v>6963</v>
      </c>
      <c r="D248" s="133">
        <f>SUM(D249:D254)+D257</f>
        <v>3254</v>
      </c>
      <c r="E248" s="133">
        <f>SUM(E249:E254)+E257</f>
        <v>0</v>
      </c>
      <c r="F248" s="133">
        <f t="shared" ref="F248:K248" si="24">SUM(F249:F254)+F257</f>
        <v>0</v>
      </c>
      <c r="G248" s="133">
        <f t="shared" si="24"/>
        <v>2651</v>
      </c>
      <c r="H248" s="133">
        <f t="shared" si="24"/>
        <v>0</v>
      </c>
      <c r="I248" s="133">
        <f t="shared" si="24"/>
        <v>1017</v>
      </c>
      <c r="J248" s="133"/>
      <c r="K248" s="133">
        <f t="shared" si="24"/>
        <v>41</v>
      </c>
      <c r="L248" s="133">
        <f>SUM(L249:L254)+L257</f>
        <v>0</v>
      </c>
      <c r="M248" s="132">
        <f>1232</f>
        <v>1232</v>
      </c>
      <c r="N248" s="132">
        <f>2*123</f>
        <v>246</v>
      </c>
      <c r="P248" s="132">
        <f>C248-M248-N248</f>
        <v>5485</v>
      </c>
    </row>
    <row r="249" spans="1:16" ht="26.25" customHeight="1" x14ac:dyDescent="0.25">
      <c r="A249" s="158"/>
      <c r="B249" s="159" t="s">
        <v>843</v>
      </c>
      <c r="C249" s="251">
        <f t="shared" si="17"/>
        <v>525</v>
      </c>
      <c r="D249" s="133">
        <v>525</v>
      </c>
      <c r="E249" s="133"/>
      <c r="F249" s="133"/>
      <c r="G249" s="133"/>
      <c r="H249" s="133"/>
      <c r="I249" s="133"/>
      <c r="J249" s="133"/>
      <c r="K249" s="133"/>
      <c r="L249" s="133"/>
    </row>
    <row r="250" spans="1:16" ht="26.25" customHeight="1" x14ac:dyDescent="0.25">
      <c r="A250" s="158"/>
      <c r="B250" s="159" t="s">
        <v>844</v>
      </c>
      <c r="C250" s="251">
        <f t="shared" si="17"/>
        <v>316</v>
      </c>
      <c r="D250" s="133">
        <v>316</v>
      </c>
      <c r="E250" s="133"/>
      <c r="F250" s="133"/>
      <c r="G250" s="133"/>
      <c r="H250" s="133"/>
      <c r="I250" s="133"/>
      <c r="J250" s="133"/>
      <c r="K250" s="133"/>
      <c r="L250" s="133"/>
    </row>
    <row r="251" spans="1:16" ht="26.25" hidden="1" customHeight="1" x14ac:dyDescent="0.25">
      <c r="A251" s="158"/>
      <c r="B251" s="159"/>
      <c r="C251" s="251"/>
      <c r="D251" s="133"/>
      <c r="E251" s="133"/>
      <c r="F251" s="133"/>
      <c r="G251" s="133"/>
      <c r="H251" s="133"/>
      <c r="I251" s="133"/>
      <c r="J251" s="133"/>
      <c r="K251" s="133"/>
      <c r="L251" s="133"/>
    </row>
    <row r="252" spans="1:16" ht="26.25" customHeight="1" x14ac:dyDescent="0.25">
      <c r="A252" s="158"/>
      <c r="B252" s="159" t="s">
        <v>845</v>
      </c>
      <c r="C252" s="251">
        <f t="shared" si="17"/>
        <v>165</v>
      </c>
      <c r="D252" s="133">
        <v>124</v>
      </c>
      <c r="E252" s="133"/>
      <c r="F252" s="133"/>
      <c r="G252" s="133"/>
      <c r="H252" s="133"/>
      <c r="I252" s="133"/>
      <c r="J252" s="133"/>
      <c r="K252" s="133">
        <v>41</v>
      </c>
      <c r="L252" s="133"/>
    </row>
    <row r="253" spans="1:16" ht="34.5" customHeight="1" x14ac:dyDescent="0.25">
      <c r="A253" s="158"/>
      <c r="B253" s="160" t="s">
        <v>846</v>
      </c>
      <c r="C253" s="251">
        <f t="shared" si="17"/>
        <v>5814</v>
      </c>
      <c r="D253" s="133">
        <v>2146</v>
      </c>
      <c r="E253" s="133"/>
      <c r="F253" s="133"/>
      <c r="G253" s="133">
        <v>2651</v>
      </c>
      <c r="H253" s="133"/>
      <c r="I253" s="133">
        <v>1017</v>
      </c>
      <c r="J253" s="133"/>
      <c r="K253" s="133"/>
      <c r="L253" s="133"/>
    </row>
    <row r="254" spans="1:16" ht="26.25" customHeight="1" x14ac:dyDescent="0.25">
      <c r="A254" s="158"/>
      <c r="B254" s="160" t="s">
        <v>847</v>
      </c>
      <c r="C254" s="251">
        <f t="shared" si="17"/>
        <v>12</v>
      </c>
      <c r="D254" s="133">
        <v>12</v>
      </c>
      <c r="E254" s="133"/>
      <c r="F254" s="133"/>
      <c r="G254" s="133"/>
      <c r="H254" s="133"/>
      <c r="I254" s="133"/>
      <c r="J254" s="133"/>
      <c r="K254" s="133"/>
      <c r="L254" s="133"/>
    </row>
    <row r="255" spans="1:16" ht="26.25" hidden="1" customHeight="1" x14ac:dyDescent="0.25">
      <c r="A255" s="158"/>
      <c r="B255" s="159"/>
      <c r="C255" s="251"/>
      <c r="D255" s="133"/>
      <c r="E255" s="133"/>
      <c r="F255" s="133"/>
      <c r="G255" s="133"/>
      <c r="H255" s="133"/>
      <c r="I255" s="133"/>
      <c r="J255" s="133"/>
      <c r="K255" s="133"/>
      <c r="L255" s="133"/>
    </row>
    <row r="256" spans="1:16" ht="26.25" hidden="1" customHeight="1" x14ac:dyDescent="0.25">
      <c r="A256" s="158"/>
      <c r="B256" s="159"/>
      <c r="C256" s="251"/>
      <c r="D256" s="133"/>
      <c r="E256" s="133"/>
      <c r="F256" s="133"/>
      <c r="G256" s="133"/>
      <c r="H256" s="133"/>
      <c r="I256" s="133"/>
      <c r="J256" s="133"/>
      <c r="K256" s="133"/>
      <c r="L256" s="133"/>
    </row>
    <row r="257" spans="1:17" ht="26.25" customHeight="1" x14ac:dyDescent="0.25">
      <c r="A257" s="158"/>
      <c r="B257" s="159" t="s">
        <v>848</v>
      </c>
      <c r="C257" s="251">
        <f t="shared" si="17"/>
        <v>131</v>
      </c>
      <c r="D257" s="133">
        <v>131</v>
      </c>
      <c r="E257" s="133"/>
      <c r="F257" s="133"/>
      <c r="G257" s="133"/>
      <c r="H257" s="133"/>
      <c r="I257" s="133"/>
      <c r="J257" s="133"/>
      <c r="K257" s="133"/>
      <c r="L257" s="133"/>
    </row>
    <row r="258" spans="1:17" ht="26.25" hidden="1" customHeight="1" x14ac:dyDescent="0.25">
      <c r="A258" s="158"/>
      <c r="B258" s="159"/>
      <c r="C258" s="251"/>
      <c r="D258" s="133"/>
      <c r="E258" s="133"/>
      <c r="F258" s="133"/>
      <c r="G258" s="133"/>
      <c r="H258" s="133"/>
      <c r="I258" s="133"/>
      <c r="J258" s="133"/>
      <c r="K258" s="133"/>
      <c r="L258" s="133"/>
    </row>
    <row r="259" spans="1:17" ht="26.25" hidden="1" customHeight="1" x14ac:dyDescent="0.25">
      <c r="A259" s="158"/>
      <c r="B259" s="159"/>
      <c r="C259" s="251"/>
      <c r="D259" s="133"/>
      <c r="E259" s="133"/>
      <c r="F259" s="133"/>
      <c r="G259" s="133"/>
      <c r="H259" s="133"/>
      <c r="I259" s="133"/>
      <c r="J259" s="133"/>
      <c r="K259" s="133"/>
      <c r="L259" s="133"/>
    </row>
    <row r="260" spans="1:17" ht="26.25" customHeight="1" x14ac:dyDescent="0.25">
      <c r="A260" s="158" t="s">
        <v>288</v>
      </c>
      <c r="B260" s="160" t="s">
        <v>849</v>
      </c>
      <c r="C260" s="251">
        <f t="shared" si="17"/>
        <v>90</v>
      </c>
      <c r="D260" s="133"/>
      <c r="E260" s="133"/>
      <c r="F260" s="133"/>
      <c r="G260" s="133"/>
      <c r="H260" s="133"/>
      <c r="I260" s="133"/>
      <c r="J260" s="133">
        <v>90</v>
      </c>
      <c r="K260" s="133"/>
      <c r="L260" s="133"/>
      <c r="P260" s="132">
        <f t="shared" ref="P260" si="25">C260-M260</f>
        <v>90</v>
      </c>
    </row>
    <row r="261" spans="1:17" ht="26.25" customHeight="1" x14ac:dyDescent="0.25">
      <c r="A261" s="158" t="s">
        <v>288</v>
      </c>
      <c r="B261" s="159" t="s">
        <v>850</v>
      </c>
      <c r="C261" s="251">
        <f t="shared" si="17"/>
        <v>10434</v>
      </c>
      <c r="D261" s="133">
        <v>4641</v>
      </c>
      <c r="E261" s="133">
        <v>2135</v>
      </c>
      <c r="F261" s="133">
        <v>455</v>
      </c>
      <c r="G261" s="133">
        <v>3203</v>
      </c>
      <c r="H261" s="133"/>
      <c r="I261" s="133"/>
      <c r="J261" s="133"/>
      <c r="K261" s="133"/>
      <c r="L261" s="133"/>
      <c r="M261" s="132">
        <f>706</f>
        <v>706</v>
      </c>
      <c r="N261" s="132">
        <f>2*71</f>
        <v>142</v>
      </c>
      <c r="P261" s="132">
        <f>C261-M261-N261</f>
        <v>9586</v>
      </c>
    </row>
    <row r="262" spans="1:17" ht="26.25" hidden="1" customHeight="1" x14ac:dyDescent="0.25">
      <c r="A262" s="158"/>
      <c r="B262" s="160" t="s">
        <v>856</v>
      </c>
      <c r="C262" s="251">
        <f t="shared" si="17"/>
        <v>0</v>
      </c>
      <c r="D262" s="133"/>
      <c r="E262" s="133"/>
      <c r="F262" s="133"/>
      <c r="G262" s="133"/>
      <c r="H262" s="133"/>
      <c r="I262" s="133"/>
      <c r="J262" s="133"/>
      <c r="K262" s="133"/>
      <c r="L262" s="133"/>
      <c r="P262" s="132">
        <f t="shared" ref="P262:P268" si="26">C262-M262-N262</f>
        <v>0</v>
      </c>
    </row>
    <row r="263" spans="1:17" ht="26.25" customHeight="1" x14ac:dyDescent="0.25">
      <c r="A263" s="158" t="s">
        <v>288</v>
      </c>
      <c r="B263" s="159" t="s">
        <v>851</v>
      </c>
      <c r="C263" s="251">
        <f t="shared" si="17"/>
        <v>24</v>
      </c>
      <c r="D263" s="133">
        <v>24</v>
      </c>
      <c r="E263" s="133"/>
      <c r="F263" s="133"/>
      <c r="G263" s="133"/>
      <c r="H263" s="133"/>
      <c r="I263" s="133"/>
      <c r="J263" s="133"/>
      <c r="K263" s="133"/>
      <c r="L263" s="133"/>
      <c r="M263" s="132">
        <v>10</v>
      </c>
      <c r="N263" s="132">
        <f>2*1</f>
        <v>2</v>
      </c>
      <c r="P263" s="132">
        <f t="shared" si="26"/>
        <v>12</v>
      </c>
    </row>
    <row r="264" spans="1:17" ht="26.25" customHeight="1" x14ac:dyDescent="0.25">
      <c r="A264" s="158" t="s">
        <v>288</v>
      </c>
      <c r="B264" s="159" t="s">
        <v>852</v>
      </c>
      <c r="C264" s="251">
        <f t="shared" si="17"/>
        <v>46</v>
      </c>
      <c r="D264" s="133">
        <v>46</v>
      </c>
      <c r="E264" s="133"/>
      <c r="F264" s="133"/>
      <c r="G264" s="133"/>
      <c r="H264" s="133"/>
      <c r="I264" s="133"/>
      <c r="J264" s="133"/>
      <c r="K264" s="133"/>
      <c r="L264" s="133"/>
      <c r="M264" s="132">
        <v>19</v>
      </c>
      <c r="N264" s="132">
        <f>2*2</f>
        <v>4</v>
      </c>
      <c r="P264" s="132">
        <f t="shared" si="26"/>
        <v>23</v>
      </c>
    </row>
    <row r="265" spans="1:17" ht="26.25" hidden="1" customHeight="1" x14ac:dyDescent="0.25">
      <c r="A265" s="158" t="s">
        <v>288</v>
      </c>
      <c r="B265" s="159" t="s">
        <v>853</v>
      </c>
      <c r="C265" s="251">
        <f t="shared" si="17"/>
        <v>0</v>
      </c>
      <c r="D265" s="133">
        <v>0</v>
      </c>
      <c r="E265" s="133"/>
      <c r="F265" s="133"/>
      <c r="G265" s="133"/>
      <c r="H265" s="133"/>
      <c r="I265" s="133"/>
      <c r="J265" s="133"/>
      <c r="K265" s="133"/>
      <c r="L265" s="133"/>
      <c r="P265" s="132">
        <f t="shared" si="26"/>
        <v>0</v>
      </c>
    </row>
    <row r="266" spans="1:17" ht="26.25" hidden="1" customHeight="1" x14ac:dyDescent="0.25">
      <c r="A266" s="158"/>
      <c r="B266" s="159"/>
      <c r="C266" s="251"/>
      <c r="D266" s="133"/>
      <c r="E266" s="133"/>
      <c r="F266" s="133"/>
      <c r="G266" s="133"/>
      <c r="H266" s="133"/>
      <c r="I266" s="133"/>
      <c r="J266" s="133"/>
      <c r="K266" s="133"/>
      <c r="L266" s="133"/>
      <c r="P266" s="132">
        <f t="shared" si="26"/>
        <v>0</v>
      </c>
    </row>
    <row r="267" spans="1:17" ht="26.25" customHeight="1" x14ac:dyDescent="0.25">
      <c r="A267" s="158" t="s">
        <v>288</v>
      </c>
      <c r="B267" s="159" t="s">
        <v>854</v>
      </c>
      <c r="C267" s="251">
        <f t="shared" si="17"/>
        <v>214</v>
      </c>
      <c r="D267" s="133"/>
      <c r="E267" s="133"/>
      <c r="F267" s="133"/>
      <c r="G267" s="133"/>
      <c r="H267" s="133">
        <f>2*107</f>
        <v>214</v>
      </c>
      <c r="I267" s="133"/>
      <c r="J267" s="133"/>
      <c r="K267" s="133"/>
      <c r="L267" s="133"/>
      <c r="P267" s="132">
        <f t="shared" si="26"/>
        <v>214</v>
      </c>
    </row>
    <row r="268" spans="1:17" ht="26.25" customHeight="1" x14ac:dyDescent="0.25">
      <c r="A268" s="158" t="s">
        <v>288</v>
      </c>
      <c r="B268" s="159" t="s">
        <v>855</v>
      </c>
      <c r="C268" s="251">
        <f>SUM(D268:L268)</f>
        <v>298</v>
      </c>
      <c r="D268" s="133">
        <v>25</v>
      </c>
      <c r="E268" s="133"/>
      <c r="F268" s="133"/>
      <c r="G268" s="133"/>
      <c r="H268" s="133"/>
      <c r="I268" s="133"/>
      <c r="J268" s="133"/>
      <c r="K268" s="133"/>
      <c r="L268" s="133">
        <v>273</v>
      </c>
      <c r="M268" s="132">
        <f>140</f>
        <v>140</v>
      </c>
      <c r="N268" s="132">
        <f>2*14</f>
        <v>28</v>
      </c>
      <c r="P268" s="132">
        <f t="shared" si="26"/>
        <v>130</v>
      </c>
    </row>
    <row r="269" spans="1:17" s="119" customFormat="1" ht="26.25" customHeight="1" x14ac:dyDescent="0.2">
      <c r="A269" s="155">
        <v>4</v>
      </c>
      <c r="B269" s="157" t="s">
        <v>152</v>
      </c>
      <c r="C269" s="137">
        <f>SUM(D269:L269)</f>
        <v>23682</v>
      </c>
      <c r="D269" s="139">
        <f t="shared" ref="D269:K269" si="27">D270+SUM(D282:D290)</f>
        <v>12523</v>
      </c>
      <c r="E269" s="139">
        <f t="shared" si="27"/>
        <v>1800</v>
      </c>
      <c r="F269" s="139">
        <f t="shared" si="27"/>
        <v>1331</v>
      </c>
      <c r="G269" s="139">
        <f>G270+SUM(G282:G290)</f>
        <v>5588</v>
      </c>
      <c r="H269" s="139">
        <f t="shared" si="27"/>
        <v>464</v>
      </c>
      <c r="I269" s="139">
        <f t="shared" si="27"/>
        <v>1392</v>
      </c>
      <c r="J269" s="139">
        <f t="shared" si="27"/>
        <v>179</v>
      </c>
      <c r="K269" s="139">
        <f t="shared" si="27"/>
        <v>52</v>
      </c>
      <c r="L269" s="139">
        <f t="shared" ref="L269:Q269" si="28">L270+SUM(L282:L290)</f>
        <v>353</v>
      </c>
      <c r="M269" s="139">
        <f t="shared" si="28"/>
        <v>2828</v>
      </c>
      <c r="N269" s="139">
        <f t="shared" si="28"/>
        <v>566</v>
      </c>
      <c r="O269" s="139">
        <f t="shared" si="28"/>
        <v>516</v>
      </c>
      <c r="P269" s="139">
        <f t="shared" si="28"/>
        <v>19772</v>
      </c>
      <c r="Q269" s="248">
        <f t="shared" si="28"/>
        <v>20288</v>
      </c>
    </row>
    <row r="270" spans="1:17" ht="26.25" customHeight="1" x14ac:dyDescent="0.25">
      <c r="A270" s="158" t="s">
        <v>288</v>
      </c>
      <c r="B270" s="159" t="s">
        <v>842</v>
      </c>
      <c r="C270" s="251">
        <f t="shared" si="17"/>
        <v>8631</v>
      </c>
      <c r="D270" s="133">
        <f t="shared" ref="D270:K270" si="29">SUM(D271:D276)+D279</f>
        <v>4140</v>
      </c>
      <c r="E270" s="133">
        <f>SUM(E271:E276)+E279</f>
        <v>0</v>
      </c>
      <c r="F270" s="133">
        <f t="shared" si="29"/>
        <v>410</v>
      </c>
      <c r="G270" s="133">
        <f t="shared" si="29"/>
        <v>2637</v>
      </c>
      <c r="H270" s="133"/>
      <c r="I270" s="133">
        <f t="shared" si="29"/>
        <v>1392</v>
      </c>
      <c r="J270" s="133"/>
      <c r="K270" s="133">
        <f t="shared" si="29"/>
        <v>52</v>
      </c>
      <c r="L270" s="133">
        <f>SUM(L271:L276)+L279</f>
        <v>0</v>
      </c>
      <c r="M270" s="132">
        <f>1511</f>
        <v>1511</v>
      </c>
      <c r="N270" s="132">
        <f>2*151</f>
        <v>302</v>
      </c>
      <c r="O270" s="132">
        <v>200</v>
      </c>
      <c r="P270" s="132">
        <f>C270-M270-O270-N270</f>
        <v>6618</v>
      </c>
      <c r="Q270" s="194">
        <f>O270+P270</f>
        <v>6818</v>
      </c>
    </row>
    <row r="271" spans="1:17" ht="26.25" customHeight="1" x14ac:dyDescent="0.25">
      <c r="A271" s="158"/>
      <c r="B271" s="159" t="s">
        <v>843</v>
      </c>
      <c r="C271" s="251">
        <f t="shared" si="17"/>
        <v>490</v>
      </c>
      <c r="D271" s="133">
        <f>245*2</f>
        <v>490</v>
      </c>
      <c r="E271" s="133"/>
      <c r="F271" s="133"/>
      <c r="G271" s="133"/>
      <c r="H271" s="133"/>
      <c r="I271" s="133"/>
      <c r="J271" s="133"/>
      <c r="K271" s="133"/>
      <c r="L271" s="133"/>
      <c r="Q271" s="194"/>
    </row>
    <row r="272" spans="1:17" ht="26.25" customHeight="1" x14ac:dyDescent="0.25">
      <c r="A272" s="158"/>
      <c r="B272" s="159" t="s">
        <v>844</v>
      </c>
      <c r="C272" s="251">
        <f t="shared" si="17"/>
        <v>321</v>
      </c>
      <c r="D272" s="133">
        <v>321</v>
      </c>
      <c r="E272" s="133"/>
      <c r="F272" s="133"/>
      <c r="G272" s="133"/>
      <c r="H272" s="133"/>
      <c r="I272" s="133"/>
      <c r="J272" s="133"/>
      <c r="K272" s="133"/>
      <c r="L272" s="133"/>
      <c r="Q272" s="194"/>
    </row>
    <row r="273" spans="1:17" ht="26.25" hidden="1" customHeight="1" x14ac:dyDescent="0.25">
      <c r="A273" s="158"/>
      <c r="B273" s="159"/>
      <c r="C273" s="251"/>
      <c r="D273" s="133"/>
      <c r="E273" s="133"/>
      <c r="F273" s="133"/>
      <c r="G273" s="133"/>
      <c r="H273" s="133"/>
      <c r="I273" s="133"/>
      <c r="J273" s="133"/>
      <c r="K273" s="133"/>
      <c r="L273" s="133"/>
      <c r="Q273" s="194"/>
    </row>
    <row r="274" spans="1:17" ht="26.25" customHeight="1" x14ac:dyDescent="0.25">
      <c r="A274" s="158"/>
      <c r="B274" s="159" t="s">
        <v>845</v>
      </c>
      <c r="C274" s="251">
        <f t="shared" si="17"/>
        <v>208</v>
      </c>
      <c r="D274" s="133">
        <f>78*2</f>
        <v>156</v>
      </c>
      <c r="E274" s="133"/>
      <c r="F274" s="133"/>
      <c r="G274" s="133"/>
      <c r="H274" s="133"/>
      <c r="I274" s="133"/>
      <c r="J274" s="133"/>
      <c r="K274" s="133">
        <v>52</v>
      </c>
      <c r="L274" s="133"/>
      <c r="Q274" s="194"/>
    </row>
    <row r="275" spans="1:17" ht="30.75" customHeight="1" x14ac:dyDescent="0.25">
      <c r="A275" s="158"/>
      <c r="B275" s="160" t="s">
        <v>846</v>
      </c>
      <c r="C275" s="251">
        <f t="shared" si="17"/>
        <v>7453</v>
      </c>
      <c r="D275" s="133">
        <v>3014</v>
      </c>
      <c r="E275" s="133"/>
      <c r="F275" s="133">
        <v>410</v>
      </c>
      <c r="G275" s="133">
        <v>2637</v>
      </c>
      <c r="H275" s="133"/>
      <c r="I275" s="133">
        <v>1392</v>
      </c>
      <c r="J275" s="133"/>
      <c r="K275" s="133"/>
      <c r="L275" s="133"/>
      <c r="Q275" s="194"/>
    </row>
    <row r="276" spans="1:17" ht="34.5" customHeight="1" x14ac:dyDescent="0.25">
      <c r="A276" s="158"/>
      <c r="B276" s="160" t="s">
        <v>847</v>
      </c>
      <c r="C276" s="251">
        <f t="shared" si="17"/>
        <v>13</v>
      </c>
      <c r="D276" s="133">
        <v>13</v>
      </c>
      <c r="E276" s="133"/>
      <c r="F276" s="133"/>
      <c r="G276" s="133"/>
      <c r="H276" s="133"/>
      <c r="I276" s="133"/>
      <c r="J276" s="133"/>
      <c r="K276" s="133"/>
      <c r="L276" s="133"/>
      <c r="Q276" s="194"/>
    </row>
    <row r="277" spans="1:17" ht="26.25" hidden="1" customHeight="1" x14ac:dyDescent="0.25">
      <c r="A277" s="158"/>
      <c r="B277" s="159"/>
      <c r="C277" s="251"/>
      <c r="D277" s="133"/>
      <c r="E277" s="133"/>
      <c r="F277" s="133"/>
      <c r="G277" s="133"/>
      <c r="H277" s="133"/>
      <c r="I277" s="133"/>
      <c r="J277" s="133"/>
      <c r="K277" s="133"/>
      <c r="L277" s="133"/>
      <c r="Q277" s="194"/>
    </row>
    <row r="278" spans="1:17" ht="26.25" hidden="1" customHeight="1" x14ac:dyDescent="0.25">
      <c r="A278" s="158"/>
      <c r="B278" s="159"/>
      <c r="C278" s="251"/>
      <c r="D278" s="133"/>
      <c r="E278" s="133"/>
      <c r="F278" s="133"/>
      <c r="G278" s="133"/>
      <c r="H278" s="133"/>
      <c r="I278" s="133"/>
      <c r="J278" s="133"/>
      <c r="K278" s="133"/>
      <c r="L278" s="133"/>
      <c r="Q278" s="194"/>
    </row>
    <row r="279" spans="1:17" ht="26.25" customHeight="1" x14ac:dyDescent="0.25">
      <c r="A279" s="158"/>
      <c r="B279" s="159" t="s">
        <v>848</v>
      </c>
      <c r="C279" s="251">
        <f t="shared" si="17"/>
        <v>146</v>
      </c>
      <c r="D279" s="133">
        <f>73*2</f>
        <v>146</v>
      </c>
      <c r="E279" s="133"/>
      <c r="F279" s="133"/>
      <c r="G279" s="133"/>
      <c r="H279" s="133"/>
      <c r="I279" s="133"/>
      <c r="J279" s="133"/>
      <c r="K279" s="133"/>
      <c r="L279" s="133"/>
      <c r="Q279" s="194"/>
    </row>
    <row r="280" spans="1:17" ht="26.25" hidden="1" customHeight="1" x14ac:dyDescent="0.25">
      <c r="A280" s="158"/>
      <c r="B280" s="159"/>
      <c r="C280" s="251"/>
      <c r="D280" s="133"/>
      <c r="E280" s="133"/>
      <c r="F280" s="133"/>
      <c r="G280" s="133"/>
      <c r="H280" s="133"/>
      <c r="I280" s="133"/>
      <c r="J280" s="133"/>
      <c r="K280" s="133"/>
      <c r="L280" s="133"/>
      <c r="Q280" s="194">
        <f t="shared" ref="Q280:Q290" si="30">O280+P280</f>
        <v>0</v>
      </c>
    </row>
    <row r="281" spans="1:17" ht="26.25" hidden="1" customHeight="1" x14ac:dyDescent="0.25">
      <c r="A281" s="158"/>
      <c r="B281" s="159"/>
      <c r="C281" s="251"/>
      <c r="D281" s="133"/>
      <c r="E281" s="133"/>
      <c r="F281" s="133"/>
      <c r="G281" s="133"/>
      <c r="H281" s="133"/>
      <c r="I281" s="133"/>
      <c r="J281" s="133"/>
      <c r="K281" s="133"/>
      <c r="L281" s="133"/>
      <c r="Q281" s="194">
        <f t="shared" si="30"/>
        <v>0</v>
      </c>
    </row>
    <row r="282" spans="1:17" ht="26.25" customHeight="1" x14ac:dyDescent="0.25">
      <c r="A282" s="158" t="s">
        <v>288</v>
      </c>
      <c r="B282" s="160" t="s">
        <v>849</v>
      </c>
      <c r="C282" s="251">
        <f t="shared" si="17"/>
        <v>179</v>
      </c>
      <c r="D282" s="133"/>
      <c r="E282" s="133"/>
      <c r="F282" s="133"/>
      <c r="G282" s="133"/>
      <c r="H282" s="133"/>
      <c r="I282" s="133"/>
      <c r="J282" s="133">
        <v>179</v>
      </c>
      <c r="K282" s="133"/>
      <c r="L282" s="133"/>
      <c r="P282" s="132">
        <f t="shared" ref="P282" si="31">C282-M282</f>
        <v>179</v>
      </c>
      <c r="Q282" s="194">
        <f t="shared" si="30"/>
        <v>179</v>
      </c>
    </row>
    <row r="283" spans="1:17" ht="26.25" customHeight="1" x14ac:dyDescent="0.25">
      <c r="A283" s="158" t="s">
        <v>288</v>
      </c>
      <c r="B283" s="159" t="s">
        <v>850</v>
      </c>
      <c r="C283" s="251">
        <f t="shared" si="17"/>
        <v>13924</v>
      </c>
      <c r="D283" s="133">
        <f>4126*2</f>
        <v>8252</v>
      </c>
      <c r="E283" s="133">
        <v>1800</v>
      </c>
      <c r="F283" s="133">
        <v>921</v>
      </c>
      <c r="G283" s="133">
        <v>2951</v>
      </c>
      <c r="H283" s="133"/>
      <c r="I283" s="133"/>
      <c r="J283" s="133"/>
      <c r="K283" s="133"/>
      <c r="L283" s="133"/>
      <c r="M283" s="132">
        <f>1065</f>
        <v>1065</v>
      </c>
      <c r="N283" s="132">
        <f>2*107</f>
        <v>214</v>
      </c>
      <c r="O283" s="132">
        <f>50+266</f>
        <v>316</v>
      </c>
      <c r="P283" s="132">
        <f>C283-M283-O283-N283</f>
        <v>12329</v>
      </c>
      <c r="Q283" s="194">
        <f>O283+P283</f>
        <v>12645</v>
      </c>
    </row>
    <row r="284" spans="1:17" ht="26.25" hidden="1" customHeight="1" x14ac:dyDescent="0.25">
      <c r="A284" s="158"/>
      <c r="B284" s="160"/>
      <c r="C284" s="251"/>
      <c r="D284" s="133"/>
      <c r="E284" s="133"/>
      <c r="F284" s="133"/>
      <c r="G284" s="133"/>
      <c r="H284" s="133"/>
      <c r="I284" s="133"/>
      <c r="J284" s="133"/>
      <c r="K284" s="133"/>
      <c r="L284" s="133"/>
      <c r="P284" s="132">
        <f t="shared" ref="P284:P290" si="32">C284-M284-O284-N284</f>
        <v>0</v>
      </c>
      <c r="Q284" s="194">
        <f t="shared" si="30"/>
        <v>0</v>
      </c>
    </row>
    <row r="285" spans="1:17" ht="26.25" customHeight="1" x14ac:dyDescent="0.25">
      <c r="A285" s="158" t="s">
        <v>288</v>
      </c>
      <c r="B285" s="159" t="s">
        <v>851</v>
      </c>
      <c r="C285" s="251">
        <f t="shared" ref="C285:C316" si="33">SUM(D285:K285)</f>
        <v>33</v>
      </c>
      <c r="D285" s="133">
        <v>33</v>
      </c>
      <c r="E285" s="133"/>
      <c r="F285" s="133"/>
      <c r="G285" s="133"/>
      <c r="H285" s="133"/>
      <c r="I285" s="133"/>
      <c r="J285" s="133"/>
      <c r="K285" s="133"/>
      <c r="L285" s="133"/>
      <c r="M285" s="132">
        <f>4+9</f>
        <v>13</v>
      </c>
      <c r="N285" s="132">
        <f>2*1</f>
        <v>2</v>
      </c>
      <c r="P285" s="132">
        <f t="shared" si="32"/>
        <v>18</v>
      </c>
      <c r="Q285" s="194">
        <f t="shared" si="30"/>
        <v>18</v>
      </c>
    </row>
    <row r="286" spans="1:17" ht="26.25" customHeight="1" x14ac:dyDescent="0.25">
      <c r="A286" s="158" t="s">
        <v>288</v>
      </c>
      <c r="B286" s="159" t="s">
        <v>852</v>
      </c>
      <c r="C286" s="251">
        <f t="shared" si="33"/>
        <v>48</v>
      </c>
      <c r="D286" s="133">
        <f>24*2</f>
        <v>48</v>
      </c>
      <c r="E286" s="133"/>
      <c r="F286" s="133"/>
      <c r="G286" s="133"/>
      <c r="H286" s="133"/>
      <c r="I286" s="133"/>
      <c r="J286" s="133"/>
      <c r="K286" s="133"/>
      <c r="L286" s="133"/>
      <c r="M286" s="132">
        <v>25</v>
      </c>
      <c r="N286" s="132">
        <f>2*3</f>
        <v>6</v>
      </c>
      <c r="P286" s="132">
        <f t="shared" si="32"/>
        <v>17</v>
      </c>
      <c r="Q286" s="194">
        <f t="shared" si="30"/>
        <v>17</v>
      </c>
    </row>
    <row r="287" spans="1:17" ht="26.25" hidden="1" customHeight="1" x14ac:dyDescent="0.25">
      <c r="A287" s="158"/>
      <c r="B287" s="159"/>
      <c r="C287" s="251"/>
      <c r="D287" s="133"/>
      <c r="E287" s="133"/>
      <c r="F287" s="133"/>
      <c r="G287" s="133"/>
      <c r="H287" s="133"/>
      <c r="I287" s="133"/>
      <c r="J287" s="133"/>
      <c r="K287" s="133"/>
      <c r="L287" s="133"/>
      <c r="P287" s="132">
        <f t="shared" si="32"/>
        <v>0</v>
      </c>
      <c r="Q287" s="194">
        <f t="shared" si="30"/>
        <v>0</v>
      </c>
    </row>
    <row r="288" spans="1:17" ht="26.25" hidden="1" customHeight="1" x14ac:dyDescent="0.25">
      <c r="A288" s="158"/>
      <c r="B288" s="159"/>
      <c r="C288" s="251"/>
      <c r="D288" s="133"/>
      <c r="E288" s="133"/>
      <c r="F288" s="133"/>
      <c r="G288" s="133"/>
      <c r="H288" s="133"/>
      <c r="I288" s="133"/>
      <c r="J288" s="133"/>
      <c r="K288" s="133"/>
      <c r="L288" s="133"/>
      <c r="P288" s="132">
        <f t="shared" si="32"/>
        <v>0</v>
      </c>
      <c r="Q288" s="194">
        <f t="shared" si="30"/>
        <v>0</v>
      </c>
    </row>
    <row r="289" spans="1:17" ht="26.25" customHeight="1" x14ac:dyDescent="0.25">
      <c r="A289" s="158" t="s">
        <v>288</v>
      </c>
      <c r="B289" s="159" t="s">
        <v>854</v>
      </c>
      <c r="C289" s="251">
        <f t="shared" si="33"/>
        <v>464</v>
      </c>
      <c r="D289" s="133"/>
      <c r="E289" s="133"/>
      <c r="F289" s="133"/>
      <c r="G289" s="133"/>
      <c r="H289" s="133">
        <f>2*232</f>
        <v>464</v>
      </c>
      <c r="I289" s="133"/>
      <c r="J289" s="133"/>
      <c r="K289" s="133"/>
      <c r="L289" s="133"/>
      <c r="P289" s="132">
        <f t="shared" si="32"/>
        <v>464</v>
      </c>
      <c r="Q289" s="194">
        <f t="shared" si="30"/>
        <v>464</v>
      </c>
    </row>
    <row r="290" spans="1:17" ht="26.25" customHeight="1" x14ac:dyDescent="0.25">
      <c r="A290" s="158" t="s">
        <v>288</v>
      </c>
      <c r="B290" s="159" t="s">
        <v>855</v>
      </c>
      <c r="C290" s="251">
        <f>SUM(D290:L290)</f>
        <v>403</v>
      </c>
      <c r="D290" s="133">
        <f>25*2</f>
        <v>50</v>
      </c>
      <c r="E290" s="133"/>
      <c r="F290" s="133"/>
      <c r="G290" s="133"/>
      <c r="H290" s="133"/>
      <c r="I290" s="133"/>
      <c r="J290" s="133"/>
      <c r="K290" s="133"/>
      <c r="L290" s="133">
        <v>353</v>
      </c>
      <c r="M290" s="132">
        <f>214</f>
        <v>214</v>
      </c>
      <c r="N290" s="132">
        <f>2*21</f>
        <v>42</v>
      </c>
      <c r="P290" s="132">
        <f t="shared" si="32"/>
        <v>147</v>
      </c>
      <c r="Q290" s="194">
        <f t="shared" si="30"/>
        <v>147</v>
      </c>
    </row>
    <row r="291" spans="1:17" s="119" customFormat="1" ht="26.25" customHeight="1" x14ac:dyDescent="0.2">
      <c r="A291" s="155">
        <v>5</v>
      </c>
      <c r="B291" s="157" t="s">
        <v>385</v>
      </c>
      <c r="C291" s="137">
        <f>SUM(D291:L291)</f>
        <v>5304</v>
      </c>
      <c r="D291" s="139">
        <f t="shared" ref="D291:K291" si="34">D292+SUM(D304:D312)</f>
        <v>7735</v>
      </c>
      <c r="E291" s="139">
        <f>E292+SUM(E304:E312)</f>
        <v>-1191</v>
      </c>
      <c r="F291" s="139">
        <f t="shared" si="34"/>
        <v>-911</v>
      </c>
      <c r="G291" s="139">
        <f t="shared" si="34"/>
        <v>-2147</v>
      </c>
      <c r="H291" s="139">
        <f t="shared" si="34"/>
        <v>378</v>
      </c>
      <c r="I291" s="139">
        <f t="shared" si="34"/>
        <v>1024</v>
      </c>
      <c r="J291" s="139">
        <f t="shared" si="34"/>
        <v>114</v>
      </c>
      <c r="K291" s="139">
        <f t="shared" si="34"/>
        <v>45</v>
      </c>
      <c r="L291" s="139">
        <f>L292+SUM(L304:L312)</f>
        <v>257</v>
      </c>
      <c r="M291" s="139">
        <f>M292+SUM(M304:M312)</f>
        <v>2203</v>
      </c>
      <c r="N291" s="139">
        <f>N292+SUM(N304:N312)</f>
        <v>440</v>
      </c>
      <c r="O291" s="139"/>
      <c r="P291" s="139">
        <f t="shared" ref="P291" si="35">P292+SUM(P304:P312)</f>
        <v>2661</v>
      </c>
    </row>
    <row r="292" spans="1:17" ht="26.25" customHeight="1" x14ac:dyDescent="0.25">
      <c r="A292" s="158" t="s">
        <v>288</v>
      </c>
      <c r="B292" s="159" t="s">
        <v>842</v>
      </c>
      <c r="C292" s="251">
        <f t="shared" si="33"/>
        <v>2096</v>
      </c>
      <c r="D292" s="133">
        <f t="shared" ref="D292:K292" si="36">SUM(D293:D298)+D301</f>
        <v>2703</v>
      </c>
      <c r="E292" s="133">
        <f>SUM(E293:E298)+E301</f>
        <v>0</v>
      </c>
      <c r="F292" s="133">
        <f t="shared" si="36"/>
        <v>-276</v>
      </c>
      <c r="G292" s="133">
        <f t="shared" si="36"/>
        <v>-1400</v>
      </c>
      <c r="H292" s="133">
        <f t="shared" si="36"/>
        <v>0</v>
      </c>
      <c r="I292" s="133">
        <f t="shared" si="36"/>
        <v>1024</v>
      </c>
      <c r="J292" s="133"/>
      <c r="K292" s="133">
        <f t="shared" si="36"/>
        <v>45</v>
      </c>
      <c r="L292" s="133">
        <f>SUM(L293:L298)+L301</f>
        <v>0</v>
      </c>
      <c r="M292" s="132">
        <f>1206</f>
        <v>1206</v>
      </c>
      <c r="N292" s="132">
        <f>2*121</f>
        <v>242</v>
      </c>
      <c r="P292" s="132">
        <f>C292-M292-N292</f>
        <v>648</v>
      </c>
    </row>
    <row r="293" spans="1:17" ht="26.25" customHeight="1" x14ac:dyDescent="0.25">
      <c r="A293" s="158"/>
      <c r="B293" s="159" t="s">
        <v>843</v>
      </c>
      <c r="C293" s="251">
        <f>SUM(D293:K293)</f>
        <v>494</v>
      </c>
      <c r="D293" s="133">
        <v>494</v>
      </c>
      <c r="E293" s="133"/>
      <c r="F293" s="133"/>
      <c r="G293" s="133"/>
      <c r="H293" s="133"/>
      <c r="I293" s="133"/>
      <c r="J293" s="133"/>
      <c r="K293" s="133"/>
      <c r="L293" s="133"/>
    </row>
    <row r="294" spans="1:17" ht="26.25" customHeight="1" x14ac:dyDescent="0.25">
      <c r="A294" s="158"/>
      <c r="B294" s="159" t="s">
        <v>844</v>
      </c>
      <c r="C294" s="251">
        <f t="shared" si="33"/>
        <v>291</v>
      </c>
      <c r="D294" s="133">
        <v>291</v>
      </c>
      <c r="E294" s="133"/>
      <c r="F294" s="133"/>
      <c r="G294" s="133"/>
      <c r="H294" s="133"/>
      <c r="I294" s="133"/>
      <c r="J294" s="133"/>
      <c r="K294" s="133"/>
      <c r="L294" s="133"/>
    </row>
    <row r="295" spans="1:17" ht="26.25" hidden="1" customHeight="1" x14ac:dyDescent="0.25">
      <c r="A295" s="158"/>
      <c r="B295" s="159"/>
      <c r="C295" s="251"/>
      <c r="D295" s="133"/>
      <c r="E295" s="133"/>
      <c r="F295" s="133"/>
      <c r="G295" s="133"/>
      <c r="H295" s="133"/>
      <c r="I295" s="133"/>
      <c r="J295" s="133"/>
      <c r="K295" s="133"/>
      <c r="L295" s="133"/>
    </row>
    <row r="296" spans="1:17" ht="26.25" customHeight="1" x14ac:dyDescent="0.25">
      <c r="A296" s="158"/>
      <c r="B296" s="159" t="s">
        <v>845</v>
      </c>
      <c r="C296" s="251">
        <f t="shared" si="33"/>
        <v>190</v>
      </c>
      <c r="D296" s="133">
        <v>145</v>
      </c>
      <c r="E296" s="133"/>
      <c r="F296" s="133"/>
      <c r="G296" s="133"/>
      <c r="H296" s="133"/>
      <c r="I296" s="133"/>
      <c r="J296" s="133"/>
      <c r="K296" s="133">
        <v>45</v>
      </c>
      <c r="L296" s="133"/>
    </row>
    <row r="297" spans="1:17" ht="45.75" customHeight="1" x14ac:dyDescent="0.25">
      <c r="A297" s="158"/>
      <c r="B297" s="160" t="s">
        <v>846</v>
      </c>
      <c r="C297" s="251">
        <f t="shared" si="33"/>
        <v>993</v>
      </c>
      <c r="D297" s="133">
        <v>1645</v>
      </c>
      <c r="E297" s="133"/>
      <c r="F297" s="133">
        <v>-276</v>
      </c>
      <c r="G297" s="133">
        <v>-1400</v>
      </c>
      <c r="H297" s="133"/>
      <c r="I297" s="133">
        <v>1024</v>
      </c>
      <c r="J297" s="133"/>
      <c r="K297" s="133"/>
      <c r="L297" s="133"/>
    </row>
    <row r="298" spans="1:17" ht="26.25" customHeight="1" x14ac:dyDescent="0.25">
      <c r="A298" s="158"/>
      <c r="B298" s="160" t="s">
        <v>847</v>
      </c>
      <c r="C298" s="251">
        <f t="shared" si="33"/>
        <v>13</v>
      </c>
      <c r="D298" s="133">
        <v>13</v>
      </c>
      <c r="E298" s="133"/>
      <c r="F298" s="133"/>
      <c r="G298" s="133"/>
      <c r="H298" s="133"/>
      <c r="I298" s="133"/>
      <c r="J298" s="133"/>
      <c r="K298" s="133"/>
      <c r="L298" s="133"/>
    </row>
    <row r="299" spans="1:17" ht="26.25" hidden="1" customHeight="1" x14ac:dyDescent="0.25">
      <c r="A299" s="158"/>
      <c r="B299" s="159"/>
      <c r="C299" s="251"/>
      <c r="D299" s="133"/>
      <c r="E299" s="133"/>
      <c r="F299" s="133"/>
      <c r="G299" s="133"/>
      <c r="H299" s="133"/>
      <c r="I299" s="133"/>
      <c r="J299" s="133"/>
      <c r="K299" s="133"/>
      <c r="L299" s="133"/>
    </row>
    <row r="300" spans="1:17" ht="26.25" hidden="1" customHeight="1" x14ac:dyDescent="0.25">
      <c r="A300" s="158"/>
      <c r="B300" s="159"/>
      <c r="C300" s="251"/>
      <c r="D300" s="133"/>
      <c r="E300" s="133"/>
      <c r="F300" s="133"/>
      <c r="G300" s="133"/>
      <c r="H300" s="133"/>
      <c r="I300" s="133"/>
      <c r="J300" s="133"/>
      <c r="K300" s="133"/>
      <c r="L300" s="133"/>
    </row>
    <row r="301" spans="1:17" ht="26.25" customHeight="1" x14ac:dyDescent="0.25">
      <c r="A301" s="158"/>
      <c r="B301" s="159" t="s">
        <v>848</v>
      </c>
      <c r="C301" s="251">
        <f t="shared" si="33"/>
        <v>115</v>
      </c>
      <c r="D301" s="133">
        <v>115</v>
      </c>
      <c r="E301" s="133"/>
      <c r="F301" s="133"/>
      <c r="G301" s="133"/>
      <c r="H301" s="133"/>
      <c r="I301" s="133"/>
      <c r="J301" s="133"/>
      <c r="K301" s="133"/>
      <c r="L301" s="133"/>
    </row>
    <row r="302" spans="1:17" ht="26.25" hidden="1" customHeight="1" x14ac:dyDescent="0.25">
      <c r="A302" s="158"/>
      <c r="B302" s="159"/>
      <c r="C302" s="251"/>
      <c r="D302" s="133"/>
      <c r="E302" s="133"/>
      <c r="F302" s="133"/>
      <c r="G302" s="133"/>
      <c r="H302" s="133"/>
      <c r="I302" s="133"/>
      <c r="J302" s="133"/>
      <c r="K302" s="133"/>
      <c r="L302" s="133"/>
      <c r="P302" s="132">
        <f t="shared" ref="P302:P303" si="37">C302-M302</f>
        <v>0</v>
      </c>
    </row>
    <row r="303" spans="1:17" ht="26.25" hidden="1" customHeight="1" x14ac:dyDescent="0.25">
      <c r="A303" s="158"/>
      <c r="B303" s="159"/>
      <c r="C303" s="251"/>
      <c r="D303" s="133"/>
      <c r="E303" s="133"/>
      <c r="F303" s="133"/>
      <c r="G303" s="133"/>
      <c r="H303" s="133"/>
      <c r="I303" s="133"/>
      <c r="J303" s="133"/>
      <c r="K303" s="133"/>
      <c r="L303" s="133"/>
      <c r="P303" s="132">
        <f t="shared" si="37"/>
        <v>0</v>
      </c>
    </row>
    <row r="304" spans="1:17" ht="26.25" customHeight="1" x14ac:dyDescent="0.25">
      <c r="A304" s="158" t="s">
        <v>288</v>
      </c>
      <c r="B304" s="160" t="s">
        <v>849</v>
      </c>
      <c r="C304" s="251">
        <f t="shared" si="33"/>
        <v>114</v>
      </c>
      <c r="D304" s="133"/>
      <c r="E304" s="133"/>
      <c r="F304" s="133"/>
      <c r="G304" s="133"/>
      <c r="H304" s="133"/>
      <c r="I304" s="133"/>
      <c r="J304" s="133">
        <v>114</v>
      </c>
      <c r="K304" s="133"/>
      <c r="L304" s="133"/>
      <c r="P304" s="132">
        <f>C304-M304</f>
        <v>114</v>
      </c>
    </row>
    <row r="305" spans="1:17" ht="26.25" customHeight="1" x14ac:dyDescent="0.25">
      <c r="A305" s="158" t="s">
        <v>288</v>
      </c>
      <c r="B305" s="159" t="s">
        <v>850</v>
      </c>
      <c r="C305" s="251">
        <f t="shared" si="33"/>
        <v>2363</v>
      </c>
      <c r="D305" s="133">
        <v>4936</v>
      </c>
      <c r="E305" s="133">
        <v>-1191</v>
      </c>
      <c r="F305" s="133">
        <v>-635</v>
      </c>
      <c r="G305" s="133">
        <v>-747</v>
      </c>
      <c r="H305" s="133"/>
      <c r="I305" s="133"/>
      <c r="J305" s="133"/>
      <c r="K305" s="133"/>
      <c r="L305" s="133"/>
      <c r="M305" s="132">
        <f>807</f>
        <v>807</v>
      </c>
      <c r="N305" s="132">
        <f>2*81</f>
        <v>162</v>
      </c>
      <c r="P305" s="132">
        <f>C305-M305-N305</f>
        <v>1394</v>
      </c>
    </row>
    <row r="306" spans="1:17" ht="26.25" hidden="1" customHeight="1" x14ac:dyDescent="0.25">
      <c r="A306" s="158"/>
      <c r="B306" s="160"/>
      <c r="C306" s="251"/>
      <c r="D306" s="133"/>
      <c r="E306" s="133"/>
      <c r="F306" s="133"/>
      <c r="G306" s="133"/>
      <c r="H306" s="133"/>
      <c r="I306" s="133"/>
      <c r="J306" s="133"/>
      <c r="K306" s="133"/>
      <c r="L306" s="133"/>
      <c r="P306" s="132">
        <f t="shared" ref="P306:P312" si="38">C306-M306-N306</f>
        <v>0</v>
      </c>
    </row>
    <row r="307" spans="1:17" ht="26.25" customHeight="1" x14ac:dyDescent="0.25">
      <c r="A307" s="158" t="s">
        <v>288</v>
      </c>
      <c r="B307" s="159" t="s">
        <v>851</v>
      </c>
      <c r="C307" s="251">
        <f t="shared" si="33"/>
        <v>36</v>
      </c>
      <c r="D307" s="133">
        <v>36</v>
      </c>
      <c r="E307" s="133"/>
      <c r="F307" s="133"/>
      <c r="G307" s="133"/>
      <c r="H307" s="133"/>
      <c r="I307" s="133"/>
      <c r="J307" s="133"/>
      <c r="K307" s="133"/>
      <c r="L307" s="133"/>
      <c r="M307" s="132">
        <f>2+13</f>
        <v>15</v>
      </c>
      <c r="N307" s="132">
        <f>2*1</f>
        <v>2</v>
      </c>
      <c r="P307" s="132">
        <f t="shared" si="38"/>
        <v>19</v>
      </c>
    </row>
    <row r="308" spans="1:17" ht="26.25" customHeight="1" x14ac:dyDescent="0.25">
      <c r="A308" s="158" t="s">
        <v>288</v>
      </c>
      <c r="B308" s="159" t="s">
        <v>852</v>
      </c>
      <c r="C308" s="251">
        <f t="shared" si="33"/>
        <v>34</v>
      </c>
      <c r="D308" s="133">
        <v>34</v>
      </c>
      <c r="E308" s="133"/>
      <c r="F308" s="133"/>
      <c r="G308" s="133"/>
      <c r="H308" s="133"/>
      <c r="I308" s="133"/>
      <c r="J308" s="133"/>
      <c r="K308" s="133"/>
      <c r="L308" s="133"/>
      <c r="M308" s="132">
        <v>19</v>
      </c>
      <c r="N308" s="132">
        <f>2*2</f>
        <v>4</v>
      </c>
      <c r="P308" s="132">
        <f t="shared" si="38"/>
        <v>11</v>
      </c>
    </row>
    <row r="309" spans="1:17" ht="26.25" customHeight="1" x14ac:dyDescent="0.25">
      <c r="A309" s="158" t="s">
        <v>288</v>
      </c>
      <c r="B309" s="159" t="s">
        <v>357</v>
      </c>
      <c r="C309" s="251">
        <f t="shared" si="33"/>
        <v>0</v>
      </c>
      <c r="D309" s="133"/>
      <c r="E309" s="133"/>
      <c r="F309" s="133"/>
      <c r="G309" s="133"/>
      <c r="H309" s="133"/>
      <c r="I309" s="133"/>
      <c r="J309" s="133"/>
      <c r="K309" s="133"/>
      <c r="L309" s="133"/>
      <c r="P309" s="132">
        <f>C309-M309-N309</f>
        <v>0</v>
      </c>
    </row>
    <row r="310" spans="1:17" ht="26.25" hidden="1" customHeight="1" x14ac:dyDescent="0.25">
      <c r="A310" s="158"/>
      <c r="B310" s="159"/>
      <c r="C310" s="251"/>
      <c r="D310" s="133"/>
      <c r="E310" s="133"/>
      <c r="F310" s="133"/>
      <c r="G310" s="133"/>
      <c r="H310" s="133"/>
      <c r="I310" s="133"/>
      <c r="J310" s="133"/>
      <c r="K310" s="133"/>
      <c r="L310" s="133"/>
      <c r="P310" s="132">
        <f t="shared" si="38"/>
        <v>0</v>
      </c>
    </row>
    <row r="311" spans="1:17" ht="26.25" customHeight="1" x14ac:dyDescent="0.25">
      <c r="A311" s="158" t="s">
        <v>288</v>
      </c>
      <c r="B311" s="159" t="s">
        <v>854</v>
      </c>
      <c r="C311" s="251">
        <f t="shared" si="33"/>
        <v>378</v>
      </c>
      <c r="D311" s="133"/>
      <c r="E311" s="133"/>
      <c r="F311" s="133"/>
      <c r="G311" s="133"/>
      <c r="H311" s="133">
        <f>2*189</f>
        <v>378</v>
      </c>
      <c r="I311" s="133"/>
      <c r="J311" s="133"/>
      <c r="K311" s="133"/>
      <c r="L311" s="133"/>
      <c r="P311" s="132">
        <f t="shared" si="38"/>
        <v>378</v>
      </c>
    </row>
    <row r="312" spans="1:17" ht="26.25" customHeight="1" x14ac:dyDescent="0.25">
      <c r="A312" s="158" t="s">
        <v>288</v>
      </c>
      <c r="B312" s="159" t="s">
        <v>855</v>
      </c>
      <c r="C312" s="251">
        <f>SUM(D312:L312)</f>
        <v>283</v>
      </c>
      <c r="D312" s="133">
        <v>26</v>
      </c>
      <c r="E312" s="133"/>
      <c r="F312" s="133"/>
      <c r="G312" s="133"/>
      <c r="H312" s="133"/>
      <c r="I312" s="133"/>
      <c r="J312" s="133"/>
      <c r="K312" s="133"/>
      <c r="L312" s="133">
        <v>257</v>
      </c>
      <c r="M312" s="132">
        <f>156</f>
        <v>156</v>
      </c>
      <c r="N312" s="132">
        <f>2*15</f>
        <v>30</v>
      </c>
      <c r="P312" s="132">
        <f t="shared" si="38"/>
        <v>97</v>
      </c>
      <c r="Q312" s="132">
        <f>O313+M313-C313</f>
        <v>863</v>
      </c>
    </row>
    <row r="313" spans="1:17" s="119" customFormat="1" ht="26.25" customHeight="1" x14ac:dyDescent="0.2">
      <c r="A313" s="155">
        <v>6</v>
      </c>
      <c r="B313" s="157" t="s">
        <v>151</v>
      </c>
      <c r="C313" s="137">
        <f>SUM(D313:L313)</f>
        <v>10606</v>
      </c>
      <c r="D313" s="139">
        <f t="shared" ref="D313:K313" si="39">D314+SUM(D326:D334)</f>
        <v>10500</v>
      </c>
      <c r="E313" s="139">
        <f t="shared" si="39"/>
        <v>0</v>
      </c>
      <c r="F313" s="139">
        <f t="shared" si="39"/>
        <v>-1310</v>
      </c>
      <c r="G313" s="139">
        <f t="shared" si="39"/>
        <v>-1000</v>
      </c>
      <c r="H313" s="139">
        <f t="shared" si="39"/>
        <v>424</v>
      </c>
      <c r="I313" s="139">
        <f t="shared" si="39"/>
        <v>1378</v>
      </c>
      <c r="J313" s="139">
        <f t="shared" si="39"/>
        <v>179</v>
      </c>
      <c r="K313" s="139">
        <f t="shared" si="39"/>
        <v>82</v>
      </c>
      <c r="L313" s="139">
        <f>L314+SUM(L326:L334)</f>
        <v>353</v>
      </c>
      <c r="M313" s="139">
        <f>M314+SUM(M326:M334)</f>
        <v>2875</v>
      </c>
      <c r="N313" s="139">
        <f>N314+SUM(N326:N334)</f>
        <v>576</v>
      </c>
      <c r="O313" s="139">
        <f t="shared" ref="O313" si="40">O314+SUM(O326:O334)</f>
        <v>8594</v>
      </c>
      <c r="P313" s="437">
        <f>P314+SUM(P326:P334)</f>
        <v>-576</v>
      </c>
      <c r="Q313" s="248">
        <f>Q314+SUM(Q326:Q334)</f>
        <v>8018</v>
      </c>
    </row>
    <row r="314" spans="1:17" ht="26.25" customHeight="1" x14ac:dyDescent="0.25">
      <c r="A314" s="158" t="s">
        <v>288</v>
      </c>
      <c r="B314" s="159" t="s">
        <v>842</v>
      </c>
      <c r="C314" s="251">
        <f t="shared" si="33"/>
        <v>3889</v>
      </c>
      <c r="D314" s="133">
        <f t="shared" ref="D314:K314" si="41">SUM(D315:D320)+D323</f>
        <v>3429</v>
      </c>
      <c r="E314" s="133">
        <f>SUM(E315:E320)+E323</f>
        <v>0</v>
      </c>
      <c r="F314" s="133">
        <f t="shared" si="41"/>
        <v>0</v>
      </c>
      <c r="G314" s="133">
        <f t="shared" si="41"/>
        <v>-1000</v>
      </c>
      <c r="H314" s="133">
        <f t="shared" si="41"/>
        <v>0</v>
      </c>
      <c r="I314" s="133">
        <f t="shared" si="41"/>
        <v>1378</v>
      </c>
      <c r="J314" s="133"/>
      <c r="K314" s="133">
        <f t="shared" si="41"/>
        <v>82</v>
      </c>
      <c r="L314" s="133">
        <f>SUM(L315:L320)+L323</f>
        <v>0</v>
      </c>
      <c r="M314" s="169">
        <f>1525</f>
        <v>1525</v>
      </c>
      <c r="N314" s="169">
        <f>2*153</f>
        <v>306</v>
      </c>
      <c r="O314" s="169">
        <f>2210</f>
        <v>2210</v>
      </c>
      <c r="P314" s="132">
        <f>C314-M314-O314+863-N314</f>
        <v>711</v>
      </c>
      <c r="Q314" s="132">
        <f>O314+P314</f>
        <v>2921</v>
      </c>
    </row>
    <row r="315" spans="1:17" ht="26.25" customHeight="1" x14ac:dyDescent="0.25">
      <c r="A315" s="158"/>
      <c r="B315" s="159" t="s">
        <v>843</v>
      </c>
      <c r="C315" s="251">
        <f t="shared" si="33"/>
        <v>-474</v>
      </c>
      <c r="D315" s="133">
        <f>18+508</f>
        <v>526</v>
      </c>
      <c r="E315" s="133"/>
      <c r="F315" s="133"/>
      <c r="G315" s="133">
        <v>-1000</v>
      </c>
      <c r="H315" s="133"/>
      <c r="I315" s="133"/>
      <c r="J315" s="133"/>
      <c r="K315" s="133"/>
      <c r="L315" s="133"/>
      <c r="M315" s="161"/>
      <c r="N315" s="161"/>
      <c r="O315" s="161"/>
    </row>
    <row r="316" spans="1:17" ht="26.25" customHeight="1" x14ac:dyDescent="0.25">
      <c r="A316" s="158"/>
      <c r="B316" s="159" t="s">
        <v>844</v>
      </c>
      <c r="C316" s="251">
        <f t="shared" si="33"/>
        <v>315</v>
      </c>
      <c r="D316" s="133">
        <f>18+297</f>
        <v>315</v>
      </c>
      <c r="E316" s="133"/>
      <c r="F316" s="133"/>
      <c r="G316" s="133"/>
      <c r="H316" s="133"/>
      <c r="I316" s="133"/>
      <c r="J316" s="133"/>
      <c r="K316" s="133"/>
      <c r="L316" s="133"/>
    </row>
    <row r="317" spans="1:17" ht="26.25" hidden="1" customHeight="1" x14ac:dyDescent="0.25">
      <c r="A317" s="158"/>
      <c r="B317" s="159"/>
      <c r="C317" s="251"/>
      <c r="D317" s="133"/>
      <c r="E317" s="133"/>
      <c r="F317" s="133"/>
      <c r="G317" s="133"/>
      <c r="H317" s="133"/>
      <c r="I317" s="133"/>
      <c r="J317" s="133"/>
      <c r="K317" s="133"/>
      <c r="L317" s="133"/>
    </row>
    <row r="318" spans="1:17" ht="26.25" customHeight="1" x14ac:dyDescent="0.25">
      <c r="A318" s="158"/>
      <c r="B318" s="159" t="s">
        <v>845</v>
      </c>
      <c r="C318" s="251">
        <f t="shared" ref="C318:C347" si="42">SUM(D318:K318)</f>
        <v>190</v>
      </c>
      <c r="D318" s="133">
        <v>108</v>
      </c>
      <c r="E318" s="133"/>
      <c r="F318" s="133"/>
      <c r="G318" s="133"/>
      <c r="H318" s="133"/>
      <c r="I318" s="133"/>
      <c r="J318" s="133"/>
      <c r="K318" s="133">
        <v>82</v>
      </c>
      <c r="L318" s="133"/>
    </row>
    <row r="319" spans="1:17" ht="40.5" customHeight="1" x14ac:dyDescent="0.25">
      <c r="A319" s="158"/>
      <c r="B319" s="160" t="s">
        <v>846</v>
      </c>
      <c r="C319" s="251">
        <f t="shared" si="42"/>
        <v>3688</v>
      </c>
      <c r="D319" s="133">
        <v>2310</v>
      </c>
      <c r="E319" s="133"/>
      <c r="F319" s="133"/>
      <c r="G319" s="133"/>
      <c r="H319" s="133"/>
      <c r="I319" s="133">
        <v>1378</v>
      </c>
      <c r="J319" s="133"/>
      <c r="K319" s="133"/>
      <c r="L319" s="133"/>
    </row>
    <row r="320" spans="1:17" ht="33.75" customHeight="1" x14ac:dyDescent="0.25">
      <c r="A320" s="158"/>
      <c r="B320" s="160" t="s">
        <v>847</v>
      </c>
      <c r="C320" s="251">
        <f t="shared" si="42"/>
        <v>13</v>
      </c>
      <c r="D320" s="133">
        <v>13</v>
      </c>
      <c r="E320" s="133"/>
      <c r="F320" s="133"/>
      <c r="G320" s="133"/>
      <c r="H320" s="133"/>
      <c r="I320" s="133"/>
      <c r="J320" s="133"/>
      <c r="K320" s="133"/>
      <c r="L320" s="133"/>
    </row>
    <row r="321" spans="1:17" ht="26.25" hidden="1" customHeight="1" x14ac:dyDescent="0.25">
      <c r="A321" s="158"/>
      <c r="B321" s="159"/>
      <c r="C321" s="251"/>
      <c r="D321" s="133"/>
      <c r="E321" s="133"/>
      <c r="F321" s="133"/>
      <c r="G321" s="133"/>
      <c r="H321" s="133"/>
      <c r="I321" s="133"/>
      <c r="J321" s="133"/>
      <c r="K321" s="133"/>
      <c r="L321" s="133"/>
    </row>
    <row r="322" spans="1:17" ht="26.25" hidden="1" customHeight="1" x14ac:dyDescent="0.25">
      <c r="A322" s="158"/>
      <c r="B322" s="159"/>
      <c r="C322" s="251"/>
      <c r="D322" s="133"/>
      <c r="E322" s="133"/>
      <c r="F322" s="133"/>
      <c r="G322" s="133"/>
      <c r="H322" s="133"/>
      <c r="I322" s="133"/>
      <c r="J322" s="133"/>
      <c r="K322" s="133"/>
      <c r="L322" s="133"/>
    </row>
    <row r="323" spans="1:17" ht="26.25" customHeight="1" x14ac:dyDescent="0.25">
      <c r="A323" s="158"/>
      <c r="B323" s="159" t="s">
        <v>848</v>
      </c>
      <c r="C323" s="251">
        <f t="shared" si="42"/>
        <v>157</v>
      </c>
      <c r="D323" s="133">
        <v>157</v>
      </c>
      <c r="E323" s="133"/>
      <c r="F323" s="133"/>
      <c r="G323" s="133"/>
      <c r="H323" s="133"/>
      <c r="I323" s="133"/>
      <c r="J323" s="133"/>
      <c r="K323" s="133"/>
      <c r="L323" s="133"/>
    </row>
    <row r="324" spans="1:17" ht="26.25" hidden="1" customHeight="1" x14ac:dyDescent="0.25">
      <c r="A324" s="158"/>
      <c r="B324" s="159"/>
      <c r="C324" s="251"/>
      <c r="D324" s="133"/>
      <c r="E324" s="133"/>
      <c r="F324" s="133"/>
      <c r="G324" s="133"/>
      <c r="H324" s="133"/>
      <c r="I324" s="133"/>
      <c r="J324" s="133"/>
      <c r="K324" s="133"/>
      <c r="L324" s="133"/>
      <c r="P324" s="132">
        <f t="shared" ref="P324:P333" si="43">C324-M324</f>
        <v>0</v>
      </c>
      <c r="Q324" s="132">
        <f t="shared" ref="Q324:Q334" si="44">O324+P324</f>
        <v>0</v>
      </c>
    </row>
    <row r="325" spans="1:17" ht="26.25" hidden="1" customHeight="1" x14ac:dyDescent="0.25">
      <c r="A325" s="158"/>
      <c r="B325" s="159"/>
      <c r="C325" s="251"/>
      <c r="D325" s="133"/>
      <c r="E325" s="133"/>
      <c r="F325" s="133"/>
      <c r="G325" s="133"/>
      <c r="H325" s="133"/>
      <c r="I325" s="133"/>
      <c r="J325" s="133"/>
      <c r="K325" s="133"/>
      <c r="L325" s="133"/>
      <c r="P325" s="132">
        <f t="shared" si="43"/>
        <v>0</v>
      </c>
      <c r="Q325" s="132">
        <f t="shared" si="44"/>
        <v>0</v>
      </c>
    </row>
    <row r="326" spans="1:17" ht="26.25" customHeight="1" x14ac:dyDescent="0.25">
      <c r="A326" s="158" t="s">
        <v>288</v>
      </c>
      <c r="B326" s="160" t="s">
        <v>849</v>
      </c>
      <c r="C326" s="251">
        <f t="shared" si="42"/>
        <v>179</v>
      </c>
      <c r="D326" s="133">
        <v>0</v>
      </c>
      <c r="E326" s="133"/>
      <c r="F326" s="133"/>
      <c r="G326" s="133"/>
      <c r="H326" s="133"/>
      <c r="I326" s="133"/>
      <c r="J326" s="133">
        <v>179</v>
      </c>
      <c r="K326" s="133"/>
      <c r="L326" s="133"/>
      <c r="P326" s="132">
        <f t="shared" si="43"/>
        <v>179</v>
      </c>
      <c r="Q326" s="132">
        <f t="shared" si="44"/>
        <v>179</v>
      </c>
    </row>
    <row r="327" spans="1:17" ht="26.25" customHeight="1" x14ac:dyDescent="0.25">
      <c r="A327" s="158" t="s">
        <v>288</v>
      </c>
      <c r="B327" s="159" t="s">
        <v>850</v>
      </c>
      <c r="C327" s="251">
        <f t="shared" si="42"/>
        <v>5637</v>
      </c>
      <c r="D327" s="133">
        <v>6947</v>
      </c>
      <c r="E327" s="133"/>
      <c r="F327" s="133">
        <v>-1310</v>
      </c>
      <c r="G327" s="133"/>
      <c r="H327" s="133"/>
      <c r="I327" s="133"/>
      <c r="J327" s="133"/>
      <c r="K327" s="133"/>
      <c r="L327" s="133"/>
      <c r="M327" s="132">
        <f>15+1101</f>
        <v>1116</v>
      </c>
      <c r="N327" s="132">
        <f>2*112</f>
        <v>224</v>
      </c>
      <c r="O327" s="132">
        <f>6109-2210+2485</f>
        <v>6384</v>
      </c>
      <c r="P327" s="132">
        <f>C327-M327-O327-N327</f>
        <v>-2087</v>
      </c>
      <c r="Q327" s="132">
        <f>O327+P327</f>
        <v>4297</v>
      </c>
    </row>
    <row r="328" spans="1:17" ht="26.25" hidden="1" customHeight="1" x14ac:dyDescent="0.25">
      <c r="A328" s="158"/>
      <c r="B328" s="160"/>
      <c r="C328" s="251"/>
      <c r="D328" s="133"/>
      <c r="E328" s="133"/>
      <c r="F328" s="133"/>
      <c r="G328" s="133"/>
      <c r="H328" s="133"/>
      <c r="I328" s="133"/>
      <c r="J328" s="133"/>
      <c r="K328" s="133"/>
      <c r="L328" s="133"/>
      <c r="P328" s="132">
        <f t="shared" ref="P328:P330" si="45">C328-M328-O328-N328</f>
        <v>0</v>
      </c>
      <c r="Q328" s="132">
        <f t="shared" si="44"/>
        <v>0</v>
      </c>
    </row>
    <row r="329" spans="1:17" ht="26.25" customHeight="1" x14ac:dyDescent="0.25">
      <c r="A329" s="158" t="s">
        <v>288</v>
      </c>
      <c r="B329" s="159" t="s">
        <v>851</v>
      </c>
      <c r="C329" s="251">
        <f t="shared" si="42"/>
        <v>28</v>
      </c>
      <c r="D329" s="133">
        <v>28</v>
      </c>
      <c r="E329" s="133"/>
      <c r="F329" s="133"/>
      <c r="G329" s="133"/>
      <c r="H329" s="133"/>
      <c r="I329" s="133"/>
      <c r="J329" s="133"/>
      <c r="K329" s="133"/>
      <c r="L329" s="133"/>
      <c r="M329" s="132">
        <f>13</f>
        <v>13</v>
      </c>
      <c r="N329" s="132">
        <f>2*1</f>
        <v>2</v>
      </c>
      <c r="P329" s="132">
        <f t="shared" si="45"/>
        <v>13</v>
      </c>
      <c r="Q329" s="132">
        <f>O329+P329</f>
        <v>13</v>
      </c>
    </row>
    <row r="330" spans="1:17" ht="26.25" customHeight="1" x14ac:dyDescent="0.25">
      <c r="A330" s="158" t="s">
        <v>288</v>
      </c>
      <c r="B330" s="159" t="s">
        <v>852</v>
      </c>
      <c r="C330" s="251">
        <f t="shared" si="42"/>
        <v>55</v>
      </c>
      <c r="D330" s="133">
        <v>55</v>
      </c>
      <c r="E330" s="133"/>
      <c r="F330" s="133"/>
      <c r="G330" s="133"/>
      <c r="H330" s="133"/>
      <c r="I330" s="133"/>
      <c r="J330" s="133"/>
      <c r="K330" s="133"/>
      <c r="L330" s="133"/>
      <c r="M330" s="132">
        <v>22</v>
      </c>
      <c r="N330" s="132">
        <f>2*2</f>
        <v>4</v>
      </c>
      <c r="P330" s="132">
        <f t="shared" si="45"/>
        <v>29</v>
      </c>
      <c r="Q330" s="132">
        <f t="shared" si="44"/>
        <v>29</v>
      </c>
    </row>
    <row r="331" spans="1:17" ht="26.25" customHeight="1" x14ac:dyDescent="0.25">
      <c r="A331" s="158" t="s">
        <v>288</v>
      </c>
      <c r="B331" s="159" t="s">
        <v>853</v>
      </c>
      <c r="C331" s="251">
        <f t="shared" si="42"/>
        <v>0</v>
      </c>
      <c r="D331" s="133"/>
      <c r="E331" s="133"/>
      <c r="F331" s="133"/>
      <c r="G331" s="133"/>
      <c r="H331" s="133"/>
      <c r="I331" s="133"/>
      <c r="J331" s="133"/>
      <c r="K331" s="133"/>
      <c r="L331" s="133"/>
      <c r="P331" s="132">
        <f t="shared" si="43"/>
        <v>0</v>
      </c>
      <c r="Q331" s="132">
        <f t="shared" si="44"/>
        <v>0</v>
      </c>
    </row>
    <row r="332" spans="1:17" ht="26.25" hidden="1" customHeight="1" x14ac:dyDescent="0.25">
      <c r="A332" s="158"/>
      <c r="B332" s="159"/>
      <c r="C332" s="251"/>
      <c r="D332" s="133"/>
      <c r="E332" s="133"/>
      <c r="F332" s="133"/>
      <c r="G332" s="133"/>
      <c r="H332" s="133"/>
      <c r="I332" s="133"/>
      <c r="J332" s="133"/>
      <c r="K332" s="133"/>
      <c r="L332" s="133"/>
      <c r="P332" s="132">
        <f t="shared" si="43"/>
        <v>0</v>
      </c>
      <c r="Q332" s="132">
        <f t="shared" si="44"/>
        <v>0</v>
      </c>
    </row>
    <row r="333" spans="1:17" ht="26.25" customHeight="1" x14ac:dyDescent="0.25">
      <c r="A333" s="158" t="s">
        <v>288</v>
      </c>
      <c r="B333" s="159" t="s">
        <v>854</v>
      </c>
      <c r="C333" s="251">
        <f t="shared" si="42"/>
        <v>424</v>
      </c>
      <c r="D333" s="133"/>
      <c r="E333" s="133"/>
      <c r="F333" s="133"/>
      <c r="G333" s="133"/>
      <c r="H333" s="133">
        <f>212*2</f>
        <v>424</v>
      </c>
      <c r="I333" s="133"/>
      <c r="J333" s="133"/>
      <c r="K333" s="133"/>
      <c r="L333" s="133"/>
      <c r="P333" s="132">
        <f t="shared" si="43"/>
        <v>424</v>
      </c>
      <c r="Q333" s="132">
        <f t="shared" si="44"/>
        <v>424</v>
      </c>
    </row>
    <row r="334" spans="1:17" ht="26.25" customHeight="1" x14ac:dyDescent="0.25">
      <c r="A334" s="158" t="s">
        <v>288</v>
      </c>
      <c r="B334" s="159" t="s">
        <v>855</v>
      </c>
      <c r="C334" s="251">
        <f>SUM(D334:L334)</f>
        <v>394</v>
      </c>
      <c r="D334" s="133">
        <v>41</v>
      </c>
      <c r="E334" s="133"/>
      <c r="F334" s="133"/>
      <c r="G334" s="133"/>
      <c r="H334" s="133"/>
      <c r="I334" s="133"/>
      <c r="J334" s="133"/>
      <c r="K334" s="133"/>
      <c r="L334" s="133">
        <v>353</v>
      </c>
      <c r="M334" s="132">
        <f>215-16</f>
        <v>199</v>
      </c>
      <c r="N334" s="132">
        <f>2*20</f>
        <v>40</v>
      </c>
      <c r="P334" s="254">
        <f>C334-M334-N334</f>
        <v>155</v>
      </c>
      <c r="Q334" s="132">
        <f t="shared" si="44"/>
        <v>155</v>
      </c>
    </row>
    <row r="335" spans="1:17" s="119" customFormat="1" ht="26.25" customHeight="1" x14ac:dyDescent="0.2">
      <c r="A335" s="155">
        <v>7</v>
      </c>
      <c r="B335" s="157" t="s">
        <v>154</v>
      </c>
      <c r="C335" s="137">
        <f>SUM(D335:L335)</f>
        <v>14648</v>
      </c>
      <c r="D335" s="139">
        <f t="shared" ref="D335:Q335" si="46">D336+SUM(D350:D358)</f>
        <v>12583</v>
      </c>
      <c r="E335" s="139">
        <f t="shared" si="46"/>
        <v>0</v>
      </c>
      <c r="F335" s="139">
        <f t="shared" si="46"/>
        <v>0</v>
      </c>
      <c r="G335" s="139">
        <f t="shared" si="46"/>
        <v>0</v>
      </c>
      <c r="H335" s="139">
        <f t="shared" si="46"/>
        <v>436</v>
      </c>
      <c r="I335" s="139">
        <f t="shared" si="46"/>
        <v>1226</v>
      </c>
      <c r="J335" s="139">
        <f t="shared" si="46"/>
        <v>82</v>
      </c>
      <c r="K335" s="139">
        <f t="shared" si="46"/>
        <v>64</v>
      </c>
      <c r="L335" s="139">
        <f t="shared" si="46"/>
        <v>257</v>
      </c>
      <c r="M335" s="139">
        <f t="shared" si="46"/>
        <v>2747</v>
      </c>
      <c r="N335" s="139">
        <f t="shared" si="46"/>
        <v>550</v>
      </c>
      <c r="O335" s="248">
        <f t="shared" si="46"/>
        <v>114</v>
      </c>
      <c r="P335" s="248">
        <f t="shared" si="46"/>
        <v>11237</v>
      </c>
      <c r="Q335" s="139">
        <f t="shared" si="46"/>
        <v>3502</v>
      </c>
    </row>
    <row r="336" spans="1:17" ht="26.25" customHeight="1" x14ac:dyDescent="0.25">
      <c r="A336" s="158" t="s">
        <v>288</v>
      </c>
      <c r="B336" s="159" t="s">
        <v>842</v>
      </c>
      <c r="C336" s="130">
        <f t="shared" si="42"/>
        <v>5137</v>
      </c>
      <c r="D336" s="133">
        <f t="shared" ref="D336:L336" si="47">SUM(D337:D344)+D347</f>
        <v>3847</v>
      </c>
      <c r="E336" s="133">
        <f t="shared" si="47"/>
        <v>0</v>
      </c>
      <c r="F336" s="133">
        <f t="shared" si="47"/>
        <v>0</v>
      </c>
      <c r="G336" s="133">
        <f t="shared" si="47"/>
        <v>0</v>
      </c>
      <c r="H336" s="133">
        <f t="shared" si="47"/>
        <v>0</v>
      </c>
      <c r="I336" s="133">
        <f t="shared" si="47"/>
        <v>1226</v>
      </c>
      <c r="J336" s="133"/>
      <c r="K336" s="133">
        <f t="shared" si="47"/>
        <v>64</v>
      </c>
      <c r="L336" s="133">
        <f t="shared" si="47"/>
        <v>0</v>
      </c>
      <c r="M336" s="132">
        <f>1363</f>
        <v>1363</v>
      </c>
      <c r="N336" s="132">
        <f>2*136</f>
        <v>272</v>
      </c>
      <c r="O336" s="132">
        <v>114</v>
      </c>
      <c r="P336" s="132">
        <f>C336-M336-O336-N336</f>
        <v>3388</v>
      </c>
      <c r="Q336" s="132">
        <f>P336+O336</f>
        <v>3502</v>
      </c>
    </row>
    <row r="337" spans="1:16" ht="26.25" customHeight="1" x14ac:dyDescent="0.25">
      <c r="A337" s="158"/>
      <c r="B337" s="159" t="s">
        <v>843</v>
      </c>
      <c r="C337" s="130">
        <f t="shared" si="42"/>
        <v>797</v>
      </c>
      <c r="D337" s="133">
        <v>797</v>
      </c>
      <c r="E337" s="133"/>
      <c r="F337" s="133"/>
      <c r="G337" s="133"/>
      <c r="H337" s="133"/>
      <c r="I337" s="133"/>
      <c r="J337" s="133"/>
      <c r="K337" s="133"/>
      <c r="L337" s="133"/>
    </row>
    <row r="338" spans="1:16" ht="26.25" customHeight="1" x14ac:dyDescent="0.25">
      <c r="A338" s="158"/>
      <c r="B338" s="159" t="s">
        <v>844</v>
      </c>
      <c r="C338" s="130">
        <f t="shared" si="42"/>
        <v>433</v>
      </c>
      <c r="D338" s="133">
        <v>433</v>
      </c>
      <c r="E338" s="133"/>
      <c r="F338" s="133"/>
      <c r="G338" s="133"/>
      <c r="H338" s="133"/>
      <c r="I338" s="133"/>
      <c r="J338" s="133"/>
      <c r="K338" s="133"/>
      <c r="L338" s="133"/>
    </row>
    <row r="339" spans="1:16" ht="26.25" hidden="1" customHeight="1" x14ac:dyDescent="0.25">
      <c r="A339" s="158"/>
      <c r="B339" s="159"/>
      <c r="C339" s="130"/>
      <c r="D339" s="133"/>
      <c r="E339" s="133"/>
      <c r="F339" s="133"/>
      <c r="G339" s="133"/>
      <c r="H339" s="133"/>
      <c r="I339" s="133"/>
      <c r="J339" s="133"/>
      <c r="K339" s="133"/>
      <c r="L339" s="133"/>
    </row>
    <row r="340" spans="1:16" ht="26.25" customHeight="1" x14ac:dyDescent="0.25">
      <c r="A340" s="158"/>
      <c r="B340" s="159" t="s">
        <v>845</v>
      </c>
      <c r="C340" s="130">
        <f t="shared" si="42"/>
        <v>296</v>
      </c>
      <c r="D340" s="133">
        <v>232</v>
      </c>
      <c r="E340" s="133"/>
      <c r="F340" s="133"/>
      <c r="G340" s="133"/>
      <c r="H340" s="133"/>
      <c r="I340" s="133"/>
      <c r="J340" s="133"/>
      <c r="K340" s="133">
        <v>64</v>
      </c>
      <c r="L340" s="133"/>
    </row>
    <row r="341" spans="1:16" ht="26.25" hidden="1" customHeight="1" x14ac:dyDescent="0.25">
      <c r="A341" s="158"/>
      <c r="B341" s="159"/>
      <c r="C341" s="130"/>
      <c r="D341" s="133"/>
      <c r="E341" s="133"/>
      <c r="F341" s="133"/>
      <c r="G341" s="133"/>
      <c r="H341" s="133"/>
      <c r="I341" s="133"/>
      <c r="J341" s="133"/>
      <c r="K341" s="133"/>
      <c r="L341" s="133"/>
    </row>
    <row r="342" spans="1:16" ht="26.25" hidden="1" customHeight="1" x14ac:dyDescent="0.25">
      <c r="A342" s="158"/>
      <c r="B342" s="159"/>
      <c r="C342" s="130"/>
      <c r="D342" s="133"/>
      <c r="E342" s="133"/>
      <c r="F342" s="133"/>
      <c r="G342" s="133"/>
      <c r="H342" s="133"/>
      <c r="I342" s="133"/>
      <c r="J342" s="133"/>
      <c r="K342" s="133"/>
      <c r="L342" s="133"/>
    </row>
    <row r="343" spans="1:16" ht="36" customHeight="1" x14ac:dyDescent="0.25">
      <c r="A343" s="158"/>
      <c r="B343" s="160" t="s">
        <v>846</v>
      </c>
      <c r="C343" s="130">
        <f t="shared" si="42"/>
        <v>3461</v>
      </c>
      <c r="D343" s="133">
        <v>2235</v>
      </c>
      <c r="E343" s="133"/>
      <c r="F343" s="133"/>
      <c r="G343" s="133"/>
      <c r="H343" s="133"/>
      <c r="I343" s="133">
        <v>1226</v>
      </c>
      <c r="J343" s="133"/>
      <c r="K343" s="133"/>
      <c r="L343" s="133"/>
    </row>
    <row r="344" spans="1:16" ht="26.25" customHeight="1" x14ac:dyDescent="0.25">
      <c r="A344" s="158"/>
      <c r="B344" s="160" t="s">
        <v>847</v>
      </c>
      <c r="C344" s="130">
        <f t="shared" si="42"/>
        <v>13</v>
      </c>
      <c r="D344" s="133">
        <v>13</v>
      </c>
      <c r="E344" s="133"/>
      <c r="F344" s="133"/>
      <c r="G344" s="133"/>
      <c r="H344" s="133"/>
      <c r="I344" s="133"/>
      <c r="J344" s="133"/>
      <c r="K344" s="133"/>
      <c r="L344" s="133"/>
    </row>
    <row r="345" spans="1:16" ht="26.25" hidden="1" customHeight="1" x14ac:dyDescent="0.25">
      <c r="A345" s="158"/>
      <c r="B345" s="159"/>
      <c r="C345" s="130"/>
      <c r="D345" s="133"/>
      <c r="E345" s="133"/>
      <c r="F345" s="133"/>
      <c r="G345" s="133"/>
      <c r="H345" s="133"/>
      <c r="I345" s="133"/>
      <c r="J345" s="133"/>
      <c r="K345" s="133"/>
      <c r="L345" s="133"/>
    </row>
    <row r="346" spans="1:16" ht="26.25" hidden="1" customHeight="1" x14ac:dyDescent="0.25">
      <c r="A346" s="158"/>
      <c r="B346" s="159"/>
      <c r="C346" s="130"/>
      <c r="D346" s="133"/>
      <c r="E346" s="133"/>
      <c r="F346" s="133"/>
      <c r="G346" s="133"/>
      <c r="H346" s="133"/>
      <c r="I346" s="133"/>
      <c r="J346" s="133"/>
      <c r="K346" s="133"/>
      <c r="L346" s="133"/>
    </row>
    <row r="347" spans="1:16" ht="26.25" customHeight="1" x14ac:dyDescent="0.25">
      <c r="A347" s="158"/>
      <c r="B347" s="159" t="s">
        <v>848</v>
      </c>
      <c r="C347" s="130">
        <f t="shared" si="42"/>
        <v>137</v>
      </c>
      <c r="D347" s="133">
        <v>137</v>
      </c>
      <c r="E347" s="133"/>
      <c r="F347" s="133"/>
      <c r="G347" s="133"/>
      <c r="H347" s="133"/>
      <c r="I347" s="133"/>
      <c r="J347" s="133"/>
      <c r="K347" s="133"/>
      <c r="L347" s="133"/>
    </row>
    <row r="348" spans="1:16" ht="26.25" hidden="1" customHeight="1" x14ac:dyDescent="0.25">
      <c r="A348" s="158"/>
      <c r="B348" s="159"/>
      <c r="C348" s="130"/>
      <c r="D348" s="133"/>
      <c r="E348" s="133"/>
      <c r="F348" s="133"/>
      <c r="G348" s="133"/>
      <c r="H348" s="133"/>
      <c r="I348" s="133"/>
      <c r="J348" s="133"/>
      <c r="K348" s="133"/>
      <c r="L348" s="133"/>
      <c r="P348" s="132">
        <f t="shared" ref="P348:P350" si="48">C348-M348</f>
        <v>0</v>
      </c>
    </row>
    <row r="349" spans="1:16" ht="26.25" hidden="1" customHeight="1" x14ac:dyDescent="0.25">
      <c r="A349" s="158"/>
      <c r="B349" s="159"/>
      <c r="C349" s="130"/>
      <c r="D349" s="133"/>
      <c r="E349" s="133"/>
      <c r="F349" s="133"/>
      <c r="G349" s="133"/>
      <c r="H349" s="133"/>
      <c r="I349" s="133"/>
      <c r="J349" s="133"/>
      <c r="K349" s="133"/>
      <c r="L349" s="133"/>
      <c r="P349" s="132">
        <f t="shared" si="48"/>
        <v>0</v>
      </c>
    </row>
    <row r="350" spans="1:16" ht="26.25" customHeight="1" x14ac:dyDescent="0.25">
      <c r="A350" s="158" t="s">
        <v>288</v>
      </c>
      <c r="B350" s="160" t="s">
        <v>849</v>
      </c>
      <c r="C350" s="130">
        <f t="shared" ref="C350:C378" si="49">SUM(D350:K350)</f>
        <v>82</v>
      </c>
      <c r="D350" s="133">
        <v>0</v>
      </c>
      <c r="E350" s="133"/>
      <c r="F350" s="133"/>
      <c r="G350" s="133"/>
      <c r="H350" s="133"/>
      <c r="I350" s="133"/>
      <c r="J350" s="133">
        <v>82</v>
      </c>
      <c r="K350" s="133"/>
      <c r="L350" s="133"/>
      <c r="P350" s="132">
        <f t="shared" si="48"/>
        <v>82</v>
      </c>
    </row>
    <row r="351" spans="1:16" ht="26.25" customHeight="1" x14ac:dyDescent="0.25">
      <c r="A351" s="158" t="s">
        <v>288</v>
      </c>
      <c r="B351" s="159" t="s">
        <v>850</v>
      </c>
      <c r="C351" s="130">
        <f t="shared" si="49"/>
        <v>8535</v>
      </c>
      <c r="D351" s="133">
        <v>8535</v>
      </c>
      <c r="E351" s="133"/>
      <c r="F351" s="133"/>
      <c r="G351" s="133"/>
      <c r="H351" s="133"/>
      <c r="I351" s="133"/>
      <c r="J351" s="133"/>
      <c r="K351" s="133"/>
      <c r="L351" s="133"/>
      <c r="M351" s="132">
        <f>1125</f>
        <v>1125</v>
      </c>
      <c r="N351" s="132">
        <f>2*113</f>
        <v>226</v>
      </c>
      <c r="P351" s="132">
        <f>C351-M351-N351</f>
        <v>7184</v>
      </c>
    </row>
    <row r="352" spans="1:16" ht="26.25" hidden="1" customHeight="1" x14ac:dyDescent="0.25">
      <c r="A352" s="158"/>
      <c r="B352" s="160"/>
      <c r="C352" s="130"/>
      <c r="D352" s="133"/>
      <c r="E352" s="133"/>
      <c r="F352" s="133"/>
      <c r="G352" s="133"/>
      <c r="H352" s="133"/>
      <c r="I352" s="133"/>
      <c r="J352" s="133"/>
      <c r="K352" s="133"/>
      <c r="L352" s="133"/>
      <c r="P352" s="132">
        <f t="shared" ref="P352:P358" si="50">C352-M352-N352</f>
        <v>0</v>
      </c>
    </row>
    <row r="353" spans="1:17" ht="26.25" customHeight="1" x14ac:dyDescent="0.25">
      <c r="A353" s="158" t="s">
        <v>288</v>
      </c>
      <c r="B353" s="159" t="s">
        <v>851</v>
      </c>
      <c r="C353" s="130">
        <f t="shared" si="49"/>
        <v>52</v>
      </c>
      <c r="D353" s="133">
        <v>52</v>
      </c>
      <c r="E353" s="133"/>
      <c r="F353" s="133"/>
      <c r="G353" s="133"/>
      <c r="H353" s="133"/>
      <c r="I353" s="133"/>
      <c r="J353" s="133"/>
      <c r="K353" s="133"/>
      <c r="L353" s="133"/>
      <c r="M353" s="132">
        <v>17</v>
      </c>
      <c r="N353" s="132">
        <f>2*2</f>
        <v>4</v>
      </c>
      <c r="P353" s="132">
        <f t="shared" si="50"/>
        <v>31</v>
      </c>
    </row>
    <row r="354" spans="1:17" ht="26.25" customHeight="1" x14ac:dyDescent="0.25">
      <c r="A354" s="158" t="s">
        <v>288</v>
      </c>
      <c r="B354" s="159" t="s">
        <v>852</v>
      </c>
      <c r="C354" s="130">
        <f t="shared" si="49"/>
        <v>77</v>
      </c>
      <c r="D354" s="133">
        <v>77</v>
      </c>
      <c r="E354" s="133"/>
      <c r="F354" s="133"/>
      <c r="G354" s="133"/>
      <c r="H354" s="133"/>
      <c r="I354" s="133"/>
      <c r="J354" s="133"/>
      <c r="K354" s="133"/>
      <c r="L354" s="133"/>
      <c r="M354" s="132">
        <v>19</v>
      </c>
      <c r="N354" s="132">
        <f>2*2</f>
        <v>4</v>
      </c>
      <c r="P354" s="132">
        <f t="shared" si="50"/>
        <v>54</v>
      </c>
    </row>
    <row r="355" spans="1:17" ht="26.25" customHeight="1" x14ac:dyDescent="0.25">
      <c r="A355" s="158" t="s">
        <v>288</v>
      </c>
      <c r="B355" s="159" t="s">
        <v>853</v>
      </c>
      <c r="C355" s="130">
        <f t="shared" si="49"/>
        <v>12</v>
      </c>
      <c r="D355" s="133">
        <v>12</v>
      </c>
      <c r="E355" s="133"/>
      <c r="F355" s="133"/>
      <c r="G355" s="133"/>
      <c r="H355" s="133"/>
      <c r="I355" s="133"/>
      <c r="J355" s="133"/>
      <c r="K355" s="133"/>
      <c r="L355" s="133"/>
      <c r="P355" s="132">
        <f t="shared" si="50"/>
        <v>12</v>
      </c>
    </row>
    <row r="356" spans="1:17" ht="26.25" hidden="1" customHeight="1" x14ac:dyDescent="0.25">
      <c r="A356" s="158"/>
      <c r="B356" s="159"/>
      <c r="C356" s="130"/>
      <c r="D356" s="133"/>
      <c r="E356" s="133"/>
      <c r="F356" s="133"/>
      <c r="G356" s="133"/>
      <c r="H356" s="133"/>
      <c r="I356" s="133"/>
      <c r="J356" s="133"/>
      <c r="K356" s="133"/>
      <c r="L356" s="133"/>
      <c r="P356" s="132">
        <f t="shared" si="50"/>
        <v>0</v>
      </c>
    </row>
    <row r="357" spans="1:17" ht="26.25" customHeight="1" x14ac:dyDescent="0.25">
      <c r="A357" s="158" t="s">
        <v>288</v>
      </c>
      <c r="B357" s="159" t="s">
        <v>854</v>
      </c>
      <c r="C357" s="130">
        <f t="shared" si="49"/>
        <v>436</v>
      </c>
      <c r="D357" s="133"/>
      <c r="E357" s="133"/>
      <c r="F357" s="133"/>
      <c r="G357" s="133"/>
      <c r="H357" s="133">
        <f>2*218</f>
        <v>436</v>
      </c>
      <c r="I357" s="133"/>
      <c r="J357" s="133"/>
      <c r="K357" s="133"/>
      <c r="L357" s="133"/>
      <c r="P357" s="132">
        <f t="shared" si="50"/>
        <v>436</v>
      </c>
    </row>
    <row r="358" spans="1:17" ht="26.25" customHeight="1" x14ac:dyDescent="0.25">
      <c r="A358" s="158" t="s">
        <v>288</v>
      </c>
      <c r="B358" s="159" t="s">
        <v>855</v>
      </c>
      <c r="C358" s="130">
        <f>SUM(D358:L358)</f>
        <v>317</v>
      </c>
      <c r="D358" s="133">
        <v>60</v>
      </c>
      <c r="E358" s="133"/>
      <c r="F358" s="133"/>
      <c r="G358" s="133"/>
      <c r="H358" s="133"/>
      <c r="I358" s="133"/>
      <c r="J358" s="133"/>
      <c r="K358" s="133"/>
      <c r="L358" s="133">
        <v>257</v>
      </c>
      <c r="M358" s="132">
        <f>223</f>
        <v>223</v>
      </c>
      <c r="N358" s="132">
        <f>2*22</f>
        <v>44</v>
      </c>
      <c r="P358" s="132">
        <f t="shared" si="50"/>
        <v>50</v>
      </c>
    </row>
    <row r="359" spans="1:17" s="119" customFormat="1" ht="26.25" customHeight="1" x14ac:dyDescent="0.2">
      <c r="A359" s="155">
        <v>8</v>
      </c>
      <c r="B359" s="157" t="s">
        <v>155</v>
      </c>
      <c r="C359" s="137">
        <f>SUM(D359:L359)</f>
        <v>9501</v>
      </c>
      <c r="D359" s="139">
        <f t="shared" ref="D359:Q359" si="51">D360+SUM(D374:D382)</f>
        <v>8301</v>
      </c>
      <c r="E359" s="139">
        <f t="shared" si="51"/>
        <v>0</v>
      </c>
      <c r="F359" s="139">
        <f t="shared" si="51"/>
        <v>0</v>
      </c>
      <c r="G359" s="139">
        <f t="shared" si="51"/>
        <v>0</v>
      </c>
      <c r="H359" s="139">
        <f t="shared" si="51"/>
        <v>314</v>
      </c>
      <c r="I359" s="139">
        <f t="shared" si="51"/>
        <v>663</v>
      </c>
      <c r="J359" s="139">
        <f t="shared" si="51"/>
        <v>18</v>
      </c>
      <c r="K359" s="139">
        <f t="shared" si="51"/>
        <v>44</v>
      </c>
      <c r="L359" s="139">
        <f t="shared" si="51"/>
        <v>161</v>
      </c>
      <c r="M359" s="139">
        <f t="shared" si="51"/>
        <v>2052</v>
      </c>
      <c r="N359" s="139">
        <f t="shared" si="51"/>
        <v>410</v>
      </c>
      <c r="O359" s="139">
        <f t="shared" si="51"/>
        <v>355</v>
      </c>
      <c r="P359" s="139">
        <f t="shared" si="51"/>
        <v>6684</v>
      </c>
      <c r="Q359" s="248">
        <f t="shared" si="51"/>
        <v>7039</v>
      </c>
    </row>
    <row r="360" spans="1:17" ht="26.25" customHeight="1" x14ac:dyDescent="0.25">
      <c r="A360" s="158" t="s">
        <v>288</v>
      </c>
      <c r="B360" s="159" t="s">
        <v>842</v>
      </c>
      <c r="C360" s="130">
        <f t="shared" si="49"/>
        <v>3327</v>
      </c>
      <c r="D360" s="133">
        <f t="shared" ref="D360:L360" si="52">SUM(D361:D368)+D371</f>
        <v>2620</v>
      </c>
      <c r="E360" s="133">
        <f t="shared" si="52"/>
        <v>0</v>
      </c>
      <c r="F360" s="133">
        <f t="shared" si="52"/>
        <v>0</v>
      </c>
      <c r="G360" s="133">
        <f t="shared" si="52"/>
        <v>0</v>
      </c>
      <c r="H360" s="133"/>
      <c r="I360" s="133">
        <f t="shared" si="52"/>
        <v>663</v>
      </c>
      <c r="J360" s="133"/>
      <c r="K360" s="133">
        <f t="shared" si="52"/>
        <v>44</v>
      </c>
      <c r="L360" s="133">
        <f t="shared" si="52"/>
        <v>0</v>
      </c>
      <c r="M360" s="132">
        <f>993</f>
        <v>993</v>
      </c>
      <c r="N360" s="132">
        <f>2*99</f>
        <v>198</v>
      </c>
      <c r="O360" s="132">
        <v>100</v>
      </c>
      <c r="P360" s="132">
        <f>C360-M360-O360-N360</f>
        <v>2036</v>
      </c>
      <c r="Q360" s="132">
        <f>P360+O360</f>
        <v>2136</v>
      </c>
    </row>
    <row r="361" spans="1:17" ht="26.25" customHeight="1" x14ac:dyDescent="0.25">
      <c r="A361" s="158"/>
      <c r="B361" s="159" t="s">
        <v>843</v>
      </c>
      <c r="C361" s="130">
        <f t="shared" si="49"/>
        <v>544</v>
      </c>
      <c r="D361" s="133">
        <v>544</v>
      </c>
      <c r="E361" s="133"/>
      <c r="F361" s="133"/>
      <c r="G361" s="133"/>
      <c r="H361" s="133"/>
      <c r="I361" s="133"/>
      <c r="J361" s="133"/>
      <c r="K361" s="133"/>
      <c r="L361" s="133"/>
    </row>
    <row r="362" spans="1:17" ht="26.25" customHeight="1" x14ac:dyDescent="0.25">
      <c r="A362" s="158"/>
      <c r="B362" s="159" t="s">
        <v>844</v>
      </c>
      <c r="C362" s="130">
        <f t="shared" si="49"/>
        <v>274</v>
      </c>
      <c r="D362" s="133">
        <v>274</v>
      </c>
      <c r="E362" s="133"/>
      <c r="F362" s="133"/>
      <c r="G362" s="133"/>
      <c r="H362" s="133"/>
      <c r="I362" s="133"/>
      <c r="J362" s="133"/>
      <c r="K362" s="133"/>
      <c r="L362" s="133"/>
    </row>
    <row r="363" spans="1:17" ht="26.25" hidden="1" customHeight="1" x14ac:dyDescent="0.25">
      <c r="A363" s="158"/>
      <c r="B363" s="159"/>
      <c r="C363" s="130"/>
      <c r="D363" s="133"/>
      <c r="E363" s="133"/>
      <c r="F363" s="133"/>
      <c r="G363" s="133"/>
      <c r="H363" s="133"/>
      <c r="I363" s="133"/>
      <c r="J363" s="133"/>
      <c r="K363" s="133"/>
      <c r="L363" s="133"/>
    </row>
    <row r="364" spans="1:17" ht="26.25" customHeight="1" x14ac:dyDescent="0.25">
      <c r="A364" s="158"/>
      <c r="B364" s="159" t="s">
        <v>845</v>
      </c>
      <c r="C364" s="130">
        <f t="shared" si="49"/>
        <v>242</v>
      </c>
      <c r="D364" s="133">
        <v>198</v>
      </c>
      <c r="E364" s="133"/>
      <c r="F364" s="133"/>
      <c r="G364" s="133"/>
      <c r="H364" s="133"/>
      <c r="I364" s="133"/>
      <c r="J364" s="133"/>
      <c r="K364" s="133">
        <v>44</v>
      </c>
      <c r="L364" s="133"/>
    </row>
    <row r="365" spans="1:17" ht="26.25" hidden="1" customHeight="1" x14ac:dyDescent="0.25">
      <c r="A365" s="158"/>
      <c r="B365" s="159"/>
      <c r="C365" s="130"/>
      <c r="D365" s="133"/>
      <c r="E365" s="133"/>
      <c r="F365" s="133"/>
      <c r="G365" s="133"/>
      <c r="H365" s="133"/>
      <c r="I365" s="133"/>
      <c r="J365" s="133"/>
      <c r="K365" s="133"/>
      <c r="L365" s="133"/>
    </row>
    <row r="366" spans="1:17" ht="26.25" hidden="1" customHeight="1" x14ac:dyDescent="0.25">
      <c r="A366" s="158"/>
      <c r="B366" s="159"/>
      <c r="C366" s="130"/>
      <c r="D366" s="133"/>
      <c r="E366" s="133"/>
      <c r="F366" s="133"/>
      <c r="G366" s="133"/>
      <c r="H366" s="133"/>
      <c r="I366" s="133"/>
      <c r="J366" s="133"/>
      <c r="K366" s="133"/>
      <c r="L366" s="133"/>
    </row>
    <row r="367" spans="1:17" ht="36" customHeight="1" x14ac:dyDescent="0.25">
      <c r="A367" s="158"/>
      <c r="B367" s="160" t="s">
        <v>846</v>
      </c>
      <c r="C367" s="130">
        <f t="shared" si="49"/>
        <v>2151</v>
      </c>
      <c r="D367" s="133">
        <v>1488</v>
      </c>
      <c r="E367" s="133"/>
      <c r="F367" s="133"/>
      <c r="G367" s="133"/>
      <c r="H367" s="133"/>
      <c r="I367" s="133">
        <v>663</v>
      </c>
      <c r="J367" s="133"/>
      <c r="K367" s="133"/>
      <c r="L367" s="133"/>
    </row>
    <row r="368" spans="1:17" ht="33.75" customHeight="1" x14ac:dyDescent="0.25">
      <c r="A368" s="158"/>
      <c r="B368" s="160" t="s">
        <v>847</v>
      </c>
      <c r="C368" s="130">
        <f t="shared" si="49"/>
        <v>17</v>
      </c>
      <c r="D368" s="133">
        <v>17</v>
      </c>
      <c r="E368" s="133"/>
      <c r="F368" s="133"/>
      <c r="G368" s="133"/>
      <c r="H368" s="133"/>
      <c r="I368" s="133"/>
      <c r="J368" s="133"/>
      <c r="K368" s="133"/>
      <c r="L368" s="133"/>
    </row>
    <row r="369" spans="1:17" ht="26.25" hidden="1" customHeight="1" x14ac:dyDescent="0.25">
      <c r="A369" s="158"/>
      <c r="B369" s="159"/>
      <c r="C369" s="130"/>
      <c r="D369" s="133"/>
      <c r="E369" s="133"/>
      <c r="F369" s="133"/>
      <c r="G369" s="133"/>
      <c r="H369" s="133"/>
      <c r="I369" s="133"/>
      <c r="J369" s="133"/>
      <c r="K369" s="133"/>
      <c r="L369" s="133"/>
    </row>
    <row r="370" spans="1:17" ht="26.25" hidden="1" customHeight="1" x14ac:dyDescent="0.25">
      <c r="A370" s="158"/>
      <c r="B370" s="159"/>
      <c r="C370" s="130"/>
      <c r="D370" s="133"/>
      <c r="E370" s="133"/>
      <c r="F370" s="133"/>
      <c r="G370" s="133"/>
      <c r="H370" s="133"/>
      <c r="I370" s="133"/>
      <c r="J370" s="133"/>
      <c r="K370" s="133"/>
      <c r="L370" s="133"/>
    </row>
    <row r="371" spans="1:17" ht="26.25" customHeight="1" x14ac:dyDescent="0.25">
      <c r="A371" s="158"/>
      <c r="B371" s="159" t="s">
        <v>848</v>
      </c>
      <c r="C371" s="130">
        <f t="shared" si="49"/>
        <v>99</v>
      </c>
      <c r="D371" s="133">
        <v>99</v>
      </c>
      <c r="E371" s="133"/>
      <c r="F371" s="133"/>
      <c r="G371" s="133"/>
      <c r="H371" s="133"/>
      <c r="I371" s="133"/>
      <c r="J371" s="133"/>
      <c r="K371" s="133"/>
      <c r="L371" s="133"/>
    </row>
    <row r="372" spans="1:17" ht="26.25" hidden="1" customHeight="1" x14ac:dyDescent="0.25">
      <c r="A372" s="158"/>
      <c r="B372" s="159"/>
      <c r="C372" s="130"/>
      <c r="D372" s="133"/>
      <c r="E372" s="133"/>
      <c r="F372" s="133"/>
      <c r="G372" s="133"/>
      <c r="H372" s="133"/>
      <c r="I372" s="133"/>
      <c r="J372" s="133"/>
      <c r="K372" s="133"/>
      <c r="L372" s="133"/>
      <c r="P372" s="132">
        <f t="shared" ref="P372:P374" si="53">C372-M372</f>
        <v>0</v>
      </c>
      <c r="Q372" s="132">
        <f t="shared" ref="Q372:Q382" si="54">P372+O372</f>
        <v>0</v>
      </c>
    </row>
    <row r="373" spans="1:17" ht="26.25" hidden="1" customHeight="1" x14ac:dyDescent="0.25">
      <c r="A373" s="158"/>
      <c r="B373" s="159"/>
      <c r="C373" s="130"/>
      <c r="D373" s="133"/>
      <c r="E373" s="133"/>
      <c r="F373" s="133"/>
      <c r="G373" s="133"/>
      <c r="H373" s="133"/>
      <c r="I373" s="133"/>
      <c r="J373" s="133"/>
      <c r="K373" s="133"/>
      <c r="L373" s="133"/>
      <c r="P373" s="132">
        <f t="shared" si="53"/>
        <v>0</v>
      </c>
      <c r="Q373" s="132">
        <f t="shared" si="54"/>
        <v>0</v>
      </c>
    </row>
    <row r="374" spans="1:17" ht="26.25" customHeight="1" x14ac:dyDescent="0.25">
      <c r="A374" s="158" t="s">
        <v>288</v>
      </c>
      <c r="B374" s="160" t="s">
        <v>849</v>
      </c>
      <c r="C374" s="130">
        <f t="shared" si="49"/>
        <v>18</v>
      </c>
      <c r="D374" s="133"/>
      <c r="E374" s="133"/>
      <c r="F374" s="133"/>
      <c r="G374" s="133"/>
      <c r="H374" s="133"/>
      <c r="I374" s="133"/>
      <c r="J374" s="133">
        <v>18</v>
      </c>
      <c r="K374" s="133"/>
      <c r="L374" s="133"/>
      <c r="P374" s="132">
        <f t="shared" si="53"/>
        <v>18</v>
      </c>
      <c r="Q374" s="132">
        <f t="shared" si="54"/>
        <v>18</v>
      </c>
    </row>
    <row r="375" spans="1:17" ht="26.25" customHeight="1" x14ac:dyDescent="0.25">
      <c r="A375" s="158" t="s">
        <v>288</v>
      </c>
      <c r="B375" s="159" t="s">
        <v>850</v>
      </c>
      <c r="C375" s="130">
        <f t="shared" si="49"/>
        <v>5573</v>
      </c>
      <c r="D375" s="133">
        <v>5573</v>
      </c>
      <c r="E375" s="133"/>
      <c r="F375" s="133"/>
      <c r="G375" s="133"/>
      <c r="H375" s="133"/>
      <c r="I375" s="133"/>
      <c r="J375" s="133"/>
      <c r="K375" s="133"/>
      <c r="L375" s="133"/>
      <c r="M375" s="132">
        <f>869</f>
        <v>869</v>
      </c>
      <c r="N375" s="132">
        <f>2*87</f>
        <v>174</v>
      </c>
      <c r="O375" s="132">
        <f>270-15</f>
        <v>255</v>
      </c>
      <c r="P375" s="132">
        <f>C375-M375-O375-N375</f>
        <v>4275</v>
      </c>
      <c r="Q375" s="132">
        <f t="shared" si="54"/>
        <v>4530</v>
      </c>
    </row>
    <row r="376" spans="1:17" ht="26.25" hidden="1" customHeight="1" x14ac:dyDescent="0.25">
      <c r="A376" s="158"/>
      <c r="B376" s="160"/>
      <c r="C376" s="130"/>
      <c r="D376" s="133"/>
      <c r="E376" s="133"/>
      <c r="F376" s="133"/>
      <c r="G376" s="133"/>
      <c r="H376" s="133"/>
      <c r="I376" s="133"/>
      <c r="J376" s="133"/>
      <c r="K376" s="133"/>
      <c r="L376" s="133"/>
      <c r="P376" s="132">
        <f t="shared" ref="P376:P382" si="55">C376-M376-O376-N376</f>
        <v>0</v>
      </c>
      <c r="Q376" s="132">
        <f t="shared" si="54"/>
        <v>0</v>
      </c>
    </row>
    <row r="377" spans="1:17" ht="26.25" customHeight="1" x14ac:dyDescent="0.25">
      <c r="A377" s="158" t="s">
        <v>288</v>
      </c>
      <c r="B377" s="159" t="s">
        <v>851</v>
      </c>
      <c r="C377" s="130">
        <f t="shared" si="49"/>
        <v>29</v>
      </c>
      <c r="D377" s="133">
        <v>29</v>
      </c>
      <c r="E377" s="133"/>
      <c r="F377" s="133"/>
      <c r="G377" s="133"/>
      <c r="H377" s="133"/>
      <c r="I377" s="133"/>
      <c r="J377" s="133"/>
      <c r="K377" s="133"/>
      <c r="L377" s="133"/>
      <c r="M377" s="132">
        <v>13</v>
      </c>
      <c r="N377" s="132">
        <f>2*1</f>
        <v>2</v>
      </c>
      <c r="P377" s="132">
        <f t="shared" si="55"/>
        <v>14</v>
      </c>
      <c r="Q377" s="132">
        <f t="shared" si="54"/>
        <v>14</v>
      </c>
    </row>
    <row r="378" spans="1:17" ht="26.25" customHeight="1" x14ac:dyDescent="0.25">
      <c r="A378" s="158" t="s">
        <v>288</v>
      </c>
      <c r="B378" s="159" t="s">
        <v>852</v>
      </c>
      <c r="C378" s="130">
        <f t="shared" si="49"/>
        <v>44</v>
      </c>
      <c r="D378" s="133">
        <v>44</v>
      </c>
      <c r="E378" s="133"/>
      <c r="F378" s="133"/>
      <c r="G378" s="133"/>
      <c r="H378" s="133"/>
      <c r="I378" s="133"/>
      <c r="J378" s="133"/>
      <c r="K378" s="133"/>
      <c r="L378" s="133"/>
      <c r="M378" s="132">
        <v>15</v>
      </c>
      <c r="N378" s="132">
        <f>2*2</f>
        <v>4</v>
      </c>
      <c r="P378" s="132">
        <f t="shared" si="55"/>
        <v>25</v>
      </c>
      <c r="Q378" s="132">
        <f t="shared" si="54"/>
        <v>25</v>
      </c>
    </row>
    <row r="379" spans="1:17" ht="26.25" hidden="1" customHeight="1" x14ac:dyDescent="0.25">
      <c r="A379" s="158"/>
      <c r="B379" s="159"/>
      <c r="C379" s="130"/>
      <c r="D379" s="133"/>
      <c r="E379" s="133"/>
      <c r="F379" s="133"/>
      <c r="G379" s="133"/>
      <c r="H379" s="133"/>
      <c r="I379" s="133"/>
      <c r="J379" s="133"/>
      <c r="K379" s="133"/>
      <c r="L379" s="133"/>
      <c r="P379" s="132">
        <f t="shared" si="55"/>
        <v>0</v>
      </c>
      <c r="Q379" s="132">
        <f t="shared" si="54"/>
        <v>0</v>
      </c>
    </row>
    <row r="380" spans="1:17" ht="26.25" hidden="1" customHeight="1" x14ac:dyDescent="0.25">
      <c r="A380" s="158"/>
      <c r="B380" s="159"/>
      <c r="C380" s="130"/>
      <c r="D380" s="133"/>
      <c r="E380" s="133"/>
      <c r="F380" s="133"/>
      <c r="G380" s="133"/>
      <c r="H380" s="133"/>
      <c r="I380" s="133"/>
      <c r="J380" s="133"/>
      <c r="K380" s="133"/>
      <c r="L380" s="133"/>
      <c r="P380" s="132">
        <f t="shared" si="55"/>
        <v>0</v>
      </c>
      <c r="Q380" s="132">
        <f t="shared" si="54"/>
        <v>0</v>
      </c>
    </row>
    <row r="381" spans="1:17" ht="26.25" customHeight="1" x14ac:dyDescent="0.25">
      <c r="A381" s="158" t="s">
        <v>288</v>
      </c>
      <c r="B381" s="159" t="s">
        <v>854</v>
      </c>
      <c r="C381" s="130">
        <f>SUM(D381:K381)</f>
        <v>314</v>
      </c>
      <c r="D381" s="133"/>
      <c r="E381" s="133"/>
      <c r="F381" s="133"/>
      <c r="G381" s="133"/>
      <c r="H381" s="133">
        <f>2*157</f>
        <v>314</v>
      </c>
      <c r="I381" s="133"/>
      <c r="J381" s="133"/>
      <c r="K381" s="133"/>
      <c r="L381" s="133"/>
      <c r="P381" s="132">
        <f t="shared" si="55"/>
        <v>314</v>
      </c>
      <c r="Q381" s="132">
        <f t="shared" si="54"/>
        <v>314</v>
      </c>
    </row>
    <row r="382" spans="1:17" ht="26.25" customHeight="1" x14ac:dyDescent="0.25">
      <c r="A382" s="162" t="s">
        <v>288</v>
      </c>
      <c r="B382" s="163" t="s">
        <v>855</v>
      </c>
      <c r="C382" s="164">
        <f>SUM(D382:L382)</f>
        <v>196</v>
      </c>
      <c r="D382" s="165">
        <v>35</v>
      </c>
      <c r="E382" s="165"/>
      <c r="F382" s="165"/>
      <c r="G382" s="165"/>
      <c r="H382" s="165"/>
      <c r="I382" s="165"/>
      <c r="J382" s="165"/>
      <c r="K382" s="165"/>
      <c r="L382" s="165">
        <v>161</v>
      </c>
      <c r="M382" s="132">
        <f>162</f>
        <v>162</v>
      </c>
      <c r="N382" s="132">
        <f>2*16</f>
        <v>32</v>
      </c>
      <c r="P382" s="132">
        <f t="shared" si="55"/>
        <v>2</v>
      </c>
      <c r="Q382" s="132">
        <f t="shared" si="54"/>
        <v>2</v>
      </c>
    </row>
  </sheetData>
  <pageMargins left="0.7" right="0.7" top="0.75" bottom="0.75" header="0.3" footer="0.3"/>
  <pageSetup paperSize="9" orientation="portrait" verticalDpi="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
  <sheetViews>
    <sheetView workbookViewId="0">
      <selection activeCell="I15" sqref="I15"/>
    </sheetView>
  </sheetViews>
  <sheetFormatPr defaultColWidth="7.875" defaultRowHeight="15" x14ac:dyDescent="0.25"/>
  <cols>
    <col min="1" max="1" width="7.875" style="760"/>
    <col min="2" max="2" width="18.25" style="101" customWidth="1"/>
    <col min="3" max="3" width="8.125" style="101" customWidth="1"/>
    <col min="4" max="4" width="8.625" style="101" customWidth="1"/>
    <col min="5" max="5" width="9.5" style="773" customWidth="1"/>
    <col min="6" max="6" width="8.625" style="101" customWidth="1"/>
    <col min="7" max="7" width="11.5" style="101" customWidth="1"/>
    <col min="8" max="16384" width="7.875" style="101"/>
  </cols>
  <sheetData>
    <row r="1" spans="1:19" x14ac:dyDescent="0.25">
      <c r="A1" s="760" t="s">
        <v>869</v>
      </c>
    </row>
    <row r="2" spans="1:19" s="761" customFormat="1" x14ac:dyDescent="0.25">
      <c r="A2" s="192"/>
      <c r="B2" s="192"/>
      <c r="C2" s="771"/>
      <c r="D2" s="193"/>
      <c r="E2" s="774"/>
      <c r="F2" s="193"/>
      <c r="G2" s="193"/>
      <c r="H2" s="193"/>
      <c r="I2" s="193"/>
      <c r="J2" s="193"/>
      <c r="K2" s="193"/>
      <c r="L2" s="193"/>
      <c r="M2" s="193"/>
      <c r="N2" s="193"/>
      <c r="O2" s="193"/>
      <c r="P2" s="193"/>
      <c r="Q2" s="193"/>
      <c r="R2" s="193"/>
      <c r="S2" s="193"/>
    </row>
    <row r="3" spans="1:19" s="764" customFormat="1" ht="82.5" customHeight="1" x14ac:dyDescent="0.25">
      <c r="A3" s="762" t="s">
        <v>0</v>
      </c>
      <c r="B3" s="762" t="s">
        <v>870</v>
      </c>
      <c r="C3" s="347" t="s">
        <v>1942</v>
      </c>
      <c r="D3" s="347" t="s">
        <v>872</v>
      </c>
      <c r="E3" s="763" t="s">
        <v>1472</v>
      </c>
      <c r="F3" s="347" t="s">
        <v>1441</v>
      </c>
      <c r="G3" s="763" t="s">
        <v>1473</v>
      </c>
    </row>
    <row r="4" spans="1:19" s="102" customFormat="1" ht="28.5" customHeight="1" x14ac:dyDescent="0.2">
      <c r="A4" s="765"/>
      <c r="B4" s="349" t="s">
        <v>871</v>
      </c>
      <c r="C4" s="766">
        <f t="shared" ref="C4:F4" si="0">SUM(C5:C12)</f>
        <v>84777</v>
      </c>
      <c r="D4" s="766">
        <f>SUM(D5:D12)</f>
        <v>16892</v>
      </c>
      <c r="E4" s="775">
        <f>SUM(E5:E12)</f>
        <v>84777</v>
      </c>
      <c r="F4" s="766">
        <f t="shared" si="0"/>
        <v>83144</v>
      </c>
      <c r="G4" s="766">
        <f>SUM(G5:G12)</f>
        <v>1633</v>
      </c>
    </row>
    <row r="5" spans="1:19" ht="28.5" customHeight="1" x14ac:dyDescent="0.25">
      <c r="A5" s="767">
        <f>'[2]Biểu 02'!A16</f>
        <v>1</v>
      </c>
      <c r="B5" s="351" t="str">
        <f>'[2]Biểu 02'!B16</f>
        <v>Thành phố Bắc Kạn</v>
      </c>
      <c r="C5" s="768">
        <v>15385</v>
      </c>
      <c r="D5" s="768">
        <v>1825</v>
      </c>
      <c r="E5" s="776">
        <f>C5</f>
        <v>15385</v>
      </c>
      <c r="F5" s="768">
        <v>16181</v>
      </c>
      <c r="G5" s="768">
        <f>E5-F5</f>
        <v>-796</v>
      </c>
    </row>
    <row r="6" spans="1:19" ht="28.5" customHeight="1" x14ac:dyDescent="0.25">
      <c r="A6" s="767">
        <f>'[2]Biểu 02'!A17</f>
        <v>2</v>
      </c>
      <c r="B6" s="351" t="str">
        <f>'[2]Biểu 02'!B17</f>
        <v>Huyện Pác Nặm</v>
      </c>
      <c r="C6" s="768">
        <v>9581</v>
      </c>
      <c r="D6" s="768">
        <v>2869</v>
      </c>
      <c r="E6" s="776">
        <f t="shared" ref="E6:E12" si="1">C6</f>
        <v>9581</v>
      </c>
      <c r="F6" s="768">
        <v>8224</v>
      </c>
      <c r="G6" s="768">
        <f t="shared" ref="G6:G10" si="2">E6-F6</f>
        <v>1357</v>
      </c>
    </row>
    <row r="7" spans="1:19" ht="28.5" customHeight="1" x14ac:dyDescent="0.25">
      <c r="A7" s="767">
        <f>'[2]Biểu 02'!A18</f>
        <v>3</v>
      </c>
      <c r="B7" s="351" t="str">
        <f>'[2]Biểu 02'!B18</f>
        <v>Huyện Ba Bể</v>
      </c>
      <c r="C7" s="768">
        <v>7411</v>
      </c>
      <c r="D7" s="768"/>
      <c r="E7" s="776">
        <f t="shared" si="1"/>
        <v>7411</v>
      </c>
      <c r="F7" s="768">
        <v>10870</v>
      </c>
      <c r="G7" s="768">
        <f t="shared" si="2"/>
        <v>-3459</v>
      </c>
    </row>
    <row r="8" spans="1:19" ht="28.5" customHeight="1" x14ac:dyDescent="0.25">
      <c r="A8" s="767">
        <f>'[2]Biểu 02'!A19</f>
        <v>4</v>
      </c>
      <c r="B8" s="351" t="str">
        <f>'[2]Biểu 02'!B19</f>
        <v>Huyện Ngân Sơn</v>
      </c>
      <c r="C8" s="768">
        <v>9001</v>
      </c>
      <c r="D8" s="768">
        <v>2979</v>
      </c>
      <c r="E8" s="776">
        <f t="shared" si="1"/>
        <v>9001</v>
      </c>
      <c r="F8" s="768">
        <v>7431</v>
      </c>
      <c r="G8" s="768">
        <f t="shared" si="2"/>
        <v>1570</v>
      </c>
    </row>
    <row r="9" spans="1:19" ht="28.5" customHeight="1" x14ac:dyDescent="0.25">
      <c r="A9" s="767">
        <f>'[2]Biểu 02'!A20</f>
        <v>5</v>
      </c>
      <c r="B9" s="351" t="str">
        <f>'[2]Biểu 02'!B20</f>
        <v>Huyện Bạch Thông</v>
      </c>
      <c r="C9" s="768">
        <v>8199</v>
      </c>
      <c r="D9" s="768">
        <v>1622</v>
      </c>
      <c r="E9" s="776">
        <f t="shared" si="1"/>
        <v>8199</v>
      </c>
      <c r="F9" s="768">
        <v>7882</v>
      </c>
      <c r="G9" s="768">
        <f t="shared" si="2"/>
        <v>317</v>
      </c>
    </row>
    <row r="10" spans="1:19" ht="28.5" customHeight="1" x14ac:dyDescent="0.25">
      <c r="A10" s="767">
        <f>'[2]Biểu 02'!A21</f>
        <v>6</v>
      </c>
      <c r="B10" s="351" t="str">
        <f>'[2]Biểu 02'!B21</f>
        <v>Huyện Chợ Đồn</v>
      </c>
      <c r="C10" s="768">
        <v>14569</v>
      </c>
      <c r="D10" s="768">
        <v>2411</v>
      </c>
      <c r="E10" s="776">
        <f t="shared" si="1"/>
        <v>14569</v>
      </c>
      <c r="F10" s="768">
        <v>14797</v>
      </c>
      <c r="G10" s="768">
        <f t="shared" si="2"/>
        <v>-228</v>
      </c>
    </row>
    <row r="11" spans="1:19" ht="28.5" customHeight="1" x14ac:dyDescent="0.25">
      <c r="A11" s="767">
        <f>'[2]Biểu 02'!A22</f>
        <v>7</v>
      </c>
      <c r="B11" s="351" t="str">
        <f>'[2]Biểu 02'!B22</f>
        <v>Huyện Chợ Mới</v>
      </c>
      <c r="C11" s="768">
        <v>6887</v>
      </c>
      <c r="D11" s="768"/>
      <c r="E11" s="776">
        <f t="shared" si="1"/>
        <v>6887</v>
      </c>
      <c r="F11" s="768">
        <v>10101</v>
      </c>
      <c r="G11" s="770">
        <f t="shared" ref="G11" si="3">E11-F11</f>
        <v>-3214</v>
      </c>
    </row>
    <row r="12" spans="1:19" ht="28.5" customHeight="1" x14ac:dyDescent="0.25">
      <c r="A12" s="769">
        <f>'[2]Biểu 02'!A23</f>
        <v>8</v>
      </c>
      <c r="B12" s="354" t="str">
        <f>'[2]Biểu 02'!B23</f>
        <v>Huyện Na Rì</v>
      </c>
      <c r="C12" s="770">
        <v>13744</v>
      </c>
      <c r="D12" s="770">
        <v>5186</v>
      </c>
      <c r="E12" s="777">
        <f t="shared" si="1"/>
        <v>13744</v>
      </c>
      <c r="F12" s="770">
        <v>7658</v>
      </c>
      <c r="G12" s="770">
        <f>E12-F12</f>
        <v>6086</v>
      </c>
    </row>
  </sheetData>
  <pageMargins left="0.7" right="0.7" top="0.75" bottom="0.75" header="0.3" footer="0.3"/>
  <pageSetup paperSize="9" orientation="portrait" verticalDpi="0" r:id="rId1"/>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sheetPr>
  <dimension ref="A1:BA48"/>
  <sheetViews>
    <sheetView zoomScale="90" zoomScaleNormal="90" workbookViewId="0">
      <pane xSplit="2" ySplit="8" topLeftCell="C24" activePane="bottomRight" state="frozen"/>
      <selection activeCell="E34" activeCellId="1" sqref="E18 E34"/>
      <selection pane="topRight" activeCell="E34" activeCellId="1" sqref="E18 E34"/>
      <selection pane="bottomLeft" activeCell="E34" activeCellId="1" sqref="E18 E34"/>
      <selection pane="bottomRight" activeCell="A3" sqref="A3"/>
    </sheetView>
  </sheetViews>
  <sheetFormatPr defaultRowHeight="15.75" x14ac:dyDescent="0.25"/>
  <cols>
    <col min="1" max="1" width="4.25" style="741" customWidth="1"/>
    <col min="2" max="2" width="48" style="111" customWidth="1"/>
    <col min="3" max="3" width="11.625" style="967" customWidth="1"/>
    <col min="4" max="4" width="9.625" style="967" customWidth="1"/>
    <col min="5" max="5" width="9.125" style="967" customWidth="1"/>
    <col min="6" max="10" width="9.125" style="967" hidden="1" customWidth="1"/>
    <col min="11" max="11" width="8.125" style="967" hidden="1" customWidth="1"/>
    <col min="12" max="13" width="9.125" style="967" hidden="1" customWidth="1"/>
    <col min="14" max="16" width="7.375" style="967" hidden="1" customWidth="1"/>
    <col min="17" max="17" width="6.75" style="967" hidden="1" customWidth="1"/>
    <col min="18" max="18" width="7.5" style="967" hidden="1" customWidth="1"/>
    <col min="19" max="19" width="9.5" style="967" hidden="1" customWidth="1"/>
    <col min="20" max="20" width="7.125" style="967" hidden="1" customWidth="1"/>
    <col min="21" max="21" width="7.5" style="967" hidden="1" customWidth="1"/>
    <col min="22" max="24" width="9.5" style="967" hidden="1" customWidth="1"/>
    <col min="25" max="26" width="8" style="967" hidden="1" customWidth="1"/>
    <col min="27" max="27" width="7.875" style="967" hidden="1" customWidth="1"/>
    <col min="28" max="28" width="7.25" style="967" hidden="1" customWidth="1"/>
    <col min="29" max="29" width="8" style="967" hidden="1" customWidth="1"/>
    <col min="30" max="30" width="7.25" style="967" hidden="1" customWidth="1"/>
    <col min="31" max="31" width="7.125" style="967" hidden="1" customWidth="1"/>
    <col min="32" max="32" width="6.625" style="967" hidden="1" customWidth="1"/>
    <col min="33" max="34" width="7.875" style="967" hidden="1" customWidth="1"/>
    <col min="35" max="35" width="7.5" style="967" hidden="1" customWidth="1"/>
    <col min="36" max="36" width="7" style="967" hidden="1" customWidth="1"/>
    <col min="37" max="37" width="7.375" style="967" hidden="1" customWidth="1"/>
    <col min="38" max="38" width="9.5" style="967" hidden="1" customWidth="1"/>
    <col min="39" max="39" width="16" style="111" hidden="1" customWidth="1"/>
    <col min="40" max="40" width="10" style="111" hidden="1" customWidth="1"/>
    <col min="41" max="41" width="12.5" style="111" customWidth="1"/>
    <col min="42" max="42" width="10" style="111" customWidth="1"/>
    <col min="43" max="46" width="9" style="111"/>
    <col min="47" max="47" width="6.25" style="111" customWidth="1"/>
    <col min="48" max="52" width="9" style="111"/>
    <col min="53" max="53" width="8.25" style="111" customWidth="1"/>
    <col min="54" max="274" width="9" style="111"/>
    <col min="275" max="275" width="6.5" style="111" customWidth="1"/>
    <col min="276" max="276" width="37.125" style="111" customWidth="1"/>
    <col min="277" max="277" width="11.25" style="111" customWidth="1"/>
    <col min="278" max="288" width="9.5" style="111" customWidth="1"/>
    <col min="289" max="289" width="7.875" style="111" customWidth="1"/>
    <col min="290" max="295" width="9.5" style="111" customWidth="1"/>
    <col min="296" max="296" width="16" style="111" customWidth="1"/>
    <col min="297" max="297" width="26.25" style="111" customWidth="1"/>
    <col min="298" max="298" width="12.5" style="111" customWidth="1"/>
    <col min="299" max="299" width="10" style="111" customWidth="1"/>
    <col min="300" max="530" width="9" style="111"/>
    <col min="531" max="531" width="6.5" style="111" customWidth="1"/>
    <col min="532" max="532" width="37.125" style="111" customWidth="1"/>
    <col min="533" max="533" width="11.25" style="111" customWidth="1"/>
    <col min="534" max="544" width="9.5" style="111" customWidth="1"/>
    <col min="545" max="545" width="7.875" style="111" customWidth="1"/>
    <col min="546" max="551" width="9.5" style="111" customWidth="1"/>
    <col min="552" max="552" width="16" style="111" customWidth="1"/>
    <col min="553" max="553" width="26.25" style="111" customWidth="1"/>
    <col min="554" max="554" width="12.5" style="111" customWidth="1"/>
    <col min="555" max="555" width="10" style="111" customWidth="1"/>
    <col min="556" max="786" width="9" style="111"/>
    <col min="787" max="787" width="6.5" style="111" customWidth="1"/>
    <col min="788" max="788" width="37.125" style="111" customWidth="1"/>
    <col min="789" max="789" width="11.25" style="111" customWidth="1"/>
    <col min="790" max="800" width="9.5" style="111" customWidth="1"/>
    <col min="801" max="801" width="7.875" style="111" customWidth="1"/>
    <col min="802" max="807" width="9.5" style="111" customWidth="1"/>
    <col min="808" max="808" width="16" style="111" customWidth="1"/>
    <col min="809" max="809" width="26.25" style="111" customWidth="1"/>
    <col min="810" max="810" width="12.5" style="111" customWidth="1"/>
    <col min="811" max="811" width="10" style="111" customWidth="1"/>
    <col min="812" max="1042" width="9" style="111"/>
    <col min="1043" max="1043" width="6.5" style="111" customWidth="1"/>
    <col min="1044" max="1044" width="37.125" style="111" customWidth="1"/>
    <col min="1045" max="1045" width="11.25" style="111" customWidth="1"/>
    <col min="1046" max="1056" width="9.5" style="111" customWidth="1"/>
    <col min="1057" max="1057" width="7.875" style="111" customWidth="1"/>
    <col min="1058" max="1063" width="9.5" style="111" customWidth="1"/>
    <col min="1064" max="1064" width="16" style="111" customWidth="1"/>
    <col min="1065" max="1065" width="26.25" style="111" customWidth="1"/>
    <col min="1066" max="1066" width="12.5" style="111" customWidth="1"/>
    <col min="1067" max="1067" width="10" style="111" customWidth="1"/>
    <col min="1068" max="1298" width="9" style="111"/>
    <col min="1299" max="1299" width="6.5" style="111" customWidth="1"/>
    <col min="1300" max="1300" width="37.125" style="111" customWidth="1"/>
    <col min="1301" max="1301" width="11.25" style="111" customWidth="1"/>
    <col min="1302" max="1312" width="9.5" style="111" customWidth="1"/>
    <col min="1313" max="1313" width="7.875" style="111" customWidth="1"/>
    <col min="1314" max="1319" width="9.5" style="111" customWidth="1"/>
    <col min="1320" max="1320" width="16" style="111" customWidth="1"/>
    <col min="1321" max="1321" width="26.25" style="111" customWidth="1"/>
    <col min="1322" max="1322" width="12.5" style="111" customWidth="1"/>
    <col min="1323" max="1323" width="10" style="111" customWidth="1"/>
    <col min="1324" max="1554" width="9" style="111"/>
    <col min="1555" max="1555" width="6.5" style="111" customWidth="1"/>
    <col min="1556" max="1556" width="37.125" style="111" customWidth="1"/>
    <col min="1557" max="1557" width="11.25" style="111" customWidth="1"/>
    <col min="1558" max="1568" width="9.5" style="111" customWidth="1"/>
    <col min="1569" max="1569" width="7.875" style="111" customWidth="1"/>
    <col min="1570" max="1575" width="9.5" style="111" customWidth="1"/>
    <col min="1576" max="1576" width="16" style="111" customWidth="1"/>
    <col min="1577" max="1577" width="26.25" style="111" customWidth="1"/>
    <col min="1578" max="1578" width="12.5" style="111" customWidth="1"/>
    <col min="1579" max="1579" width="10" style="111" customWidth="1"/>
    <col min="1580" max="1810" width="9" style="111"/>
    <col min="1811" max="1811" width="6.5" style="111" customWidth="1"/>
    <col min="1812" max="1812" width="37.125" style="111" customWidth="1"/>
    <col min="1813" max="1813" width="11.25" style="111" customWidth="1"/>
    <col min="1814" max="1824" width="9.5" style="111" customWidth="1"/>
    <col min="1825" max="1825" width="7.875" style="111" customWidth="1"/>
    <col min="1826" max="1831" width="9.5" style="111" customWidth="1"/>
    <col min="1832" max="1832" width="16" style="111" customWidth="1"/>
    <col min="1833" max="1833" width="26.25" style="111" customWidth="1"/>
    <col min="1834" max="1834" width="12.5" style="111" customWidth="1"/>
    <col min="1835" max="1835" width="10" style="111" customWidth="1"/>
    <col min="1836" max="2066" width="9" style="111"/>
    <col min="2067" max="2067" width="6.5" style="111" customWidth="1"/>
    <col min="2068" max="2068" width="37.125" style="111" customWidth="1"/>
    <col min="2069" max="2069" width="11.25" style="111" customWidth="1"/>
    <col min="2070" max="2080" width="9.5" style="111" customWidth="1"/>
    <col min="2081" max="2081" width="7.875" style="111" customWidth="1"/>
    <col min="2082" max="2087" width="9.5" style="111" customWidth="1"/>
    <col min="2088" max="2088" width="16" style="111" customWidth="1"/>
    <col min="2089" max="2089" width="26.25" style="111" customWidth="1"/>
    <col min="2090" max="2090" width="12.5" style="111" customWidth="1"/>
    <col min="2091" max="2091" width="10" style="111" customWidth="1"/>
    <col min="2092" max="2322" width="9" style="111"/>
    <col min="2323" max="2323" width="6.5" style="111" customWidth="1"/>
    <col min="2324" max="2324" width="37.125" style="111" customWidth="1"/>
    <col min="2325" max="2325" width="11.25" style="111" customWidth="1"/>
    <col min="2326" max="2336" width="9.5" style="111" customWidth="1"/>
    <col min="2337" max="2337" width="7.875" style="111" customWidth="1"/>
    <col min="2338" max="2343" width="9.5" style="111" customWidth="1"/>
    <col min="2344" max="2344" width="16" style="111" customWidth="1"/>
    <col min="2345" max="2345" width="26.25" style="111" customWidth="1"/>
    <col min="2346" max="2346" width="12.5" style="111" customWidth="1"/>
    <col min="2347" max="2347" width="10" style="111" customWidth="1"/>
    <col min="2348" max="2578" width="9" style="111"/>
    <col min="2579" max="2579" width="6.5" style="111" customWidth="1"/>
    <col min="2580" max="2580" width="37.125" style="111" customWidth="1"/>
    <col min="2581" max="2581" width="11.25" style="111" customWidth="1"/>
    <col min="2582" max="2592" width="9.5" style="111" customWidth="1"/>
    <col min="2593" max="2593" width="7.875" style="111" customWidth="1"/>
    <col min="2594" max="2599" width="9.5" style="111" customWidth="1"/>
    <col min="2600" max="2600" width="16" style="111" customWidth="1"/>
    <col min="2601" max="2601" width="26.25" style="111" customWidth="1"/>
    <col min="2602" max="2602" width="12.5" style="111" customWidth="1"/>
    <col min="2603" max="2603" width="10" style="111" customWidth="1"/>
    <col min="2604" max="2834" width="9" style="111"/>
    <col min="2835" max="2835" width="6.5" style="111" customWidth="1"/>
    <col min="2836" max="2836" width="37.125" style="111" customWidth="1"/>
    <col min="2837" max="2837" width="11.25" style="111" customWidth="1"/>
    <col min="2838" max="2848" width="9.5" style="111" customWidth="1"/>
    <col min="2849" max="2849" width="7.875" style="111" customWidth="1"/>
    <col min="2850" max="2855" width="9.5" style="111" customWidth="1"/>
    <col min="2856" max="2856" width="16" style="111" customWidth="1"/>
    <col min="2857" max="2857" width="26.25" style="111" customWidth="1"/>
    <col min="2858" max="2858" width="12.5" style="111" customWidth="1"/>
    <col min="2859" max="2859" width="10" style="111" customWidth="1"/>
    <col min="2860" max="3090" width="9" style="111"/>
    <col min="3091" max="3091" width="6.5" style="111" customWidth="1"/>
    <col min="3092" max="3092" width="37.125" style="111" customWidth="1"/>
    <col min="3093" max="3093" width="11.25" style="111" customWidth="1"/>
    <col min="3094" max="3104" width="9.5" style="111" customWidth="1"/>
    <col min="3105" max="3105" width="7.875" style="111" customWidth="1"/>
    <col min="3106" max="3111" width="9.5" style="111" customWidth="1"/>
    <col min="3112" max="3112" width="16" style="111" customWidth="1"/>
    <col min="3113" max="3113" width="26.25" style="111" customWidth="1"/>
    <col min="3114" max="3114" width="12.5" style="111" customWidth="1"/>
    <col min="3115" max="3115" width="10" style="111" customWidth="1"/>
    <col min="3116" max="3346" width="9" style="111"/>
    <col min="3347" max="3347" width="6.5" style="111" customWidth="1"/>
    <col min="3348" max="3348" width="37.125" style="111" customWidth="1"/>
    <col min="3349" max="3349" width="11.25" style="111" customWidth="1"/>
    <col min="3350" max="3360" width="9.5" style="111" customWidth="1"/>
    <col min="3361" max="3361" width="7.875" style="111" customWidth="1"/>
    <col min="3362" max="3367" width="9.5" style="111" customWidth="1"/>
    <col min="3368" max="3368" width="16" style="111" customWidth="1"/>
    <col min="3369" max="3369" width="26.25" style="111" customWidth="1"/>
    <col min="3370" max="3370" width="12.5" style="111" customWidth="1"/>
    <col min="3371" max="3371" width="10" style="111" customWidth="1"/>
    <col min="3372" max="3602" width="9" style="111"/>
    <col min="3603" max="3603" width="6.5" style="111" customWidth="1"/>
    <col min="3604" max="3604" width="37.125" style="111" customWidth="1"/>
    <col min="3605" max="3605" width="11.25" style="111" customWidth="1"/>
    <col min="3606" max="3616" width="9.5" style="111" customWidth="1"/>
    <col min="3617" max="3617" width="7.875" style="111" customWidth="1"/>
    <col min="3618" max="3623" width="9.5" style="111" customWidth="1"/>
    <col min="3624" max="3624" width="16" style="111" customWidth="1"/>
    <col min="3625" max="3625" width="26.25" style="111" customWidth="1"/>
    <col min="3626" max="3626" width="12.5" style="111" customWidth="1"/>
    <col min="3627" max="3627" width="10" style="111" customWidth="1"/>
    <col min="3628" max="3858" width="9" style="111"/>
    <col min="3859" max="3859" width="6.5" style="111" customWidth="1"/>
    <col min="3860" max="3860" width="37.125" style="111" customWidth="1"/>
    <col min="3861" max="3861" width="11.25" style="111" customWidth="1"/>
    <col min="3862" max="3872" width="9.5" style="111" customWidth="1"/>
    <col min="3873" max="3873" width="7.875" style="111" customWidth="1"/>
    <col min="3874" max="3879" width="9.5" style="111" customWidth="1"/>
    <col min="3880" max="3880" width="16" style="111" customWidth="1"/>
    <col min="3881" max="3881" width="26.25" style="111" customWidth="1"/>
    <col min="3882" max="3882" width="12.5" style="111" customWidth="1"/>
    <col min="3883" max="3883" width="10" style="111" customWidth="1"/>
    <col min="3884" max="4114" width="9" style="111"/>
    <col min="4115" max="4115" width="6.5" style="111" customWidth="1"/>
    <col min="4116" max="4116" width="37.125" style="111" customWidth="1"/>
    <col min="4117" max="4117" width="11.25" style="111" customWidth="1"/>
    <col min="4118" max="4128" width="9.5" style="111" customWidth="1"/>
    <col min="4129" max="4129" width="7.875" style="111" customWidth="1"/>
    <col min="4130" max="4135" width="9.5" style="111" customWidth="1"/>
    <col min="4136" max="4136" width="16" style="111" customWidth="1"/>
    <col min="4137" max="4137" width="26.25" style="111" customWidth="1"/>
    <col min="4138" max="4138" width="12.5" style="111" customWidth="1"/>
    <col min="4139" max="4139" width="10" style="111" customWidth="1"/>
    <col min="4140" max="4370" width="9" style="111"/>
    <col min="4371" max="4371" width="6.5" style="111" customWidth="1"/>
    <col min="4372" max="4372" width="37.125" style="111" customWidth="1"/>
    <col min="4373" max="4373" width="11.25" style="111" customWidth="1"/>
    <col min="4374" max="4384" width="9.5" style="111" customWidth="1"/>
    <col min="4385" max="4385" width="7.875" style="111" customWidth="1"/>
    <col min="4386" max="4391" width="9.5" style="111" customWidth="1"/>
    <col min="4392" max="4392" width="16" style="111" customWidth="1"/>
    <col min="4393" max="4393" width="26.25" style="111" customWidth="1"/>
    <col min="4394" max="4394" width="12.5" style="111" customWidth="1"/>
    <col min="4395" max="4395" width="10" style="111" customWidth="1"/>
    <col min="4396" max="4626" width="9" style="111"/>
    <col min="4627" max="4627" width="6.5" style="111" customWidth="1"/>
    <col min="4628" max="4628" width="37.125" style="111" customWidth="1"/>
    <col min="4629" max="4629" width="11.25" style="111" customWidth="1"/>
    <col min="4630" max="4640" width="9.5" style="111" customWidth="1"/>
    <col min="4641" max="4641" width="7.875" style="111" customWidth="1"/>
    <col min="4642" max="4647" width="9.5" style="111" customWidth="1"/>
    <col min="4648" max="4648" width="16" style="111" customWidth="1"/>
    <col min="4649" max="4649" width="26.25" style="111" customWidth="1"/>
    <col min="4650" max="4650" width="12.5" style="111" customWidth="1"/>
    <col min="4651" max="4651" width="10" style="111" customWidth="1"/>
    <col min="4652" max="4882" width="9" style="111"/>
    <col min="4883" max="4883" width="6.5" style="111" customWidth="1"/>
    <col min="4884" max="4884" width="37.125" style="111" customWidth="1"/>
    <col min="4885" max="4885" width="11.25" style="111" customWidth="1"/>
    <col min="4886" max="4896" width="9.5" style="111" customWidth="1"/>
    <col min="4897" max="4897" width="7.875" style="111" customWidth="1"/>
    <col min="4898" max="4903" width="9.5" style="111" customWidth="1"/>
    <col min="4904" max="4904" width="16" style="111" customWidth="1"/>
    <col min="4905" max="4905" width="26.25" style="111" customWidth="1"/>
    <col min="4906" max="4906" width="12.5" style="111" customWidth="1"/>
    <col min="4907" max="4907" width="10" style="111" customWidth="1"/>
    <col min="4908" max="5138" width="9" style="111"/>
    <col min="5139" max="5139" width="6.5" style="111" customWidth="1"/>
    <col min="5140" max="5140" width="37.125" style="111" customWidth="1"/>
    <col min="5141" max="5141" width="11.25" style="111" customWidth="1"/>
    <col min="5142" max="5152" width="9.5" style="111" customWidth="1"/>
    <col min="5153" max="5153" width="7.875" style="111" customWidth="1"/>
    <col min="5154" max="5159" width="9.5" style="111" customWidth="1"/>
    <col min="5160" max="5160" width="16" style="111" customWidth="1"/>
    <col min="5161" max="5161" width="26.25" style="111" customWidth="1"/>
    <col min="5162" max="5162" width="12.5" style="111" customWidth="1"/>
    <col min="5163" max="5163" width="10" style="111" customWidth="1"/>
    <col min="5164" max="5394" width="9" style="111"/>
    <col min="5395" max="5395" width="6.5" style="111" customWidth="1"/>
    <col min="5396" max="5396" width="37.125" style="111" customWidth="1"/>
    <col min="5397" max="5397" width="11.25" style="111" customWidth="1"/>
    <col min="5398" max="5408" width="9.5" style="111" customWidth="1"/>
    <col min="5409" max="5409" width="7.875" style="111" customWidth="1"/>
    <col min="5410" max="5415" width="9.5" style="111" customWidth="1"/>
    <col min="5416" max="5416" width="16" style="111" customWidth="1"/>
    <col min="5417" max="5417" width="26.25" style="111" customWidth="1"/>
    <col min="5418" max="5418" width="12.5" style="111" customWidth="1"/>
    <col min="5419" max="5419" width="10" style="111" customWidth="1"/>
    <col min="5420" max="5650" width="9" style="111"/>
    <col min="5651" max="5651" width="6.5" style="111" customWidth="1"/>
    <col min="5652" max="5652" width="37.125" style="111" customWidth="1"/>
    <col min="5653" max="5653" width="11.25" style="111" customWidth="1"/>
    <col min="5654" max="5664" width="9.5" style="111" customWidth="1"/>
    <col min="5665" max="5665" width="7.875" style="111" customWidth="1"/>
    <col min="5666" max="5671" width="9.5" style="111" customWidth="1"/>
    <col min="5672" max="5672" width="16" style="111" customWidth="1"/>
    <col min="5673" max="5673" width="26.25" style="111" customWidth="1"/>
    <col min="5674" max="5674" width="12.5" style="111" customWidth="1"/>
    <col min="5675" max="5675" width="10" style="111" customWidth="1"/>
    <col min="5676" max="5906" width="9" style="111"/>
    <col min="5907" max="5907" width="6.5" style="111" customWidth="1"/>
    <col min="5908" max="5908" width="37.125" style="111" customWidth="1"/>
    <col min="5909" max="5909" width="11.25" style="111" customWidth="1"/>
    <col min="5910" max="5920" width="9.5" style="111" customWidth="1"/>
    <col min="5921" max="5921" width="7.875" style="111" customWidth="1"/>
    <col min="5922" max="5927" width="9.5" style="111" customWidth="1"/>
    <col min="5928" max="5928" width="16" style="111" customWidth="1"/>
    <col min="5929" max="5929" width="26.25" style="111" customWidth="1"/>
    <col min="5930" max="5930" width="12.5" style="111" customWidth="1"/>
    <col min="5931" max="5931" width="10" style="111" customWidth="1"/>
    <col min="5932" max="6162" width="9" style="111"/>
    <col min="6163" max="6163" width="6.5" style="111" customWidth="1"/>
    <col min="6164" max="6164" width="37.125" style="111" customWidth="1"/>
    <col min="6165" max="6165" width="11.25" style="111" customWidth="1"/>
    <col min="6166" max="6176" width="9.5" style="111" customWidth="1"/>
    <col min="6177" max="6177" width="7.875" style="111" customWidth="1"/>
    <col min="6178" max="6183" width="9.5" style="111" customWidth="1"/>
    <col min="6184" max="6184" width="16" style="111" customWidth="1"/>
    <col min="6185" max="6185" width="26.25" style="111" customWidth="1"/>
    <col min="6186" max="6186" width="12.5" style="111" customWidth="1"/>
    <col min="6187" max="6187" width="10" style="111" customWidth="1"/>
    <col min="6188" max="6418" width="9" style="111"/>
    <col min="6419" max="6419" width="6.5" style="111" customWidth="1"/>
    <col min="6420" max="6420" width="37.125" style="111" customWidth="1"/>
    <col min="6421" max="6421" width="11.25" style="111" customWidth="1"/>
    <col min="6422" max="6432" width="9.5" style="111" customWidth="1"/>
    <col min="6433" max="6433" width="7.875" style="111" customWidth="1"/>
    <col min="6434" max="6439" width="9.5" style="111" customWidth="1"/>
    <col min="6440" max="6440" width="16" style="111" customWidth="1"/>
    <col min="6441" max="6441" width="26.25" style="111" customWidth="1"/>
    <col min="6442" max="6442" width="12.5" style="111" customWidth="1"/>
    <col min="6443" max="6443" width="10" style="111" customWidth="1"/>
    <col min="6444" max="6674" width="9" style="111"/>
    <col min="6675" max="6675" width="6.5" style="111" customWidth="1"/>
    <col min="6676" max="6676" width="37.125" style="111" customWidth="1"/>
    <col min="6677" max="6677" width="11.25" style="111" customWidth="1"/>
    <col min="6678" max="6688" width="9.5" style="111" customWidth="1"/>
    <col min="6689" max="6689" width="7.875" style="111" customWidth="1"/>
    <col min="6690" max="6695" width="9.5" style="111" customWidth="1"/>
    <col min="6696" max="6696" width="16" style="111" customWidth="1"/>
    <col min="6697" max="6697" width="26.25" style="111" customWidth="1"/>
    <col min="6698" max="6698" width="12.5" style="111" customWidth="1"/>
    <col min="6699" max="6699" width="10" style="111" customWidth="1"/>
    <col min="6700" max="6930" width="9" style="111"/>
    <col min="6931" max="6931" width="6.5" style="111" customWidth="1"/>
    <col min="6932" max="6932" width="37.125" style="111" customWidth="1"/>
    <col min="6933" max="6933" width="11.25" style="111" customWidth="1"/>
    <col min="6934" max="6944" width="9.5" style="111" customWidth="1"/>
    <col min="6945" max="6945" width="7.875" style="111" customWidth="1"/>
    <col min="6946" max="6951" width="9.5" style="111" customWidth="1"/>
    <col min="6952" max="6952" width="16" style="111" customWidth="1"/>
    <col min="6953" max="6953" width="26.25" style="111" customWidth="1"/>
    <col min="6954" max="6954" width="12.5" style="111" customWidth="1"/>
    <col min="6955" max="6955" width="10" style="111" customWidth="1"/>
    <col min="6956" max="7186" width="9" style="111"/>
    <col min="7187" max="7187" width="6.5" style="111" customWidth="1"/>
    <col min="7188" max="7188" width="37.125" style="111" customWidth="1"/>
    <col min="7189" max="7189" width="11.25" style="111" customWidth="1"/>
    <col min="7190" max="7200" width="9.5" style="111" customWidth="1"/>
    <col min="7201" max="7201" width="7.875" style="111" customWidth="1"/>
    <col min="7202" max="7207" width="9.5" style="111" customWidth="1"/>
    <col min="7208" max="7208" width="16" style="111" customWidth="1"/>
    <col min="7209" max="7209" width="26.25" style="111" customWidth="1"/>
    <col min="7210" max="7210" width="12.5" style="111" customWidth="1"/>
    <col min="7211" max="7211" width="10" style="111" customWidth="1"/>
    <col min="7212" max="7442" width="9" style="111"/>
    <col min="7443" max="7443" width="6.5" style="111" customWidth="1"/>
    <col min="7444" max="7444" width="37.125" style="111" customWidth="1"/>
    <col min="7445" max="7445" width="11.25" style="111" customWidth="1"/>
    <col min="7446" max="7456" width="9.5" style="111" customWidth="1"/>
    <col min="7457" max="7457" width="7.875" style="111" customWidth="1"/>
    <col min="7458" max="7463" width="9.5" style="111" customWidth="1"/>
    <col min="7464" max="7464" width="16" style="111" customWidth="1"/>
    <col min="7465" max="7465" width="26.25" style="111" customWidth="1"/>
    <col min="7466" max="7466" width="12.5" style="111" customWidth="1"/>
    <col min="7467" max="7467" width="10" style="111" customWidth="1"/>
    <col min="7468" max="7698" width="9" style="111"/>
    <col min="7699" max="7699" width="6.5" style="111" customWidth="1"/>
    <col min="7700" max="7700" width="37.125" style="111" customWidth="1"/>
    <col min="7701" max="7701" width="11.25" style="111" customWidth="1"/>
    <col min="7702" max="7712" width="9.5" style="111" customWidth="1"/>
    <col min="7713" max="7713" width="7.875" style="111" customWidth="1"/>
    <col min="7714" max="7719" width="9.5" style="111" customWidth="1"/>
    <col min="7720" max="7720" width="16" style="111" customWidth="1"/>
    <col min="7721" max="7721" width="26.25" style="111" customWidth="1"/>
    <col min="7722" max="7722" width="12.5" style="111" customWidth="1"/>
    <col min="7723" max="7723" width="10" style="111" customWidth="1"/>
    <col min="7724" max="7954" width="9" style="111"/>
    <col min="7955" max="7955" width="6.5" style="111" customWidth="1"/>
    <col min="7956" max="7956" width="37.125" style="111" customWidth="1"/>
    <col min="7957" max="7957" width="11.25" style="111" customWidth="1"/>
    <col min="7958" max="7968" width="9.5" style="111" customWidth="1"/>
    <col min="7969" max="7969" width="7.875" style="111" customWidth="1"/>
    <col min="7970" max="7975" width="9.5" style="111" customWidth="1"/>
    <col min="7976" max="7976" width="16" style="111" customWidth="1"/>
    <col min="7977" max="7977" width="26.25" style="111" customWidth="1"/>
    <col min="7978" max="7978" width="12.5" style="111" customWidth="1"/>
    <col min="7979" max="7979" width="10" style="111" customWidth="1"/>
    <col min="7980" max="8210" width="9" style="111"/>
    <col min="8211" max="8211" width="6.5" style="111" customWidth="1"/>
    <col min="8212" max="8212" width="37.125" style="111" customWidth="1"/>
    <col min="8213" max="8213" width="11.25" style="111" customWidth="1"/>
    <col min="8214" max="8224" width="9.5" style="111" customWidth="1"/>
    <col min="8225" max="8225" width="7.875" style="111" customWidth="1"/>
    <col min="8226" max="8231" width="9.5" style="111" customWidth="1"/>
    <col min="8232" max="8232" width="16" style="111" customWidth="1"/>
    <col min="8233" max="8233" width="26.25" style="111" customWidth="1"/>
    <col min="8234" max="8234" width="12.5" style="111" customWidth="1"/>
    <col min="8235" max="8235" width="10" style="111" customWidth="1"/>
    <col min="8236" max="8466" width="9" style="111"/>
    <col min="8467" max="8467" width="6.5" style="111" customWidth="1"/>
    <col min="8468" max="8468" width="37.125" style="111" customWidth="1"/>
    <col min="8469" max="8469" width="11.25" style="111" customWidth="1"/>
    <col min="8470" max="8480" width="9.5" style="111" customWidth="1"/>
    <col min="8481" max="8481" width="7.875" style="111" customWidth="1"/>
    <col min="8482" max="8487" width="9.5" style="111" customWidth="1"/>
    <col min="8488" max="8488" width="16" style="111" customWidth="1"/>
    <col min="8489" max="8489" width="26.25" style="111" customWidth="1"/>
    <col min="8490" max="8490" width="12.5" style="111" customWidth="1"/>
    <col min="8491" max="8491" width="10" style="111" customWidth="1"/>
    <col min="8492" max="8722" width="9" style="111"/>
    <col min="8723" max="8723" width="6.5" style="111" customWidth="1"/>
    <col min="8724" max="8724" width="37.125" style="111" customWidth="1"/>
    <col min="8725" max="8725" width="11.25" style="111" customWidth="1"/>
    <col min="8726" max="8736" width="9.5" style="111" customWidth="1"/>
    <col min="8737" max="8737" width="7.875" style="111" customWidth="1"/>
    <col min="8738" max="8743" width="9.5" style="111" customWidth="1"/>
    <col min="8744" max="8744" width="16" style="111" customWidth="1"/>
    <col min="8745" max="8745" width="26.25" style="111" customWidth="1"/>
    <col min="8746" max="8746" width="12.5" style="111" customWidth="1"/>
    <col min="8747" max="8747" width="10" style="111" customWidth="1"/>
    <col min="8748" max="8978" width="9" style="111"/>
    <col min="8979" max="8979" width="6.5" style="111" customWidth="1"/>
    <col min="8980" max="8980" width="37.125" style="111" customWidth="1"/>
    <col min="8981" max="8981" width="11.25" style="111" customWidth="1"/>
    <col min="8982" max="8992" width="9.5" style="111" customWidth="1"/>
    <col min="8993" max="8993" width="7.875" style="111" customWidth="1"/>
    <col min="8994" max="8999" width="9.5" style="111" customWidth="1"/>
    <col min="9000" max="9000" width="16" style="111" customWidth="1"/>
    <col min="9001" max="9001" width="26.25" style="111" customWidth="1"/>
    <col min="9002" max="9002" width="12.5" style="111" customWidth="1"/>
    <col min="9003" max="9003" width="10" style="111" customWidth="1"/>
    <col min="9004" max="9234" width="9" style="111"/>
    <col min="9235" max="9235" width="6.5" style="111" customWidth="1"/>
    <col min="9236" max="9236" width="37.125" style="111" customWidth="1"/>
    <col min="9237" max="9237" width="11.25" style="111" customWidth="1"/>
    <col min="9238" max="9248" width="9.5" style="111" customWidth="1"/>
    <col min="9249" max="9249" width="7.875" style="111" customWidth="1"/>
    <col min="9250" max="9255" width="9.5" style="111" customWidth="1"/>
    <col min="9256" max="9256" width="16" style="111" customWidth="1"/>
    <col min="9257" max="9257" width="26.25" style="111" customWidth="1"/>
    <col min="9258" max="9258" width="12.5" style="111" customWidth="1"/>
    <col min="9259" max="9259" width="10" style="111" customWidth="1"/>
    <col min="9260" max="9490" width="9" style="111"/>
    <col min="9491" max="9491" width="6.5" style="111" customWidth="1"/>
    <col min="9492" max="9492" width="37.125" style="111" customWidth="1"/>
    <col min="9493" max="9493" width="11.25" style="111" customWidth="1"/>
    <col min="9494" max="9504" width="9.5" style="111" customWidth="1"/>
    <col min="9505" max="9505" width="7.875" style="111" customWidth="1"/>
    <col min="9506" max="9511" width="9.5" style="111" customWidth="1"/>
    <col min="9512" max="9512" width="16" style="111" customWidth="1"/>
    <col min="9513" max="9513" width="26.25" style="111" customWidth="1"/>
    <col min="9514" max="9514" width="12.5" style="111" customWidth="1"/>
    <col min="9515" max="9515" width="10" style="111" customWidth="1"/>
    <col min="9516" max="9746" width="9" style="111"/>
    <col min="9747" max="9747" width="6.5" style="111" customWidth="1"/>
    <col min="9748" max="9748" width="37.125" style="111" customWidth="1"/>
    <col min="9749" max="9749" width="11.25" style="111" customWidth="1"/>
    <col min="9750" max="9760" width="9.5" style="111" customWidth="1"/>
    <col min="9761" max="9761" width="7.875" style="111" customWidth="1"/>
    <col min="9762" max="9767" width="9.5" style="111" customWidth="1"/>
    <col min="9768" max="9768" width="16" style="111" customWidth="1"/>
    <col min="9769" max="9769" width="26.25" style="111" customWidth="1"/>
    <col min="9770" max="9770" width="12.5" style="111" customWidth="1"/>
    <col min="9771" max="9771" width="10" style="111" customWidth="1"/>
    <col min="9772" max="10002" width="9" style="111"/>
    <col min="10003" max="10003" width="6.5" style="111" customWidth="1"/>
    <col min="10004" max="10004" width="37.125" style="111" customWidth="1"/>
    <col min="10005" max="10005" width="11.25" style="111" customWidth="1"/>
    <col min="10006" max="10016" width="9.5" style="111" customWidth="1"/>
    <col min="10017" max="10017" width="7.875" style="111" customWidth="1"/>
    <col min="10018" max="10023" width="9.5" style="111" customWidth="1"/>
    <col min="10024" max="10024" width="16" style="111" customWidth="1"/>
    <col min="10025" max="10025" width="26.25" style="111" customWidth="1"/>
    <col min="10026" max="10026" width="12.5" style="111" customWidth="1"/>
    <col min="10027" max="10027" width="10" style="111" customWidth="1"/>
    <col min="10028" max="10258" width="9" style="111"/>
    <col min="10259" max="10259" width="6.5" style="111" customWidth="1"/>
    <col min="10260" max="10260" width="37.125" style="111" customWidth="1"/>
    <col min="10261" max="10261" width="11.25" style="111" customWidth="1"/>
    <col min="10262" max="10272" width="9.5" style="111" customWidth="1"/>
    <col min="10273" max="10273" width="7.875" style="111" customWidth="1"/>
    <col min="10274" max="10279" width="9.5" style="111" customWidth="1"/>
    <col min="10280" max="10280" width="16" style="111" customWidth="1"/>
    <col min="10281" max="10281" width="26.25" style="111" customWidth="1"/>
    <col min="10282" max="10282" width="12.5" style="111" customWidth="1"/>
    <col min="10283" max="10283" width="10" style="111" customWidth="1"/>
    <col min="10284" max="10514" width="9" style="111"/>
    <col min="10515" max="10515" width="6.5" style="111" customWidth="1"/>
    <col min="10516" max="10516" width="37.125" style="111" customWidth="1"/>
    <col min="10517" max="10517" width="11.25" style="111" customWidth="1"/>
    <col min="10518" max="10528" width="9.5" style="111" customWidth="1"/>
    <col min="10529" max="10529" width="7.875" style="111" customWidth="1"/>
    <col min="10530" max="10535" width="9.5" style="111" customWidth="1"/>
    <col min="10536" max="10536" width="16" style="111" customWidth="1"/>
    <col min="10537" max="10537" width="26.25" style="111" customWidth="1"/>
    <col min="10538" max="10538" width="12.5" style="111" customWidth="1"/>
    <col min="10539" max="10539" width="10" style="111" customWidth="1"/>
    <col min="10540" max="10770" width="9" style="111"/>
    <col min="10771" max="10771" width="6.5" style="111" customWidth="1"/>
    <col min="10772" max="10772" width="37.125" style="111" customWidth="1"/>
    <col min="10773" max="10773" width="11.25" style="111" customWidth="1"/>
    <col min="10774" max="10784" width="9.5" style="111" customWidth="1"/>
    <col min="10785" max="10785" width="7.875" style="111" customWidth="1"/>
    <col min="10786" max="10791" width="9.5" style="111" customWidth="1"/>
    <col min="10792" max="10792" width="16" style="111" customWidth="1"/>
    <col min="10793" max="10793" width="26.25" style="111" customWidth="1"/>
    <col min="10794" max="10794" width="12.5" style="111" customWidth="1"/>
    <col min="10795" max="10795" width="10" style="111" customWidth="1"/>
    <col min="10796" max="11026" width="9" style="111"/>
    <col min="11027" max="11027" width="6.5" style="111" customWidth="1"/>
    <col min="11028" max="11028" width="37.125" style="111" customWidth="1"/>
    <col min="11029" max="11029" width="11.25" style="111" customWidth="1"/>
    <col min="11030" max="11040" width="9.5" style="111" customWidth="1"/>
    <col min="11041" max="11041" width="7.875" style="111" customWidth="1"/>
    <col min="11042" max="11047" width="9.5" style="111" customWidth="1"/>
    <col min="11048" max="11048" width="16" style="111" customWidth="1"/>
    <col min="11049" max="11049" width="26.25" style="111" customWidth="1"/>
    <col min="11050" max="11050" width="12.5" style="111" customWidth="1"/>
    <col min="11051" max="11051" width="10" style="111" customWidth="1"/>
    <col min="11052" max="11282" width="9" style="111"/>
    <col min="11283" max="11283" width="6.5" style="111" customWidth="1"/>
    <col min="11284" max="11284" width="37.125" style="111" customWidth="1"/>
    <col min="11285" max="11285" width="11.25" style="111" customWidth="1"/>
    <col min="11286" max="11296" width="9.5" style="111" customWidth="1"/>
    <col min="11297" max="11297" width="7.875" style="111" customWidth="1"/>
    <col min="11298" max="11303" width="9.5" style="111" customWidth="1"/>
    <col min="11304" max="11304" width="16" style="111" customWidth="1"/>
    <col min="11305" max="11305" width="26.25" style="111" customWidth="1"/>
    <col min="11306" max="11306" width="12.5" style="111" customWidth="1"/>
    <col min="11307" max="11307" width="10" style="111" customWidth="1"/>
    <col min="11308" max="11538" width="9" style="111"/>
    <col min="11539" max="11539" width="6.5" style="111" customWidth="1"/>
    <col min="11540" max="11540" width="37.125" style="111" customWidth="1"/>
    <col min="11541" max="11541" width="11.25" style="111" customWidth="1"/>
    <col min="11542" max="11552" width="9.5" style="111" customWidth="1"/>
    <col min="11553" max="11553" width="7.875" style="111" customWidth="1"/>
    <col min="11554" max="11559" width="9.5" style="111" customWidth="1"/>
    <col min="11560" max="11560" width="16" style="111" customWidth="1"/>
    <col min="11561" max="11561" width="26.25" style="111" customWidth="1"/>
    <col min="11562" max="11562" width="12.5" style="111" customWidth="1"/>
    <col min="11563" max="11563" width="10" style="111" customWidth="1"/>
    <col min="11564" max="11794" width="9" style="111"/>
    <col min="11795" max="11795" width="6.5" style="111" customWidth="1"/>
    <col min="11796" max="11796" width="37.125" style="111" customWidth="1"/>
    <col min="11797" max="11797" width="11.25" style="111" customWidth="1"/>
    <col min="11798" max="11808" width="9.5" style="111" customWidth="1"/>
    <col min="11809" max="11809" width="7.875" style="111" customWidth="1"/>
    <col min="11810" max="11815" width="9.5" style="111" customWidth="1"/>
    <col min="11816" max="11816" width="16" style="111" customWidth="1"/>
    <col min="11817" max="11817" width="26.25" style="111" customWidth="1"/>
    <col min="11818" max="11818" width="12.5" style="111" customWidth="1"/>
    <col min="11819" max="11819" width="10" style="111" customWidth="1"/>
    <col min="11820" max="12050" width="9" style="111"/>
    <col min="12051" max="12051" width="6.5" style="111" customWidth="1"/>
    <col min="12052" max="12052" width="37.125" style="111" customWidth="1"/>
    <col min="12053" max="12053" width="11.25" style="111" customWidth="1"/>
    <col min="12054" max="12064" width="9.5" style="111" customWidth="1"/>
    <col min="12065" max="12065" width="7.875" style="111" customWidth="1"/>
    <col min="12066" max="12071" width="9.5" style="111" customWidth="1"/>
    <col min="12072" max="12072" width="16" style="111" customWidth="1"/>
    <col min="12073" max="12073" width="26.25" style="111" customWidth="1"/>
    <col min="12074" max="12074" width="12.5" style="111" customWidth="1"/>
    <col min="12075" max="12075" width="10" style="111" customWidth="1"/>
    <col min="12076" max="12306" width="9" style="111"/>
    <col min="12307" max="12307" width="6.5" style="111" customWidth="1"/>
    <col min="12308" max="12308" width="37.125" style="111" customWidth="1"/>
    <col min="12309" max="12309" width="11.25" style="111" customWidth="1"/>
    <col min="12310" max="12320" width="9.5" style="111" customWidth="1"/>
    <col min="12321" max="12321" width="7.875" style="111" customWidth="1"/>
    <col min="12322" max="12327" width="9.5" style="111" customWidth="1"/>
    <col min="12328" max="12328" width="16" style="111" customWidth="1"/>
    <col min="12329" max="12329" width="26.25" style="111" customWidth="1"/>
    <col min="12330" max="12330" width="12.5" style="111" customWidth="1"/>
    <col min="12331" max="12331" width="10" style="111" customWidth="1"/>
    <col min="12332" max="12562" width="9" style="111"/>
    <col min="12563" max="12563" width="6.5" style="111" customWidth="1"/>
    <col min="12564" max="12564" width="37.125" style="111" customWidth="1"/>
    <col min="12565" max="12565" width="11.25" style="111" customWidth="1"/>
    <col min="12566" max="12576" width="9.5" style="111" customWidth="1"/>
    <col min="12577" max="12577" width="7.875" style="111" customWidth="1"/>
    <col min="12578" max="12583" width="9.5" style="111" customWidth="1"/>
    <col min="12584" max="12584" width="16" style="111" customWidth="1"/>
    <col min="12585" max="12585" width="26.25" style="111" customWidth="1"/>
    <col min="12586" max="12586" width="12.5" style="111" customWidth="1"/>
    <col min="12587" max="12587" width="10" style="111" customWidth="1"/>
    <col min="12588" max="12818" width="9" style="111"/>
    <col min="12819" max="12819" width="6.5" style="111" customWidth="1"/>
    <col min="12820" max="12820" width="37.125" style="111" customWidth="1"/>
    <col min="12821" max="12821" width="11.25" style="111" customWidth="1"/>
    <col min="12822" max="12832" width="9.5" style="111" customWidth="1"/>
    <col min="12833" max="12833" width="7.875" style="111" customWidth="1"/>
    <col min="12834" max="12839" width="9.5" style="111" customWidth="1"/>
    <col min="12840" max="12840" width="16" style="111" customWidth="1"/>
    <col min="12841" max="12841" width="26.25" style="111" customWidth="1"/>
    <col min="12842" max="12842" width="12.5" style="111" customWidth="1"/>
    <col min="12843" max="12843" width="10" style="111" customWidth="1"/>
    <col min="12844" max="13074" width="9" style="111"/>
    <col min="13075" max="13075" width="6.5" style="111" customWidth="1"/>
    <col min="13076" max="13076" width="37.125" style="111" customWidth="1"/>
    <col min="13077" max="13077" width="11.25" style="111" customWidth="1"/>
    <col min="13078" max="13088" width="9.5" style="111" customWidth="1"/>
    <col min="13089" max="13089" width="7.875" style="111" customWidth="1"/>
    <col min="13090" max="13095" width="9.5" style="111" customWidth="1"/>
    <col min="13096" max="13096" width="16" style="111" customWidth="1"/>
    <col min="13097" max="13097" width="26.25" style="111" customWidth="1"/>
    <col min="13098" max="13098" width="12.5" style="111" customWidth="1"/>
    <col min="13099" max="13099" width="10" style="111" customWidth="1"/>
    <col min="13100" max="13330" width="9" style="111"/>
    <col min="13331" max="13331" width="6.5" style="111" customWidth="1"/>
    <col min="13332" max="13332" width="37.125" style="111" customWidth="1"/>
    <col min="13333" max="13333" width="11.25" style="111" customWidth="1"/>
    <col min="13334" max="13344" width="9.5" style="111" customWidth="1"/>
    <col min="13345" max="13345" width="7.875" style="111" customWidth="1"/>
    <col min="13346" max="13351" width="9.5" style="111" customWidth="1"/>
    <col min="13352" max="13352" width="16" style="111" customWidth="1"/>
    <col min="13353" max="13353" width="26.25" style="111" customWidth="1"/>
    <col min="13354" max="13354" width="12.5" style="111" customWidth="1"/>
    <col min="13355" max="13355" width="10" style="111" customWidth="1"/>
    <col min="13356" max="13586" width="9" style="111"/>
    <col min="13587" max="13587" width="6.5" style="111" customWidth="1"/>
    <col min="13588" max="13588" width="37.125" style="111" customWidth="1"/>
    <col min="13589" max="13589" width="11.25" style="111" customWidth="1"/>
    <col min="13590" max="13600" width="9.5" style="111" customWidth="1"/>
    <col min="13601" max="13601" width="7.875" style="111" customWidth="1"/>
    <col min="13602" max="13607" width="9.5" style="111" customWidth="1"/>
    <col min="13608" max="13608" width="16" style="111" customWidth="1"/>
    <col min="13609" max="13609" width="26.25" style="111" customWidth="1"/>
    <col min="13610" max="13610" width="12.5" style="111" customWidth="1"/>
    <col min="13611" max="13611" width="10" style="111" customWidth="1"/>
    <col min="13612" max="13842" width="9" style="111"/>
    <col min="13843" max="13843" width="6.5" style="111" customWidth="1"/>
    <col min="13844" max="13844" width="37.125" style="111" customWidth="1"/>
    <col min="13845" max="13845" width="11.25" style="111" customWidth="1"/>
    <col min="13846" max="13856" width="9.5" style="111" customWidth="1"/>
    <col min="13857" max="13857" width="7.875" style="111" customWidth="1"/>
    <col min="13858" max="13863" width="9.5" style="111" customWidth="1"/>
    <col min="13864" max="13864" width="16" style="111" customWidth="1"/>
    <col min="13865" max="13865" width="26.25" style="111" customWidth="1"/>
    <col min="13866" max="13866" width="12.5" style="111" customWidth="1"/>
    <col min="13867" max="13867" width="10" style="111" customWidth="1"/>
    <col min="13868" max="14098" width="9" style="111"/>
    <col min="14099" max="14099" width="6.5" style="111" customWidth="1"/>
    <col min="14100" max="14100" width="37.125" style="111" customWidth="1"/>
    <col min="14101" max="14101" width="11.25" style="111" customWidth="1"/>
    <col min="14102" max="14112" width="9.5" style="111" customWidth="1"/>
    <col min="14113" max="14113" width="7.875" style="111" customWidth="1"/>
    <col min="14114" max="14119" width="9.5" style="111" customWidth="1"/>
    <col min="14120" max="14120" width="16" style="111" customWidth="1"/>
    <col min="14121" max="14121" width="26.25" style="111" customWidth="1"/>
    <col min="14122" max="14122" width="12.5" style="111" customWidth="1"/>
    <col min="14123" max="14123" width="10" style="111" customWidth="1"/>
    <col min="14124" max="14354" width="9" style="111"/>
    <col min="14355" max="14355" width="6.5" style="111" customWidth="1"/>
    <col min="14356" max="14356" width="37.125" style="111" customWidth="1"/>
    <col min="14357" max="14357" width="11.25" style="111" customWidth="1"/>
    <col min="14358" max="14368" width="9.5" style="111" customWidth="1"/>
    <col min="14369" max="14369" width="7.875" style="111" customWidth="1"/>
    <col min="14370" max="14375" width="9.5" style="111" customWidth="1"/>
    <col min="14376" max="14376" width="16" style="111" customWidth="1"/>
    <col min="14377" max="14377" width="26.25" style="111" customWidth="1"/>
    <col min="14378" max="14378" width="12.5" style="111" customWidth="1"/>
    <col min="14379" max="14379" width="10" style="111" customWidth="1"/>
    <col min="14380" max="14610" width="9" style="111"/>
    <col min="14611" max="14611" width="6.5" style="111" customWidth="1"/>
    <col min="14612" max="14612" width="37.125" style="111" customWidth="1"/>
    <col min="14613" max="14613" width="11.25" style="111" customWidth="1"/>
    <col min="14614" max="14624" width="9.5" style="111" customWidth="1"/>
    <col min="14625" max="14625" width="7.875" style="111" customWidth="1"/>
    <col min="14626" max="14631" width="9.5" style="111" customWidth="1"/>
    <col min="14632" max="14632" width="16" style="111" customWidth="1"/>
    <col min="14633" max="14633" width="26.25" style="111" customWidth="1"/>
    <col min="14634" max="14634" width="12.5" style="111" customWidth="1"/>
    <col min="14635" max="14635" width="10" style="111" customWidth="1"/>
    <col min="14636" max="14866" width="9" style="111"/>
    <col min="14867" max="14867" width="6.5" style="111" customWidth="1"/>
    <col min="14868" max="14868" width="37.125" style="111" customWidth="1"/>
    <col min="14869" max="14869" width="11.25" style="111" customWidth="1"/>
    <col min="14870" max="14880" width="9.5" style="111" customWidth="1"/>
    <col min="14881" max="14881" width="7.875" style="111" customWidth="1"/>
    <col min="14882" max="14887" width="9.5" style="111" customWidth="1"/>
    <col min="14888" max="14888" width="16" style="111" customWidth="1"/>
    <col min="14889" max="14889" width="26.25" style="111" customWidth="1"/>
    <col min="14890" max="14890" width="12.5" style="111" customWidth="1"/>
    <col min="14891" max="14891" width="10" style="111" customWidth="1"/>
    <col min="14892" max="15122" width="9" style="111"/>
    <col min="15123" max="15123" width="6.5" style="111" customWidth="1"/>
    <col min="15124" max="15124" width="37.125" style="111" customWidth="1"/>
    <col min="15125" max="15125" width="11.25" style="111" customWidth="1"/>
    <col min="15126" max="15136" width="9.5" style="111" customWidth="1"/>
    <col min="15137" max="15137" width="7.875" style="111" customWidth="1"/>
    <col min="15138" max="15143" width="9.5" style="111" customWidth="1"/>
    <col min="15144" max="15144" width="16" style="111" customWidth="1"/>
    <col min="15145" max="15145" width="26.25" style="111" customWidth="1"/>
    <col min="15146" max="15146" width="12.5" style="111" customWidth="1"/>
    <col min="15147" max="15147" width="10" style="111" customWidth="1"/>
    <col min="15148" max="15378" width="9" style="111"/>
    <col min="15379" max="15379" width="6.5" style="111" customWidth="1"/>
    <col min="15380" max="15380" width="37.125" style="111" customWidth="1"/>
    <col min="15381" max="15381" width="11.25" style="111" customWidth="1"/>
    <col min="15382" max="15392" width="9.5" style="111" customWidth="1"/>
    <col min="15393" max="15393" width="7.875" style="111" customWidth="1"/>
    <col min="15394" max="15399" width="9.5" style="111" customWidth="1"/>
    <col min="15400" max="15400" width="16" style="111" customWidth="1"/>
    <col min="15401" max="15401" width="26.25" style="111" customWidth="1"/>
    <col min="15402" max="15402" width="12.5" style="111" customWidth="1"/>
    <col min="15403" max="15403" width="10" style="111" customWidth="1"/>
    <col min="15404" max="15634" width="9" style="111"/>
    <col min="15635" max="15635" width="6.5" style="111" customWidth="1"/>
    <col min="15636" max="15636" width="37.125" style="111" customWidth="1"/>
    <col min="15637" max="15637" width="11.25" style="111" customWidth="1"/>
    <col min="15638" max="15648" width="9.5" style="111" customWidth="1"/>
    <col min="15649" max="15649" width="7.875" style="111" customWidth="1"/>
    <col min="15650" max="15655" width="9.5" style="111" customWidth="1"/>
    <col min="15656" max="15656" width="16" style="111" customWidth="1"/>
    <col min="15657" max="15657" width="26.25" style="111" customWidth="1"/>
    <col min="15658" max="15658" width="12.5" style="111" customWidth="1"/>
    <col min="15659" max="15659" width="10" style="111" customWidth="1"/>
    <col min="15660" max="15890" width="9" style="111"/>
    <col min="15891" max="15891" width="6.5" style="111" customWidth="1"/>
    <col min="15892" max="15892" width="37.125" style="111" customWidth="1"/>
    <col min="15893" max="15893" width="11.25" style="111" customWidth="1"/>
    <col min="15894" max="15904" width="9.5" style="111" customWidth="1"/>
    <col min="15905" max="15905" width="7.875" style="111" customWidth="1"/>
    <col min="15906" max="15911" width="9.5" style="111" customWidth="1"/>
    <col min="15912" max="15912" width="16" style="111" customWidth="1"/>
    <col min="15913" max="15913" width="26.25" style="111" customWidth="1"/>
    <col min="15914" max="15914" width="12.5" style="111" customWidth="1"/>
    <col min="15915" max="15915" width="10" style="111" customWidth="1"/>
    <col min="15916" max="16146" width="9" style="111"/>
    <col min="16147" max="16147" width="6.5" style="111" customWidth="1"/>
    <col min="16148" max="16148" width="37.125" style="111" customWidth="1"/>
    <col min="16149" max="16149" width="11.25" style="111" customWidth="1"/>
    <col min="16150" max="16160" width="9.5" style="111" customWidth="1"/>
    <col min="16161" max="16161" width="7.875" style="111" customWidth="1"/>
    <col min="16162" max="16167" width="9.5" style="111" customWidth="1"/>
    <col min="16168" max="16168" width="16" style="111" customWidth="1"/>
    <col min="16169" max="16169" width="26.25" style="111" customWidth="1"/>
    <col min="16170" max="16170" width="12.5" style="111" customWidth="1"/>
    <col min="16171" max="16171" width="10" style="111" customWidth="1"/>
    <col min="16172" max="16384" width="9" style="111"/>
  </cols>
  <sheetData>
    <row r="1" spans="1:53" s="222" customFormat="1" ht="37.5" customHeight="1" x14ac:dyDescent="0.3">
      <c r="A1" s="2143" t="s">
        <v>1391</v>
      </c>
      <c r="B1" s="2143"/>
      <c r="C1" s="2143"/>
      <c r="D1" s="2143"/>
      <c r="E1" s="2143"/>
      <c r="F1" s="2143"/>
      <c r="G1" s="2143"/>
      <c r="H1" s="2143"/>
      <c r="I1" s="2143"/>
      <c r="J1" s="2143"/>
      <c r="K1" s="2143"/>
      <c r="L1" s="2143"/>
      <c r="M1" s="2143"/>
      <c r="N1" s="2143"/>
      <c r="O1" s="2143"/>
      <c r="P1" s="2143"/>
      <c r="Q1" s="2143"/>
      <c r="R1" s="2143"/>
      <c r="S1" s="2143"/>
      <c r="T1" s="2143"/>
      <c r="U1" s="2143"/>
      <c r="V1" s="2143"/>
      <c r="W1" s="2143"/>
      <c r="X1" s="2143"/>
      <c r="Y1" s="2143"/>
      <c r="Z1" s="2143"/>
      <c r="AA1" s="2143"/>
      <c r="AB1" s="2143"/>
      <c r="AC1" s="2143"/>
      <c r="AD1" s="2143"/>
      <c r="AE1" s="2143"/>
      <c r="AF1" s="2143"/>
      <c r="AG1" s="2143"/>
      <c r="AH1" s="2143"/>
      <c r="AI1" s="2143"/>
      <c r="AJ1" s="2143"/>
      <c r="AK1" s="2143"/>
      <c r="AL1" s="2143"/>
      <c r="AM1" s="2143"/>
      <c r="AN1" s="2143"/>
    </row>
    <row r="2" spans="1:53" s="223" customFormat="1" ht="18.75" x14ac:dyDescent="0.3">
      <c r="A2" s="2118" t="str">
        <f>'Biểu 06 DT '!A2:G2</f>
        <v>(Kèm theo Nghị quyết số 14/NQ-HĐND ngày 09 tháng 12 năm 2018 của HĐND tỉnh Bắc Kạn)</v>
      </c>
      <c r="B2" s="2119"/>
      <c r="C2" s="2119"/>
      <c r="D2" s="2119"/>
      <c r="E2" s="2119"/>
      <c r="F2" s="2119"/>
      <c r="G2" s="2119"/>
      <c r="H2" s="2119"/>
      <c r="I2" s="2119"/>
      <c r="J2" s="2119"/>
      <c r="K2" s="2119"/>
      <c r="L2" s="2119"/>
      <c r="M2" s="2119"/>
      <c r="N2" s="2119"/>
      <c r="O2" s="2119"/>
      <c r="P2" s="2119"/>
      <c r="Q2" s="2119"/>
      <c r="R2" s="2119"/>
      <c r="S2" s="2119"/>
      <c r="T2" s="2119"/>
      <c r="U2" s="2119"/>
      <c r="V2" s="2119"/>
      <c r="W2" s="2119"/>
      <c r="X2" s="2119"/>
      <c r="Y2" s="2119"/>
      <c r="Z2" s="2119"/>
      <c r="AA2" s="2119"/>
      <c r="AB2" s="2119"/>
      <c r="AC2" s="2119"/>
      <c r="AD2" s="2119"/>
      <c r="AE2" s="2119"/>
      <c r="AF2" s="2119"/>
      <c r="AG2" s="2119"/>
      <c r="AH2" s="2119"/>
      <c r="AI2" s="2119"/>
      <c r="AJ2" s="2119"/>
      <c r="AK2" s="2119"/>
      <c r="AL2" s="2119"/>
      <c r="AM2" s="2119"/>
      <c r="AN2" s="2119"/>
    </row>
    <row r="3" spans="1:53" x14ac:dyDescent="0.25">
      <c r="A3" s="1123"/>
      <c r="B3" s="243"/>
      <c r="D3" s="2144" t="s">
        <v>6</v>
      </c>
      <c r="E3" s="2144"/>
      <c r="AI3" s="967">
        <v>58</v>
      </c>
      <c r="AM3" s="243"/>
      <c r="AN3" s="224" t="s">
        <v>603</v>
      </c>
      <c r="AO3" s="225"/>
    </row>
    <row r="4" spans="1:53" s="231" customFormat="1" ht="96" customHeight="1" x14ac:dyDescent="0.25">
      <c r="A4" s="226" t="s">
        <v>0</v>
      </c>
      <c r="B4" s="226" t="s">
        <v>1</v>
      </c>
      <c r="C4" s="968" t="s">
        <v>1458</v>
      </c>
      <c r="D4" s="968" t="s">
        <v>1459</v>
      </c>
      <c r="E4" s="968" t="s">
        <v>933</v>
      </c>
      <c r="F4" s="968" t="s">
        <v>512</v>
      </c>
      <c r="G4" s="968" t="s">
        <v>1515</v>
      </c>
      <c r="H4" s="968" t="s">
        <v>1572</v>
      </c>
      <c r="I4" s="968" t="s">
        <v>1573</v>
      </c>
      <c r="J4" s="968" t="s">
        <v>172</v>
      </c>
      <c r="K4" s="968" t="s">
        <v>1505</v>
      </c>
      <c r="L4" s="968" t="s">
        <v>1506</v>
      </c>
      <c r="M4" s="968" t="s">
        <v>1571</v>
      </c>
      <c r="N4" s="968" t="s">
        <v>632</v>
      </c>
      <c r="O4" s="968" t="s">
        <v>1500</v>
      </c>
      <c r="P4" s="968" t="s">
        <v>160</v>
      </c>
      <c r="Q4" s="968" t="s">
        <v>163</v>
      </c>
      <c r="R4" s="968" t="s">
        <v>604</v>
      </c>
      <c r="S4" s="968" t="s">
        <v>605</v>
      </c>
      <c r="T4" s="968" t="s">
        <v>606</v>
      </c>
      <c r="U4" s="968" t="s">
        <v>607</v>
      </c>
      <c r="V4" s="968" t="s">
        <v>608</v>
      </c>
      <c r="W4" s="968" t="s">
        <v>609</v>
      </c>
      <c r="X4" s="227"/>
      <c r="Y4" s="228" t="s">
        <v>610</v>
      </c>
      <c r="Z4" s="968" t="s">
        <v>179</v>
      </c>
      <c r="AA4" s="968" t="s">
        <v>611</v>
      </c>
      <c r="AB4" s="968" t="s">
        <v>612</v>
      </c>
      <c r="AC4" s="968" t="s">
        <v>613</v>
      </c>
      <c r="AD4" s="968" t="s">
        <v>614</v>
      </c>
      <c r="AE4" s="968" t="s">
        <v>615</v>
      </c>
      <c r="AF4" s="968" t="s">
        <v>616</v>
      </c>
      <c r="AG4" s="968" t="s">
        <v>617</v>
      </c>
      <c r="AH4" s="968" t="s">
        <v>618</v>
      </c>
      <c r="AI4" s="968" t="s">
        <v>619</v>
      </c>
      <c r="AJ4" s="968" t="s">
        <v>620</v>
      </c>
      <c r="AK4" s="968" t="s">
        <v>621</v>
      </c>
      <c r="AL4" s="968"/>
      <c r="AM4" s="226" t="s">
        <v>622</v>
      </c>
      <c r="AN4" s="226" t="s">
        <v>623</v>
      </c>
      <c r="AO4" s="229"/>
      <c r="AP4" s="230"/>
      <c r="AS4" s="231">
        <v>16356</v>
      </c>
      <c r="AZ4" s="231" t="s">
        <v>905</v>
      </c>
    </row>
    <row r="5" spans="1:53" s="231" customFormat="1" ht="45" hidden="1" customHeight="1" x14ac:dyDescent="0.25">
      <c r="A5" s="232"/>
      <c r="B5" s="232"/>
      <c r="C5" s="969"/>
      <c r="D5" s="969"/>
      <c r="E5" s="969"/>
      <c r="F5" s="969"/>
      <c r="G5" s="969"/>
      <c r="H5" s="969"/>
      <c r="I5" s="969"/>
      <c r="J5" s="969"/>
      <c r="K5" s="969"/>
      <c r="L5" s="969"/>
      <c r="M5" s="969"/>
      <c r="N5" s="969"/>
      <c r="O5" s="969"/>
      <c r="P5" s="969"/>
      <c r="Q5" s="969"/>
      <c r="R5" s="969"/>
      <c r="S5" s="969"/>
      <c r="T5" s="969"/>
      <c r="U5" s="969"/>
      <c r="V5" s="969"/>
      <c r="W5" s="969"/>
      <c r="X5" s="739" t="s">
        <v>633</v>
      </c>
      <c r="Y5" s="740" t="s">
        <v>634</v>
      </c>
      <c r="Z5" s="969"/>
      <c r="AA5" s="969"/>
      <c r="AB5" s="969"/>
      <c r="AC5" s="969"/>
      <c r="AD5" s="969"/>
      <c r="AE5" s="969"/>
      <c r="AF5" s="969"/>
      <c r="AG5" s="969"/>
      <c r="AH5" s="969"/>
      <c r="AI5" s="969"/>
      <c r="AJ5" s="969"/>
      <c r="AK5" s="969"/>
      <c r="AL5" s="969"/>
      <c r="AM5" s="232"/>
      <c r="AN5" s="232"/>
      <c r="AO5" s="229"/>
      <c r="AP5" s="230"/>
      <c r="AS5" s="231">
        <v>2482</v>
      </c>
    </row>
    <row r="6" spans="1:53" s="236" customFormat="1" ht="20.25" customHeight="1" x14ac:dyDescent="0.25">
      <c r="A6" s="233"/>
      <c r="B6" s="234" t="s">
        <v>61</v>
      </c>
      <c r="C6" s="970">
        <f>C7+C8</f>
        <v>271031</v>
      </c>
      <c r="D6" s="970">
        <f t="shared" ref="D6" si="0">D7+D8</f>
        <v>205592</v>
      </c>
      <c r="E6" s="970">
        <f>E7+E8</f>
        <v>65439</v>
      </c>
      <c r="F6" s="970"/>
      <c r="G6" s="970"/>
      <c r="H6" s="970"/>
      <c r="I6" s="970"/>
      <c r="J6" s="970"/>
      <c r="K6" s="970"/>
      <c r="L6" s="970"/>
      <c r="M6" s="970"/>
      <c r="N6" s="970"/>
      <c r="O6" s="970"/>
      <c r="P6" s="970"/>
      <c r="Q6" s="970"/>
      <c r="R6" s="970"/>
      <c r="S6" s="970"/>
      <c r="T6" s="970"/>
      <c r="U6" s="970"/>
      <c r="V6" s="970"/>
      <c r="W6" s="970"/>
      <c r="X6" s="970"/>
      <c r="Y6" s="970"/>
      <c r="Z6" s="970"/>
      <c r="AA6" s="970"/>
      <c r="AB6" s="970"/>
      <c r="AC6" s="970"/>
      <c r="AD6" s="970"/>
      <c r="AE6" s="970"/>
      <c r="AF6" s="970"/>
      <c r="AG6" s="970"/>
      <c r="AH6" s="970"/>
      <c r="AI6" s="970"/>
      <c r="AJ6" s="970"/>
      <c r="AK6" s="970"/>
      <c r="AL6" s="970"/>
      <c r="AM6" s="234"/>
      <c r="AN6" s="235"/>
      <c r="AO6" s="231"/>
      <c r="AP6" s="230"/>
    </row>
    <row r="7" spans="1:53" s="231" customFormat="1" ht="24.75" customHeight="1" x14ac:dyDescent="0.25">
      <c r="A7" s="237" t="s">
        <v>9</v>
      </c>
      <c r="B7" s="238" t="s">
        <v>302</v>
      </c>
      <c r="C7" s="971">
        <v>13211</v>
      </c>
      <c r="D7" s="971"/>
      <c r="E7" s="971">
        <f>C7-D7</f>
        <v>13211</v>
      </c>
      <c r="F7" s="971"/>
      <c r="G7" s="971"/>
      <c r="H7" s="971"/>
      <c r="I7" s="971"/>
      <c r="J7" s="971"/>
      <c r="K7" s="971"/>
      <c r="L7" s="971"/>
      <c r="M7" s="971"/>
      <c r="N7" s="971"/>
      <c r="O7" s="971"/>
      <c r="P7" s="971"/>
      <c r="Q7" s="971"/>
      <c r="R7" s="971"/>
      <c r="S7" s="971"/>
      <c r="T7" s="971"/>
      <c r="U7" s="971"/>
      <c r="V7" s="971"/>
      <c r="W7" s="971"/>
      <c r="X7" s="971"/>
      <c r="Y7" s="971"/>
      <c r="Z7" s="971"/>
      <c r="AA7" s="971"/>
      <c r="AB7" s="971"/>
      <c r="AC7" s="971"/>
      <c r="AD7" s="971"/>
      <c r="AE7" s="971"/>
      <c r="AF7" s="971"/>
      <c r="AG7" s="971"/>
      <c r="AH7" s="971"/>
      <c r="AI7" s="971"/>
      <c r="AJ7" s="971"/>
      <c r="AK7" s="971"/>
      <c r="AL7" s="971"/>
      <c r="AM7" s="239"/>
      <c r="AN7" s="112" t="s">
        <v>624</v>
      </c>
      <c r="AP7" s="230"/>
    </row>
    <row r="8" spans="1:53" s="231" customFormat="1" ht="23.25" customHeight="1" x14ac:dyDescent="0.25">
      <c r="A8" s="237" t="s">
        <v>11</v>
      </c>
      <c r="B8" s="238" t="s">
        <v>111</v>
      </c>
      <c r="C8" s="971">
        <f>SUM(C9:C34)+SUM(C45:C46)</f>
        <v>257820</v>
      </c>
      <c r="D8" s="971">
        <f>SUM(D9:D34)+SUM(D45:D46)</f>
        <v>205592</v>
      </c>
      <c r="E8" s="971">
        <f>SUM(E9:E34)+SUM(E45:E46)</f>
        <v>52228</v>
      </c>
      <c r="F8" s="971">
        <f>SUM(F9:F34)+F45</f>
        <v>138000</v>
      </c>
      <c r="G8" s="971"/>
      <c r="H8" s="971"/>
      <c r="I8" s="971"/>
      <c r="J8" s="971"/>
      <c r="K8" s="971">
        <f>SUM(K9:K34)+K45</f>
        <v>3200</v>
      </c>
      <c r="L8" s="971">
        <f>SUM(L9:L34)+L45</f>
        <v>646</v>
      </c>
      <c r="M8" s="971"/>
      <c r="N8" s="971">
        <f>SUM(N9:N46)</f>
        <v>550</v>
      </c>
      <c r="O8" s="971"/>
      <c r="P8" s="971">
        <f t="shared" ref="P8:AB8" si="1">SUM(P9:P46)</f>
        <v>3100</v>
      </c>
      <c r="Q8" s="971">
        <f t="shared" si="1"/>
        <v>614</v>
      </c>
      <c r="R8" s="971">
        <f t="shared" si="1"/>
        <v>0</v>
      </c>
      <c r="S8" s="971">
        <f t="shared" si="1"/>
        <v>1310</v>
      </c>
      <c r="T8" s="971">
        <f t="shared" si="1"/>
        <v>940</v>
      </c>
      <c r="U8" s="971">
        <f t="shared" si="1"/>
        <v>1922</v>
      </c>
      <c r="V8" s="971">
        <f t="shared" si="1"/>
        <v>5028</v>
      </c>
      <c r="W8" s="971">
        <f t="shared" si="1"/>
        <v>49565</v>
      </c>
      <c r="X8" s="971">
        <f t="shared" si="1"/>
        <v>14938</v>
      </c>
      <c r="Y8" s="971">
        <f t="shared" si="1"/>
        <v>7957</v>
      </c>
      <c r="Z8" s="971">
        <f t="shared" si="1"/>
        <v>1500</v>
      </c>
      <c r="AA8" s="971">
        <f t="shared" si="1"/>
        <v>11550</v>
      </c>
      <c r="AB8" s="971">
        <f t="shared" si="1"/>
        <v>209</v>
      </c>
      <c r="AC8" s="971">
        <f>SUM(AC9:AC34)+AC45+AC46</f>
        <v>70444</v>
      </c>
      <c r="AD8" s="971"/>
      <c r="AE8" s="971"/>
      <c r="AF8" s="971"/>
      <c r="AG8" s="971"/>
      <c r="AH8" s="971"/>
      <c r="AI8" s="971"/>
      <c r="AJ8" s="971"/>
      <c r="AK8" s="971"/>
      <c r="AL8" s="971"/>
      <c r="AM8" s="239"/>
      <c r="AN8" s="238"/>
      <c r="AS8" s="231">
        <v>2553</v>
      </c>
      <c r="AV8" s="240">
        <f>SUM(AV9:AV14)</f>
        <v>35607</v>
      </c>
      <c r="AW8" s="240">
        <f>SUM(AW9:AW14)</f>
        <v>1</v>
      </c>
      <c r="AX8" s="240">
        <f>SUM(AX9:AX14)</f>
        <v>7029</v>
      </c>
      <c r="AY8" s="240">
        <v>42636</v>
      </c>
      <c r="AZ8" s="240">
        <f>AY8-AV8</f>
        <v>7029</v>
      </c>
    </row>
    <row r="9" spans="1:53" s="243" customFormat="1" ht="27" customHeight="1" x14ac:dyDescent="0.25">
      <c r="A9" s="241">
        <v>1</v>
      </c>
      <c r="B9" s="112" t="s">
        <v>1460</v>
      </c>
      <c r="C9" s="965">
        <v>560</v>
      </c>
      <c r="D9" s="965">
        <f>470+90</f>
        <v>560</v>
      </c>
      <c r="E9" s="965">
        <f>C9-D9</f>
        <v>0</v>
      </c>
      <c r="F9" s="965">
        <f>G9</f>
        <v>560</v>
      </c>
      <c r="G9" s="965">
        <f>90+470</f>
        <v>560</v>
      </c>
      <c r="H9" s="965"/>
      <c r="I9" s="965"/>
      <c r="J9" s="965"/>
      <c r="K9" s="965"/>
      <c r="L9" s="965"/>
      <c r="M9" s="965"/>
      <c r="N9" s="965"/>
      <c r="O9" s="965"/>
      <c r="P9" s="965"/>
      <c r="Q9" s="965"/>
      <c r="R9" s="965"/>
      <c r="S9" s="965"/>
      <c r="T9" s="965"/>
      <c r="U9" s="965"/>
      <c r="V9" s="965"/>
      <c r="W9" s="965"/>
      <c r="X9" s="965"/>
      <c r="Y9" s="965"/>
      <c r="Z9" s="965"/>
      <c r="AA9" s="965"/>
      <c r="AB9" s="965"/>
      <c r="AC9" s="965"/>
      <c r="AD9" s="965"/>
      <c r="AE9" s="965"/>
      <c r="AF9" s="965"/>
      <c r="AG9" s="965"/>
      <c r="AH9" s="965"/>
      <c r="AI9" s="965"/>
      <c r="AJ9" s="965"/>
      <c r="AK9" s="965"/>
      <c r="AL9" s="965"/>
      <c r="AM9" s="242"/>
      <c r="AN9" s="112"/>
      <c r="AU9" s="243" t="s">
        <v>598</v>
      </c>
      <c r="AV9" s="244">
        <v>8108</v>
      </c>
      <c r="AW9" s="243">
        <f>AV9/$AV$8</f>
        <v>0.2277080349369506</v>
      </c>
      <c r="AX9" s="243">
        <f>AW9*$AZ$8</f>
        <v>1600.5597775718259</v>
      </c>
      <c r="AY9" s="244">
        <f>AV9+AX9</f>
        <v>9708.5597775718252</v>
      </c>
      <c r="AZ9" s="243">
        <v>8134</v>
      </c>
      <c r="BA9" s="244">
        <f>AY9-AZ9</f>
        <v>1574.5597775718252</v>
      </c>
    </row>
    <row r="10" spans="1:53" s="243" customFormat="1" ht="22.5" customHeight="1" x14ac:dyDescent="0.25">
      <c r="A10" s="241">
        <v>2</v>
      </c>
      <c r="B10" s="112" t="s">
        <v>534</v>
      </c>
      <c r="C10" s="965">
        <v>550</v>
      </c>
      <c r="D10" s="965">
        <f>C10</f>
        <v>550</v>
      </c>
      <c r="E10" s="275">
        <f>C10-D10</f>
        <v>0</v>
      </c>
      <c r="F10" s="965">
        <f>N10</f>
        <v>550</v>
      </c>
      <c r="G10" s="965"/>
      <c r="H10" s="965"/>
      <c r="I10" s="965"/>
      <c r="J10" s="965"/>
      <c r="K10" s="965"/>
      <c r="L10" s="965"/>
      <c r="M10" s="965"/>
      <c r="N10" s="965">
        <v>550</v>
      </c>
      <c r="O10" s="965"/>
      <c r="P10" s="965"/>
      <c r="Q10" s="965"/>
      <c r="R10" s="965"/>
      <c r="S10" s="965"/>
      <c r="T10" s="965"/>
      <c r="U10" s="965"/>
      <c r="V10" s="965"/>
      <c r="W10" s="965"/>
      <c r="X10" s="965"/>
      <c r="Y10" s="965"/>
      <c r="Z10" s="965"/>
      <c r="AA10" s="965"/>
      <c r="AB10" s="965"/>
      <c r="AC10" s="965"/>
      <c r="AD10" s="965"/>
      <c r="AE10" s="965"/>
      <c r="AF10" s="965"/>
      <c r="AG10" s="965"/>
      <c r="AH10" s="965"/>
      <c r="AI10" s="965"/>
      <c r="AJ10" s="965"/>
      <c r="AK10" s="965"/>
      <c r="AL10" s="965"/>
      <c r="AM10" s="242"/>
      <c r="AN10" s="112"/>
      <c r="AU10" s="243" t="s">
        <v>593</v>
      </c>
      <c r="AV10" s="244">
        <v>1479</v>
      </c>
      <c r="AW10" s="243">
        <f t="shared" ref="AW10:AW15" si="2">AV10/$AV$8</f>
        <v>4.153677647653551E-2</v>
      </c>
      <c r="AX10" s="243">
        <f t="shared" ref="AX10:AX15" si="3">AW10*$AZ$8</f>
        <v>291.9620018535681</v>
      </c>
      <c r="AY10" s="244">
        <f t="shared" ref="AY10:AY15" si="4">AV10+AX10</f>
        <v>1770.9620018535682</v>
      </c>
      <c r="AZ10" s="243">
        <v>529</v>
      </c>
      <c r="BA10" s="244">
        <f t="shared" ref="BA10:BA14" si="5">AY10-AZ10</f>
        <v>1241.9620018535682</v>
      </c>
    </row>
    <row r="11" spans="1:53" s="243" customFormat="1" ht="41.25" customHeight="1" x14ac:dyDescent="0.25">
      <c r="A11" s="241">
        <v>3</v>
      </c>
      <c r="B11" s="112" t="s">
        <v>535</v>
      </c>
      <c r="C11" s="965">
        <v>614</v>
      </c>
      <c r="D11" s="965">
        <f>C11</f>
        <v>614</v>
      </c>
      <c r="E11" s="275">
        <f t="shared" ref="E11:E45" si="6">C11-D11</f>
        <v>0</v>
      </c>
      <c r="F11" s="965">
        <f>Q11</f>
        <v>614</v>
      </c>
      <c r="G11" s="965"/>
      <c r="H11" s="965"/>
      <c r="I11" s="965"/>
      <c r="J11" s="965"/>
      <c r="K11" s="965"/>
      <c r="L11" s="965"/>
      <c r="M11" s="965"/>
      <c r="N11" s="965"/>
      <c r="O11" s="965"/>
      <c r="P11" s="965"/>
      <c r="Q11" s="965">
        <v>614</v>
      </c>
      <c r="R11" s="965"/>
      <c r="S11" s="965"/>
      <c r="T11" s="965"/>
      <c r="U11" s="965"/>
      <c r="V11" s="965"/>
      <c r="W11" s="965"/>
      <c r="X11" s="965"/>
      <c r="Y11" s="965"/>
      <c r="Z11" s="965"/>
      <c r="AA11" s="965"/>
      <c r="AB11" s="965"/>
      <c r="AC11" s="965"/>
      <c r="AD11" s="965"/>
      <c r="AE11" s="965"/>
      <c r="AF11" s="965"/>
      <c r="AG11" s="965"/>
      <c r="AH11" s="965"/>
      <c r="AI11" s="965"/>
      <c r="AJ11" s="965"/>
      <c r="AK11" s="965"/>
      <c r="AL11" s="965"/>
      <c r="AM11" s="242"/>
      <c r="AN11" s="112"/>
      <c r="AS11" s="243">
        <v>2113</v>
      </c>
      <c r="AU11" s="243" t="s">
        <v>595</v>
      </c>
      <c r="AV11" s="244">
        <v>3822</v>
      </c>
      <c r="AW11" s="243">
        <f t="shared" si="2"/>
        <v>0.10733844468784227</v>
      </c>
      <c r="AX11" s="243">
        <f t="shared" si="3"/>
        <v>754.48192771084337</v>
      </c>
      <c r="AY11" s="244">
        <f t="shared" si="4"/>
        <v>4576.4819277108436</v>
      </c>
      <c r="AZ11" s="243">
        <v>3575</v>
      </c>
      <c r="BA11" s="244">
        <f t="shared" si="5"/>
        <v>1001.4819277108436</v>
      </c>
    </row>
    <row r="12" spans="1:53" s="243" customFormat="1" ht="51.75" customHeight="1" x14ac:dyDescent="0.25">
      <c r="A12" s="241">
        <v>4</v>
      </c>
      <c r="B12" s="112" t="s">
        <v>536</v>
      </c>
      <c r="C12" s="965">
        <f t="shared" ref="C12:C18" si="7">F12+AC12</f>
        <v>23479</v>
      </c>
      <c r="D12" s="965">
        <f>Y12+AA12+AC12</f>
        <v>23285</v>
      </c>
      <c r="E12" s="275">
        <f t="shared" si="6"/>
        <v>194</v>
      </c>
      <c r="F12" s="965">
        <f>SUM(Y12:AB12)</f>
        <v>3635</v>
      </c>
      <c r="G12" s="965"/>
      <c r="H12" s="965"/>
      <c r="I12" s="965"/>
      <c r="J12" s="965"/>
      <c r="K12" s="965"/>
      <c r="L12" s="965"/>
      <c r="M12" s="965"/>
      <c r="N12" s="965"/>
      <c r="O12" s="965"/>
      <c r="P12" s="965"/>
      <c r="Q12" s="965"/>
      <c r="R12" s="965"/>
      <c r="S12" s="965"/>
      <c r="T12" s="965"/>
      <c r="U12" s="965"/>
      <c r="V12" s="965"/>
      <c r="W12" s="965"/>
      <c r="X12" s="965"/>
      <c r="Y12" s="965">
        <v>1181</v>
      </c>
      <c r="Z12" s="965"/>
      <c r="AA12" s="965">
        <v>2260</v>
      </c>
      <c r="AB12" s="965">
        <v>194</v>
      </c>
      <c r="AC12" s="965">
        <f>SUM(AD12:AK12)</f>
        <v>19844</v>
      </c>
      <c r="AD12" s="965">
        <v>336</v>
      </c>
      <c r="AE12" s="965">
        <v>1665</v>
      </c>
      <c r="AF12" s="965">
        <v>1663</v>
      </c>
      <c r="AG12" s="965">
        <v>2300</v>
      </c>
      <c r="AH12" s="965">
        <v>3153</v>
      </c>
      <c r="AI12" s="965">
        <v>2888</v>
      </c>
      <c r="AJ12" s="965">
        <v>3804</v>
      </c>
      <c r="AK12" s="965">
        <v>4035</v>
      </c>
      <c r="AL12" s="965"/>
      <c r="AM12" s="242"/>
      <c r="AN12" s="112"/>
      <c r="AU12" s="243" t="s">
        <v>594</v>
      </c>
      <c r="AV12" s="244">
        <v>4087</v>
      </c>
      <c r="AW12" s="243">
        <f t="shared" si="2"/>
        <v>0.11478080152778948</v>
      </c>
      <c r="AX12" s="243">
        <f t="shared" si="3"/>
        <v>806.7942539388323</v>
      </c>
      <c r="AY12" s="244">
        <f t="shared" si="4"/>
        <v>4893.7942539388323</v>
      </c>
      <c r="AZ12" s="243">
        <v>3196</v>
      </c>
      <c r="BA12" s="244">
        <f t="shared" si="5"/>
        <v>1697.7942539388323</v>
      </c>
    </row>
    <row r="13" spans="1:53" s="243" customFormat="1" ht="36" customHeight="1" x14ac:dyDescent="0.25">
      <c r="A13" s="241">
        <v>5</v>
      </c>
      <c r="B13" s="112" t="s">
        <v>537</v>
      </c>
      <c r="C13" s="965">
        <f t="shared" si="7"/>
        <v>12042</v>
      </c>
      <c r="D13" s="965">
        <f>C13</f>
        <v>12042</v>
      </c>
      <c r="E13" s="275">
        <f t="shared" si="6"/>
        <v>0</v>
      </c>
      <c r="F13" s="965">
        <f>SUM(Y13:AB13)</f>
        <v>1521</v>
      </c>
      <c r="G13" s="965"/>
      <c r="H13" s="965"/>
      <c r="I13" s="965"/>
      <c r="J13" s="965"/>
      <c r="K13" s="965"/>
      <c r="L13" s="965"/>
      <c r="M13" s="965"/>
      <c r="N13" s="965"/>
      <c r="O13" s="965"/>
      <c r="P13" s="965"/>
      <c r="Q13" s="965"/>
      <c r="R13" s="965"/>
      <c r="S13" s="965"/>
      <c r="T13" s="965"/>
      <c r="U13" s="965"/>
      <c r="V13" s="965"/>
      <c r="W13" s="965"/>
      <c r="X13" s="965">
        <f>14938</f>
        <v>14938</v>
      </c>
      <c r="Y13" s="965">
        <v>1521</v>
      </c>
      <c r="Z13" s="965"/>
      <c r="AA13" s="965"/>
      <c r="AB13" s="965"/>
      <c r="AC13" s="965">
        <f>SUM(AD13:AK13)</f>
        <v>10521</v>
      </c>
      <c r="AD13" s="965"/>
      <c r="AE13" s="965">
        <v>2163</v>
      </c>
      <c r="AF13" s="965">
        <v>-235</v>
      </c>
      <c r="AG13" s="965">
        <v>728</v>
      </c>
      <c r="AH13" s="965">
        <v>2433</v>
      </c>
      <c r="AI13" s="965">
        <v>3206</v>
      </c>
      <c r="AJ13" s="1124">
        <v>631</v>
      </c>
      <c r="AK13" s="965">
        <v>1595</v>
      </c>
      <c r="AL13" s="965"/>
      <c r="AM13" s="242"/>
      <c r="AN13" s="112"/>
      <c r="AU13" s="243" t="s">
        <v>596</v>
      </c>
      <c r="AV13" s="244">
        <v>3719</v>
      </c>
      <c r="AW13" s="243">
        <f t="shared" si="2"/>
        <v>0.10444575504816468</v>
      </c>
      <c r="AX13" s="243">
        <f t="shared" si="3"/>
        <v>734.14921223354952</v>
      </c>
      <c r="AY13" s="244">
        <f t="shared" si="4"/>
        <v>4453.1492122335494</v>
      </c>
      <c r="AZ13" s="243">
        <v>2560</v>
      </c>
      <c r="BA13" s="244">
        <f t="shared" si="5"/>
        <v>1893.1492122335494</v>
      </c>
    </row>
    <row r="14" spans="1:53" s="243" customFormat="1" ht="15.75" hidden="1" customHeight="1" x14ac:dyDescent="0.25">
      <c r="A14" s="241">
        <v>6</v>
      </c>
      <c r="B14" s="112" t="s">
        <v>538</v>
      </c>
      <c r="C14" s="965">
        <f t="shared" si="7"/>
        <v>0</v>
      </c>
      <c r="D14" s="965">
        <f t="shared" ref="D14:D16" si="8">C14</f>
        <v>0</v>
      </c>
      <c r="E14" s="275">
        <f t="shared" si="6"/>
        <v>0</v>
      </c>
      <c r="F14" s="965"/>
      <c r="G14" s="965"/>
      <c r="H14" s="965"/>
      <c r="I14" s="965"/>
      <c r="J14" s="965"/>
      <c r="K14" s="965"/>
      <c r="L14" s="965"/>
      <c r="M14" s="965"/>
      <c r="N14" s="965"/>
      <c r="O14" s="965"/>
      <c r="P14" s="965"/>
      <c r="Q14" s="965"/>
      <c r="R14" s="965"/>
      <c r="S14" s="965"/>
      <c r="T14" s="965"/>
      <c r="U14" s="965"/>
      <c r="V14" s="965"/>
      <c r="W14" s="965"/>
      <c r="X14" s="965"/>
      <c r="Y14" s="965"/>
      <c r="Z14" s="965"/>
      <c r="AA14" s="965"/>
      <c r="AB14" s="965"/>
      <c r="AC14" s="965"/>
      <c r="AD14" s="1124"/>
      <c r="AE14" s="965"/>
      <c r="AF14" s="1124"/>
      <c r="AG14" s="965"/>
      <c r="AH14" s="965"/>
      <c r="AI14" s="965"/>
      <c r="AJ14" s="965"/>
      <c r="AK14" s="965"/>
      <c r="AL14" s="965"/>
      <c r="AM14" s="242"/>
      <c r="AN14" s="112"/>
      <c r="AU14" s="243" t="s">
        <v>599</v>
      </c>
      <c r="AV14" s="244">
        <v>14392</v>
      </c>
      <c r="AW14" s="243">
        <f t="shared" si="2"/>
        <v>0.40419018732271744</v>
      </c>
      <c r="AX14" s="243">
        <f t="shared" si="3"/>
        <v>2841.0528266913807</v>
      </c>
      <c r="AY14" s="244">
        <f t="shared" si="4"/>
        <v>17233.052826691383</v>
      </c>
      <c r="AZ14" s="243">
        <v>11417</v>
      </c>
      <c r="BA14" s="244">
        <f t="shared" si="5"/>
        <v>5816.0528266913825</v>
      </c>
    </row>
    <row r="15" spans="1:53" s="243" customFormat="1" ht="27" customHeight="1" x14ac:dyDescent="0.25">
      <c r="A15" s="241">
        <v>6</v>
      </c>
      <c r="B15" s="112" t="s">
        <v>539</v>
      </c>
      <c r="C15" s="965">
        <f t="shared" si="7"/>
        <v>4931</v>
      </c>
      <c r="D15" s="965">
        <f t="shared" si="8"/>
        <v>4931</v>
      </c>
      <c r="E15" s="275">
        <f t="shared" si="6"/>
        <v>0</v>
      </c>
      <c r="F15" s="965">
        <v>4931</v>
      </c>
      <c r="G15" s="965"/>
      <c r="H15" s="965"/>
      <c r="I15" s="965"/>
      <c r="J15" s="965"/>
      <c r="K15" s="965"/>
      <c r="L15" s="965"/>
      <c r="M15" s="965"/>
      <c r="N15" s="965"/>
      <c r="O15" s="965"/>
      <c r="P15" s="965"/>
      <c r="Q15" s="965"/>
      <c r="R15" s="965"/>
      <c r="S15" s="965"/>
      <c r="T15" s="965"/>
      <c r="U15" s="965"/>
      <c r="V15" s="965"/>
      <c r="W15" s="965"/>
      <c r="X15" s="965"/>
      <c r="Y15" s="965">
        <f>F15</f>
        <v>4931</v>
      </c>
      <c r="Z15" s="965"/>
      <c r="AA15" s="965"/>
      <c r="AB15" s="965"/>
      <c r="AC15" s="965"/>
      <c r="AD15" s="965"/>
      <c r="AE15" s="965"/>
      <c r="AF15" s="965"/>
      <c r="AG15" s="965"/>
      <c r="AH15" s="965"/>
      <c r="AI15" s="965"/>
      <c r="AJ15" s="965"/>
      <c r="AK15" s="965"/>
      <c r="AL15" s="965"/>
      <c r="AM15" s="242"/>
      <c r="AN15" s="112"/>
      <c r="AS15" s="243">
        <v>1928</v>
      </c>
      <c r="AU15" s="243" t="s">
        <v>904</v>
      </c>
      <c r="AV15" s="244">
        <v>14944</v>
      </c>
      <c r="AW15" s="243">
        <f t="shared" si="2"/>
        <v>0.41969275704215464</v>
      </c>
      <c r="AX15" s="243">
        <f t="shared" si="3"/>
        <v>2950.020389249305</v>
      </c>
      <c r="AY15" s="244">
        <f t="shared" si="4"/>
        <v>17894.020389249305</v>
      </c>
      <c r="BA15" s="244"/>
    </row>
    <row r="16" spans="1:53" s="243" customFormat="1" ht="37.5" customHeight="1" x14ac:dyDescent="0.25">
      <c r="A16" s="241">
        <v>7</v>
      </c>
      <c r="B16" s="113" t="s">
        <v>540</v>
      </c>
      <c r="C16" s="965">
        <f t="shared" si="7"/>
        <v>2835</v>
      </c>
      <c r="D16" s="965">
        <f t="shared" si="8"/>
        <v>2835</v>
      </c>
      <c r="E16" s="275">
        <f t="shared" si="6"/>
        <v>0</v>
      </c>
      <c r="F16" s="965">
        <f>Y16</f>
        <v>324</v>
      </c>
      <c r="G16" s="965"/>
      <c r="H16" s="965"/>
      <c r="I16" s="965"/>
      <c r="J16" s="965"/>
      <c r="K16" s="965"/>
      <c r="L16" s="965"/>
      <c r="M16" s="965"/>
      <c r="N16" s="965"/>
      <c r="O16" s="965"/>
      <c r="P16" s="965"/>
      <c r="Q16" s="965"/>
      <c r="R16" s="965"/>
      <c r="S16" s="965"/>
      <c r="T16" s="965"/>
      <c r="U16" s="965"/>
      <c r="V16" s="965"/>
      <c r="W16" s="965"/>
      <c r="X16" s="965"/>
      <c r="Y16" s="965">
        <v>324</v>
      </c>
      <c r="Z16" s="965"/>
      <c r="AA16" s="965"/>
      <c r="AB16" s="965"/>
      <c r="AC16" s="965">
        <f>SUM(AD16:AK16)</f>
        <v>2511</v>
      </c>
      <c r="AD16" s="965">
        <v>42</v>
      </c>
      <c r="AE16" s="965">
        <v>483</v>
      </c>
      <c r="AF16" s="965">
        <f>221-16</f>
        <v>205</v>
      </c>
      <c r="AG16" s="965">
        <v>203</v>
      </c>
      <c r="AH16" s="965">
        <v>356</v>
      </c>
      <c r="AI16" s="965">
        <f>16+370</f>
        <v>386</v>
      </c>
      <c r="AJ16" s="965">
        <v>505</v>
      </c>
      <c r="AK16" s="965">
        <v>331</v>
      </c>
      <c r="AL16" s="965"/>
      <c r="AM16" s="242"/>
      <c r="AN16" s="112"/>
      <c r="AV16" s="240">
        <f>AV15+AY16</f>
        <v>57580</v>
      </c>
      <c r="AY16" s="240">
        <f>SUM(AY9:AY14)</f>
        <v>42636</v>
      </c>
      <c r="AZ16" s="240">
        <f>SUM(AZ9:AZ14)</f>
        <v>29411</v>
      </c>
      <c r="BA16" s="240">
        <f>SUM(BA9:BA14)</f>
        <v>13225</v>
      </c>
    </row>
    <row r="17" spans="1:45" s="243" customFormat="1" ht="31.5" x14ac:dyDescent="0.25">
      <c r="A17" s="241">
        <v>8</v>
      </c>
      <c r="B17" s="112" t="s">
        <v>541</v>
      </c>
      <c r="C17" s="965">
        <f t="shared" si="7"/>
        <v>5805</v>
      </c>
      <c r="D17" s="965">
        <f>Z17+AA17</f>
        <v>5790</v>
      </c>
      <c r="E17" s="275">
        <f>C17-D17</f>
        <v>15</v>
      </c>
      <c r="F17" s="965">
        <f>Z17+AA17+AB17</f>
        <v>5805</v>
      </c>
      <c r="G17" s="965"/>
      <c r="H17" s="965"/>
      <c r="I17" s="965"/>
      <c r="J17" s="965"/>
      <c r="K17" s="965"/>
      <c r="L17" s="965"/>
      <c r="M17" s="965"/>
      <c r="N17" s="965"/>
      <c r="O17" s="965"/>
      <c r="P17" s="965"/>
      <c r="Q17" s="965"/>
      <c r="R17" s="965"/>
      <c r="S17" s="965"/>
      <c r="T17" s="965"/>
      <c r="U17" s="965"/>
      <c r="V17" s="965"/>
      <c r="W17" s="965"/>
      <c r="X17" s="965"/>
      <c r="Y17" s="965"/>
      <c r="Z17" s="965">
        <v>1500</v>
      </c>
      <c r="AA17" s="965">
        <v>4290</v>
      </c>
      <c r="AB17" s="965">
        <v>15</v>
      </c>
      <c r="AC17" s="965"/>
      <c r="AD17" s="965"/>
      <c r="AE17" s="965"/>
      <c r="AF17" s="965"/>
      <c r="AG17" s="965"/>
      <c r="AH17" s="965"/>
      <c r="AI17" s="965"/>
      <c r="AJ17" s="965"/>
      <c r="AK17" s="965"/>
      <c r="AL17" s="965"/>
      <c r="AM17" s="242"/>
      <c r="AN17" s="112"/>
    </row>
    <row r="18" spans="1:45" s="243" customFormat="1" ht="34.5" customHeight="1" x14ac:dyDescent="0.25">
      <c r="A18" s="241">
        <v>9</v>
      </c>
      <c r="B18" s="112" t="s">
        <v>542</v>
      </c>
      <c r="C18" s="965">
        <f t="shared" si="7"/>
        <v>2028</v>
      </c>
      <c r="D18" s="965">
        <f>V18</f>
        <v>2028</v>
      </c>
      <c r="E18" s="275">
        <f t="shared" si="6"/>
        <v>0</v>
      </c>
      <c r="F18" s="965">
        <f>V18</f>
        <v>2028</v>
      </c>
      <c r="G18" s="965"/>
      <c r="H18" s="965"/>
      <c r="I18" s="965"/>
      <c r="J18" s="965"/>
      <c r="K18" s="965"/>
      <c r="L18" s="965"/>
      <c r="M18" s="965"/>
      <c r="N18" s="965"/>
      <c r="O18" s="965"/>
      <c r="P18" s="965"/>
      <c r="Q18" s="965"/>
      <c r="R18" s="965"/>
      <c r="S18" s="965"/>
      <c r="T18" s="965"/>
      <c r="U18" s="965"/>
      <c r="V18" s="965">
        <v>2028</v>
      </c>
      <c r="W18" s="965"/>
      <c r="X18" s="965"/>
      <c r="Y18" s="965"/>
      <c r="Z18" s="965"/>
      <c r="AA18" s="965"/>
      <c r="AB18" s="965"/>
      <c r="AC18" s="965"/>
      <c r="AD18" s="965"/>
      <c r="AE18" s="965"/>
      <c r="AF18" s="965"/>
      <c r="AG18" s="965"/>
      <c r="AH18" s="965"/>
      <c r="AI18" s="965"/>
      <c r="AJ18" s="965"/>
      <c r="AK18" s="965"/>
      <c r="AL18" s="965"/>
      <c r="AM18" s="242"/>
      <c r="AN18" s="112"/>
    </row>
    <row r="19" spans="1:45" s="243" customFormat="1" ht="26.25" customHeight="1" x14ac:dyDescent="0.25">
      <c r="A19" s="241">
        <v>10</v>
      </c>
      <c r="B19" s="112" t="s">
        <v>1461</v>
      </c>
      <c r="C19" s="965">
        <v>280</v>
      </c>
      <c r="D19" s="965">
        <f>C19</f>
        <v>280</v>
      </c>
      <c r="E19" s="275"/>
      <c r="F19" s="965">
        <f>U19</f>
        <v>280</v>
      </c>
      <c r="G19" s="965"/>
      <c r="H19" s="965"/>
      <c r="I19" s="965"/>
      <c r="J19" s="965"/>
      <c r="K19" s="965"/>
      <c r="L19" s="965"/>
      <c r="M19" s="965"/>
      <c r="N19" s="965"/>
      <c r="O19" s="965"/>
      <c r="P19" s="965"/>
      <c r="Q19" s="965"/>
      <c r="R19" s="965"/>
      <c r="S19" s="965"/>
      <c r="T19" s="965"/>
      <c r="U19" s="965">
        <v>280</v>
      </c>
      <c r="V19" s="965"/>
      <c r="W19" s="965"/>
      <c r="X19" s="965"/>
      <c r="Y19" s="965"/>
      <c r="Z19" s="965"/>
      <c r="AA19" s="965"/>
      <c r="AB19" s="965"/>
      <c r="AC19" s="965"/>
      <c r="AD19" s="965"/>
      <c r="AE19" s="965"/>
      <c r="AF19" s="965"/>
      <c r="AG19" s="965"/>
      <c r="AH19" s="965"/>
      <c r="AI19" s="965"/>
      <c r="AJ19" s="965"/>
      <c r="AK19" s="965"/>
      <c r="AL19" s="965"/>
      <c r="AM19" s="242"/>
      <c r="AN19" s="112"/>
    </row>
    <row r="20" spans="1:45" s="243" customFormat="1" ht="52.5" customHeight="1" x14ac:dyDescent="0.25">
      <c r="A20" s="241">
        <v>11</v>
      </c>
      <c r="B20" s="112" t="s">
        <v>543</v>
      </c>
      <c r="C20" s="965">
        <f>F20+AC20</f>
        <v>42850</v>
      </c>
      <c r="D20" s="965">
        <f>C20</f>
        <v>42850</v>
      </c>
      <c r="E20" s="275">
        <f t="shared" si="6"/>
        <v>0</v>
      </c>
      <c r="F20" s="965">
        <f>W20</f>
        <v>42850</v>
      </c>
      <c r="G20" s="965"/>
      <c r="H20" s="965"/>
      <c r="I20" s="965"/>
      <c r="J20" s="965"/>
      <c r="K20" s="965"/>
      <c r="L20" s="965"/>
      <c r="M20" s="965"/>
      <c r="N20" s="965"/>
      <c r="O20" s="965"/>
      <c r="P20" s="965"/>
      <c r="Q20" s="965"/>
      <c r="R20" s="965"/>
      <c r="S20" s="965"/>
      <c r="T20" s="965"/>
      <c r="U20" s="965"/>
      <c r="V20" s="965"/>
      <c r="W20" s="965">
        <f>42850</f>
        <v>42850</v>
      </c>
      <c r="X20" s="965"/>
      <c r="Y20" s="965"/>
      <c r="Z20" s="965"/>
      <c r="AA20" s="965"/>
      <c r="AB20" s="965"/>
      <c r="AC20" s="965"/>
      <c r="AD20" s="965"/>
      <c r="AE20" s="965"/>
      <c r="AF20" s="965"/>
      <c r="AG20" s="965"/>
      <c r="AH20" s="965"/>
      <c r="AI20" s="965"/>
      <c r="AJ20" s="965"/>
      <c r="AK20" s="965"/>
      <c r="AL20" s="965"/>
      <c r="AM20" s="242"/>
      <c r="AN20" s="112"/>
    </row>
    <row r="21" spans="1:45" s="243" customFormat="1" ht="21.75" customHeight="1" x14ac:dyDescent="0.25">
      <c r="A21" s="241">
        <v>12</v>
      </c>
      <c r="B21" s="112" t="s">
        <v>544</v>
      </c>
      <c r="C21" s="965">
        <f>F21+AC21</f>
        <v>4766</v>
      </c>
      <c r="D21" s="965">
        <f t="shared" ref="D21:D22" si="9">C21</f>
        <v>4766</v>
      </c>
      <c r="E21" s="275">
        <f t="shared" si="6"/>
        <v>0</v>
      </c>
      <c r="F21" s="965">
        <f>W21</f>
        <v>4766</v>
      </c>
      <c r="G21" s="965"/>
      <c r="H21" s="965"/>
      <c r="I21" s="965"/>
      <c r="J21" s="965"/>
      <c r="K21" s="965"/>
      <c r="L21" s="965"/>
      <c r="M21" s="965"/>
      <c r="N21" s="965"/>
      <c r="O21" s="965"/>
      <c r="P21" s="965"/>
      <c r="Q21" s="965"/>
      <c r="R21" s="965"/>
      <c r="S21" s="965"/>
      <c r="T21" s="965"/>
      <c r="U21" s="965"/>
      <c r="V21" s="965"/>
      <c r="W21" s="965">
        <v>4766</v>
      </c>
      <c r="X21" s="965"/>
      <c r="Y21" s="965"/>
      <c r="Z21" s="965"/>
      <c r="AA21" s="965"/>
      <c r="AB21" s="965"/>
      <c r="AC21" s="965"/>
      <c r="AD21" s="965"/>
      <c r="AE21" s="965"/>
      <c r="AF21" s="965"/>
      <c r="AG21" s="965"/>
      <c r="AH21" s="965"/>
      <c r="AI21" s="965"/>
      <c r="AJ21" s="965"/>
      <c r="AK21" s="965"/>
      <c r="AL21" s="965"/>
      <c r="AM21" s="242"/>
      <c r="AN21" s="112"/>
      <c r="AS21" s="243">
        <v>2898</v>
      </c>
    </row>
    <row r="22" spans="1:45" s="243" customFormat="1" ht="54" customHeight="1" x14ac:dyDescent="0.25">
      <c r="A22" s="241">
        <v>13</v>
      </c>
      <c r="B22" s="112" t="s">
        <v>1497</v>
      </c>
      <c r="C22" s="965">
        <f>2226-277</f>
        <v>1949</v>
      </c>
      <c r="D22" s="965">
        <f t="shared" si="9"/>
        <v>1949</v>
      </c>
      <c r="E22" s="275">
        <f t="shared" si="6"/>
        <v>0</v>
      </c>
      <c r="F22" s="965">
        <f>W22</f>
        <v>1949</v>
      </c>
      <c r="G22" s="965"/>
      <c r="H22" s="965"/>
      <c r="I22" s="965"/>
      <c r="J22" s="965"/>
      <c r="K22" s="965"/>
      <c r="L22" s="965"/>
      <c r="M22" s="965"/>
      <c r="N22" s="965"/>
      <c r="O22" s="965"/>
      <c r="P22" s="965"/>
      <c r="Q22" s="965"/>
      <c r="R22" s="965"/>
      <c r="S22" s="965"/>
      <c r="T22" s="965"/>
      <c r="U22" s="965"/>
      <c r="V22" s="965"/>
      <c r="W22" s="965">
        <f>C22</f>
        <v>1949</v>
      </c>
      <c r="X22" s="965"/>
      <c r="Y22" s="965"/>
      <c r="Z22" s="965"/>
      <c r="AA22" s="965"/>
      <c r="AB22" s="965"/>
      <c r="AC22" s="965"/>
      <c r="AD22" s="965"/>
      <c r="AE22" s="965"/>
      <c r="AF22" s="965"/>
      <c r="AG22" s="965"/>
      <c r="AH22" s="965"/>
      <c r="AI22" s="965"/>
      <c r="AJ22" s="965"/>
      <c r="AK22" s="965"/>
      <c r="AL22" s="965"/>
      <c r="AM22" s="242"/>
      <c r="AN22" s="112"/>
    </row>
    <row r="23" spans="1:45" s="243" customFormat="1" ht="25.5" customHeight="1" x14ac:dyDescent="0.25">
      <c r="A23" s="241">
        <v>14</v>
      </c>
      <c r="B23" s="245" t="s">
        <v>548</v>
      </c>
      <c r="C23" s="965">
        <f>14472+277</f>
        <v>14749</v>
      </c>
      <c r="D23" s="965">
        <f>C23</f>
        <v>14749</v>
      </c>
      <c r="E23" s="275">
        <f t="shared" si="6"/>
        <v>0</v>
      </c>
      <c r="F23" s="965">
        <f>T23</f>
        <v>0</v>
      </c>
      <c r="G23" s="965"/>
      <c r="H23" s="965"/>
      <c r="I23" s="965"/>
      <c r="J23" s="965"/>
      <c r="K23" s="965"/>
      <c r="L23" s="965"/>
      <c r="M23" s="965"/>
      <c r="N23" s="965"/>
      <c r="O23" s="965"/>
      <c r="P23" s="965"/>
      <c r="Q23" s="965"/>
      <c r="R23" s="965"/>
      <c r="S23" s="965"/>
      <c r="T23" s="965"/>
      <c r="U23" s="965"/>
      <c r="V23" s="965"/>
      <c r="W23" s="965"/>
      <c r="X23" s="965"/>
      <c r="Y23" s="965"/>
      <c r="Z23" s="965"/>
      <c r="AA23" s="965"/>
      <c r="AB23" s="965"/>
      <c r="AC23" s="1125">
        <f>SUM(AD23:AK23)</f>
        <v>14749</v>
      </c>
      <c r="AD23" s="965">
        <f>1634-30</f>
        <v>1604</v>
      </c>
      <c r="AE23" s="965">
        <f>1506-30</f>
        <v>1476</v>
      </c>
      <c r="AF23" s="965">
        <f>1315-30</f>
        <v>1285</v>
      </c>
      <c r="AG23" s="965">
        <f>2823-100</f>
        <v>2723</v>
      </c>
      <c r="AH23" s="965">
        <f>3260-120</f>
        <v>3140</v>
      </c>
      <c r="AI23" s="965">
        <f>1290-30</f>
        <v>1260</v>
      </c>
      <c r="AJ23" s="965">
        <f>2021-70</f>
        <v>1951</v>
      </c>
      <c r="AK23" s="965">
        <f>1336-26</f>
        <v>1310</v>
      </c>
      <c r="AL23" s="965"/>
      <c r="AM23" s="242"/>
      <c r="AN23" s="112"/>
    </row>
    <row r="24" spans="1:45" s="243" customFormat="1" ht="37.5" customHeight="1" x14ac:dyDescent="0.25">
      <c r="A24" s="241">
        <v>15</v>
      </c>
      <c r="B24" s="453" t="s">
        <v>549</v>
      </c>
      <c r="C24" s="965">
        <f>F24+AC24</f>
        <v>12967</v>
      </c>
      <c r="D24" s="965">
        <f>C24</f>
        <v>12967</v>
      </c>
      <c r="E24" s="275">
        <f t="shared" si="6"/>
        <v>0</v>
      </c>
      <c r="F24" s="965"/>
      <c r="G24" s="965"/>
      <c r="H24" s="965"/>
      <c r="I24" s="965"/>
      <c r="J24" s="965"/>
      <c r="K24" s="965"/>
      <c r="L24" s="965"/>
      <c r="M24" s="965"/>
      <c r="N24" s="965"/>
      <c r="O24" s="965"/>
      <c r="P24" s="965"/>
      <c r="Q24" s="965"/>
      <c r="R24" s="965"/>
      <c r="S24" s="965"/>
      <c r="T24" s="965"/>
      <c r="U24" s="965"/>
      <c r="V24" s="965"/>
      <c r="W24" s="965"/>
      <c r="X24" s="965"/>
      <c r="Y24" s="965"/>
      <c r="Z24" s="965"/>
      <c r="AA24" s="965"/>
      <c r="AB24" s="965"/>
      <c r="AC24" s="1125">
        <f>SUM(AD24:AK24)</f>
        <v>12967</v>
      </c>
      <c r="AD24" s="965">
        <v>186</v>
      </c>
      <c r="AE24" s="965">
        <v>1253</v>
      </c>
      <c r="AF24" s="965">
        <v>1320</v>
      </c>
      <c r="AG24" s="965">
        <v>1584</v>
      </c>
      <c r="AH24" s="965">
        <v>2053</v>
      </c>
      <c r="AI24" s="965">
        <v>2221</v>
      </c>
      <c r="AJ24" s="965">
        <v>2235</v>
      </c>
      <c r="AK24" s="965">
        <v>2115</v>
      </c>
      <c r="AL24" s="965"/>
      <c r="AM24" s="242"/>
      <c r="AN24" s="112"/>
      <c r="AS24" s="243">
        <v>371</v>
      </c>
    </row>
    <row r="25" spans="1:45" s="243" customFormat="1" ht="39" customHeight="1" x14ac:dyDescent="0.25">
      <c r="A25" s="241">
        <v>16</v>
      </c>
      <c r="B25" s="453" t="s">
        <v>550</v>
      </c>
      <c r="C25" s="965">
        <v>2645</v>
      </c>
      <c r="D25" s="965">
        <f>F25+AC25</f>
        <v>2638</v>
      </c>
      <c r="E25" s="275">
        <f t="shared" si="6"/>
        <v>7</v>
      </c>
      <c r="F25" s="965">
        <f>U25</f>
        <v>1642</v>
      </c>
      <c r="G25" s="965"/>
      <c r="H25" s="965"/>
      <c r="I25" s="965"/>
      <c r="J25" s="965"/>
      <c r="K25" s="965"/>
      <c r="L25" s="965"/>
      <c r="M25" s="965"/>
      <c r="N25" s="965"/>
      <c r="O25" s="965"/>
      <c r="P25" s="965"/>
      <c r="Q25" s="965"/>
      <c r="R25" s="965"/>
      <c r="S25" s="965"/>
      <c r="T25" s="965"/>
      <c r="U25" s="965">
        <v>1642</v>
      </c>
      <c r="V25" s="965"/>
      <c r="W25" s="965"/>
      <c r="X25" s="965"/>
      <c r="Y25" s="965"/>
      <c r="Z25" s="965"/>
      <c r="AA25" s="965"/>
      <c r="AB25" s="965"/>
      <c r="AC25" s="965">
        <f>SUM(AD25:AK25)</f>
        <v>996</v>
      </c>
      <c r="AD25" s="965">
        <v>83</v>
      </c>
      <c r="AE25" s="965">
        <v>109</v>
      </c>
      <c r="AF25" s="965">
        <v>118</v>
      </c>
      <c r="AG25" s="965">
        <v>168</v>
      </c>
      <c r="AH25" s="965">
        <v>166</v>
      </c>
      <c r="AI25" s="965">
        <v>122</v>
      </c>
      <c r="AJ25" s="965">
        <v>145</v>
      </c>
      <c r="AK25" s="965">
        <v>85</v>
      </c>
      <c r="AL25" s="965"/>
      <c r="AM25" s="242"/>
      <c r="AN25" s="112"/>
    </row>
    <row r="26" spans="1:45" s="243" customFormat="1" ht="36.75" customHeight="1" x14ac:dyDescent="0.25">
      <c r="A26" s="241">
        <v>17</v>
      </c>
      <c r="B26" s="112" t="s">
        <v>551</v>
      </c>
      <c r="C26" s="965">
        <v>440</v>
      </c>
      <c r="D26" s="965">
        <f>C26</f>
        <v>440</v>
      </c>
      <c r="E26" s="275">
        <f t="shared" si="6"/>
        <v>0</v>
      </c>
      <c r="F26" s="965">
        <v>440</v>
      </c>
      <c r="G26" s="965"/>
      <c r="H26" s="965"/>
      <c r="I26" s="965"/>
      <c r="J26" s="965"/>
      <c r="K26" s="965"/>
      <c r="L26" s="965"/>
      <c r="M26" s="965"/>
      <c r="N26" s="965"/>
      <c r="O26" s="965"/>
      <c r="P26" s="965"/>
      <c r="Q26" s="965"/>
      <c r="R26" s="965"/>
      <c r="S26" s="965"/>
      <c r="T26" s="965"/>
      <c r="U26" s="965"/>
      <c r="V26" s="965"/>
      <c r="W26" s="965"/>
      <c r="X26" s="965"/>
      <c r="Y26" s="965"/>
      <c r="Z26" s="965"/>
      <c r="AA26" s="965"/>
      <c r="AB26" s="965"/>
      <c r="AC26" s="965"/>
      <c r="AD26" s="965"/>
      <c r="AE26" s="965"/>
      <c r="AF26" s="965"/>
      <c r="AG26" s="965"/>
      <c r="AH26" s="965"/>
      <c r="AI26" s="965"/>
      <c r="AJ26" s="965"/>
      <c r="AK26" s="965"/>
      <c r="AL26" s="965"/>
      <c r="AM26" s="242"/>
      <c r="AN26" s="112"/>
    </row>
    <row r="27" spans="1:45" s="243" customFormat="1" ht="33" hidden="1" customHeight="1" x14ac:dyDescent="0.25">
      <c r="A27" s="241">
        <v>20</v>
      </c>
      <c r="B27" s="453" t="s">
        <v>552</v>
      </c>
      <c r="C27" s="965"/>
      <c r="D27" s="965">
        <f>C27</f>
        <v>0</v>
      </c>
      <c r="E27" s="275">
        <f t="shared" si="6"/>
        <v>0</v>
      </c>
      <c r="F27" s="965"/>
      <c r="G27" s="965"/>
      <c r="H27" s="965"/>
      <c r="I27" s="965"/>
      <c r="J27" s="965"/>
      <c r="K27" s="965"/>
      <c r="L27" s="965"/>
      <c r="M27" s="965"/>
      <c r="N27" s="965"/>
      <c r="O27" s="965"/>
      <c r="P27" s="965"/>
      <c r="Q27" s="965"/>
      <c r="R27" s="965"/>
      <c r="S27" s="965"/>
      <c r="T27" s="965"/>
      <c r="U27" s="965"/>
      <c r="V27" s="965"/>
      <c r="W27" s="965"/>
      <c r="X27" s="965"/>
      <c r="Y27" s="965"/>
      <c r="Z27" s="965"/>
      <c r="AA27" s="965"/>
      <c r="AB27" s="965"/>
      <c r="AC27" s="965">
        <f>SUM(AD27:AK27)</f>
        <v>0</v>
      </c>
      <c r="AD27" s="965"/>
      <c r="AE27" s="965"/>
      <c r="AF27" s="965"/>
      <c r="AG27" s="965"/>
      <c r="AH27" s="965"/>
      <c r="AI27" s="965"/>
      <c r="AJ27" s="965"/>
      <c r="AK27" s="965"/>
      <c r="AL27" s="965"/>
      <c r="AM27" s="242"/>
      <c r="AN27" s="112"/>
      <c r="AS27" s="243">
        <v>2383</v>
      </c>
    </row>
    <row r="28" spans="1:45" s="243" customFormat="1" ht="53.25" customHeight="1" x14ac:dyDescent="0.25">
      <c r="A28" s="241">
        <v>18</v>
      </c>
      <c r="B28" s="453" t="s">
        <v>1900</v>
      </c>
      <c r="C28" s="961">
        <v>1310</v>
      </c>
      <c r="D28" s="965">
        <f t="shared" ref="D28:D31" si="10">C28</f>
        <v>1310</v>
      </c>
      <c r="E28" s="275">
        <f t="shared" si="6"/>
        <v>0</v>
      </c>
      <c r="F28" s="965">
        <f>S28</f>
        <v>1310</v>
      </c>
      <c r="G28" s="965"/>
      <c r="H28" s="965"/>
      <c r="I28" s="965"/>
      <c r="J28" s="965"/>
      <c r="K28" s="965"/>
      <c r="L28" s="965"/>
      <c r="M28" s="965"/>
      <c r="N28" s="965"/>
      <c r="O28" s="965"/>
      <c r="P28" s="965"/>
      <c r="Q28" s="965"/>
      <c r="R28" s="965"/>
      <c r="S28" s="965">
        <v>1310</v>
      </c>
      <c r="T28" s="965"/>
      <c r="U28" s="965"/>
      <c r="V28" s="965"/>
      <c r="W28" s="965"/>
      <c r="X28" s="965"/>
      <c r="Y28" s="965"/>
      <c r="Z28" s="965"/>
      <c r="AA28" s="965"/>
      <c r="AB28" s="965"/>
      <c r="AC28" s="965">
        <f t="shared" ref="AC28:AC32" si="11">SUM(AD28:AK28)</f>
        <v>0</v>
      </c>
      <c r="AD28" s="965"/>
      <c r="AE28" s="965"/>
      <c r="AF28" s="965"/>
      <c r="AG28" s="965"/>
      <c r="AH28" s="965"/>
      <c r="AI28" s="965"/>
      <c r="AJ28" s="965"/>
      <c r="AK28" s="965"/>
      <c r="AL28" s="965"/>
      <c r="AM28" s="242"/>
      <c r="AN28" s="112"/>
    </row>
    <row r="29" spans="1:45" s="243" customFormat="1" ht="21.75" customHeight="1" x14ac:dyDescent="0.25">
      <c r="A29" s="241">
        <v>19</v>
      </c>
      <c r="B29" s="453" t="s">
        <v>1462</v>
      </c>
      <c r="C29" s="965">
        <v>3266</v>
      </c>
      <c r="D29" s="965">
        <f>C29</f>
        <v>3266</v>
      </c>
      <c r="E29" s="275">
        <f t="shared" si="6"/>
        <v>0</v>
      </c>
      <c r="F29" s="965"/>
      <c r="G29" s="965"/>
      <c r="H29" s="965"/>
      <c r="I29" s="965"/>
      <c r="J29" s="965"/>
      <c r="K29" s="965"/>
      <c r="L29" s="965"/>
      <c r="M29" s="965"/>
      <c r="N29" s="965"/>
      <c r="O29" s="965"/>
      <c r="P29" s="965"/>
      <c r="Q29" s="965"/>
      <c r="R29" s="965"/>
      <c r="S29" s="965"/>
      <c r="T29" s="965"/>
      <c r="U29" s="965"/>
      <c r="V29" s="965"/>
      <c r="W29" s="965"/>
      <c r="X29" s="965"/>
      <c r="Y29" s="965"/>
      <c r="Z29" s="965"/>
      <c r="AA29" s="965"/>
      <c r="AB29" s="965"/>
      <c r="AC29" s="965">
        <f t="shared" si="11"/>
        <v>3266</v>
      </c>
      <c r="AD29" s="965">
        <v>19</v>
      </c>
      <c r="AE29" s="965">
        <v>1166</v>
      </c>
      <c r="AF29" s="965">
        <v>34</v>
      </c>
      <c r="AG29" s="965">
        <v>1500</v>
      </c>
      <c r="AH29" s="965">
        <v>221</v>
      </c>
      <c r="AI29" s="965"/>
      <c r="AJ29" s="965">
        <v>188</v>
      </c>
      <c r="AK29" s="965">
        <v>138</v>
      </c>
      <c r="AL29" s="965"/>
      <c r="AM29" s="242"/>
      <c r="AN29" s="112"/>
    </row>
    <row r="30" spans="1:45" s="243" customFormat="1" ht="24.75" customHeight="1" x14ac:dyDescent="0.25">
      <c r="A30" s="241">
        <v>20</v>
      </c>
      <c r="B30" s="453" t="s">
        <v>1463</v>
      </c>
      <c r="C30" s="965">
        <v>3000</v>
      </c>
      <c r="D30" s="965">
        <f>C30</f>
        <v>3000</v>
      </c>
      <c r="E30" s="275"/>
      <c r="F30" s="965">
        <f>V30</f>
        <v>3000</v>
      </c>
      <c r="G30" s="965"/>
      <c r="H30" s="965"/>
      <c r="I30" s="965"/>
      <c r="J30" s="965"/>
      <c r="K30" s="965"/>
      <c r="L30" s="965"/>
      <c r="M30" s="965"/>
      <c r="N30" s="965"/>
      <c r="O30" s="965"/>
      <c r="P30" s="965"/>
      <c r="Q30" s="965"/>
      <c r="R30" s="965"/>
      <c r="S30" s="965"/>
      <c r="T30" s="965"/>
      <c r="U30" s="965"/>
      <c r="V30" s="965">
        <f>C30</f>
        <v>3000</v>
      </c>
      <c r="W30" s="965"/>
      <c r="X30" s="965"/>
      <c r="Y30" s="965"/>
      <c r="Z30" s="965"/>
      <c r="AA30" s="965"/>
      <c r="AB30" s="965"/>
      <c r="AC30" s="965">
        <f t="shared" si="11"/>
        <v>0</v>
      </c>
      <c r="AD30" s="965"/>
      <c r="AE30" s="965"/>
      <c r="AF30" s="965"/>
      <c r="AG30" s="965"/>
      <c r="AH30" s="965"/>
      <c r="AI30" s="965"/>
      <c r="AJ30" s="965"/>
      <c r="AK30" s="965"/>
      <c r="AL30" s="965"/>
      <c r="AM30" s="242"/>
      <c r="AN30" s="112"/>
    </row>
    <row r="31" spans="1:45" s="243" customFormat="1" ht="39" customHeight="1" x14ac:dyDescent="0.25">
      <c r="A31" s="241">
        <v>21</v>
      </c>
      <c r="B31" s="453" t="s">
        <v>1276</v>
      </c>
      <c r="C31" s="965">
        <v>3100</v>
      </c>
      <c r="D31" s="965">
        <f t="shared" si="10"/>
        <v>3100</v>
      </c>
      <c r="E31" s="275">
        <f t="shared" si="6"/>
        <v>0</v>
      </c>
      <c r="F31" s="965">
        <f>C31</f>
        <v>3100</v>
      </c>
      <c r="G31" s="965"/>
      <c r="H31" s="965"/>
      <c r="I31" s="965"/>
      <c r="J31" s="965"/>
      <c r="K31" s="965"/>
      <c r="L31" s="965"/>
      <c r="M31" s="965"/>
      <c r="N31" s="965"/>
      <c r="O31" s="965"/>
      <c r="P31" s="965">
        <f>F31</f>
        <v>3100</v>
      </c>
      <c r="Q31" s="965"/>
      <c r="R31" s="965"/>
      <c r="S31" s="965"/>
      <c r="T31" s="965"/>
      <c r="U31" s="965"/>
      <c r="V31" s="965"/>
      <c r="W31" s="965"/>
      <c r="X31" s="965"/>
      <c r="Y31" s="965"/>
      <c r="Z31" s="965"/>
      <c r="AA31" s="965"/>
      <c r="AB31" s="965"/>
      <c r="AC31" s="965">
        <f t="shared" si="11"/>
        <v>0</v>
      </c>
      <c r="AD31" s="965"/>
      <c r="AE31" s="965"/>
      <c r="AF31" s="965"/>
      <c r="AG31" s="965"/>
      <c r="AH31" s="965"/>
      <c r="AI31" s="965"/>
      <c r="AJ31" s="965"/>
      <c r="AK31" s="965"/>
      <c r="AL31" s="965"/>
      <c r="AM31" s="242"/>
      <c r="AN31" s="112"/>
    </row>
    <row r="32" spans="1:45" s="243" customFormat="1" ht="37.5" customHeight="1" x14ac:dyDescent="0.25">
      <c r="A32" s="241">
        <v>22</v>
      </c>
      <c r="B32" s="453" t="s">
        <v>554</v>
      </c>
      <c r="C32" s="965">
        <v>4836</v>
      </c>
      <c r="D32" s="965">
        <f>C32</f>
        <v>4836</v>
      </c>
      <c r="E32" s="275">
        <f t="shared" si="6"/>
        <v>0</v>
      </c>
      <c r="F32" s="965"/>
      <c r="G32" s="965"/>
      <c r="H32" s="965"/>
      <c r="I32" s="965"/>
      <c r="J32" s="965"/>
      <c r="K32" s="965">
        <v>3200</v>
      </c>
      <c r="L32" s="965">
        <v>646</v>
      </c>
      <c r="M32" s="965"/>
      <c r="N32" s="965"/>
      <c r="O32" s="965"/>
      <c r="P32" s="965"/>
      <c r="Q32" s="965"/>
      <c r="R32" s="965"/>
      <c r="S32" s="965"/>
      <c r="T32" s="965"/>
      <c r="U32" s="965"/>
      <c r="V32" s="965"/>
      <c r="W32" s="965"/>
      <c r="X32" s="965"/>
      <c r="Y32" s="965"/>
      <c r="Z32" s="965"/>
      <c r="AA32" s="965"/>
      <c r="AB32" s="965"/>
      <c r="AC32" s="965">
        <f t="shared" si="11"/>
        <v>990</v>
      </c>
      <c r="AD32" s="965">
        <v>150</v>
      </c>
      <c r="AE32" s="965">
        <v>120</v>
      </c>
      <c r="AF32" s="965">
        <v>120</v>
      </c>
      <c r="AG32" s="965">
        <v>130</v>
      </c>
      <c r="AH32" s="965">
        <v>130</v>
      </c>
      <c r="AI32" s="965">
        <v>110</v>
      </c>
      <c r="AJ32" s="965">
        <v>120</v>
      </c>
      <c r="AK32" s="965">
        <v>110</v>
      </c>
      <c r="AL32" s="965"/>
      <c r="AM32" s="242"/>
      <c r="AN32" s="112"/>
      <c r="AS32" s="243">
        <v>1628</v>
      </c>
    </row>
    <row r="33" spans="1:41" s="243" customFormat="1" ht="37.5" customHeight="1" x14ac:dyDescent="0.25">
      <c r="A33" s="241">
        <v>23</v>
      </c>
      <c r="B33" s="453" t="s">
        <v>1464</v>
      </c>
      <c r="C33" s="965">
        <v>26088</v>
      </c>
      <c r="D33" s="965">
        <f>C33</f>
        <v>26088</v>
      </c>
      <c r="E33" s="275">
        <f t="shared" si="6"/>
        <v>0</v>
      </c>
      <c r="F33" s="965"/>
      <c r="G33" s="965"/>
      <c r="H33" s="965"/>
      <c r="I33" s="965"/>
      <c r="J33" s="965"/>
      <c r="K33" s="965"/>
      <c r="L33" s="965"/>
      <c r="M33" s="965"/>
      <c r="N33" s="965"/>
      <c r="O33" s="965"/>
      <c r="P33" s="965"/>
      <c r="Q33" s="965"/>
      <c r="R33" s="965"/>
      <c r="S33" s="965"/>
      <c r="T33" s="965"/>
      <c r="U33" s="965"/>
      <c r="V33" s="965"/>
      <c r="W33" s="965"/>
      <c r="X33" s="965"/>
      <c r="Y33" s="965"/>
      <c r="Z33" s="965"/>
      <c r="AA33" s="965"/>
      <c r="AB33" s="965"/>
      <c r="AC33" s="965"/>
      <c r="AD33" s="965"/>
      <c r="AE33" s="965"/>
      <c r="AF33" s="965"/>
      <c r="AG33" s="965"/>
      <c r="AH33" s="965"/>
      <c r="AI33" s="965"/>
      <c r="AJ33" s="965"/>
      <c r="AK33" s="965"/>
      <c r="AL33" s="965"/>
      <c r="AM33" s="242"/>
      <c r="AN33" s="112"/>
    </row>
    <row r="34" spans="1:41" s="243" customFormat="1" ht="22.5" customHeight="1" x14ac:dyDescent="0.25">
      <c r="A34" s="241">
        <v>24</v>
      </c>
      <c r="B34" s="453" t="s">
        <v>555</v>
      </c>
      <c r="C34" s="965">
        <f>SUM(C35:C44)</f>
        <v>70200</v>
      </c>
      <c r="D34" s="965">
        <f>SUM(D35:D44)</f>
        <v>18188</v>
      </c>
      <c r="E34" s="275">
        <f t="shared" si="6"/>
        <v>52012</v>
      </c>
      <c r="F34" s="965">
        <v>56165</v>
      </c>
      <c r="G34" s="965"/>
      <c r="H34" s="965"/>
      <c r="I34" s="965"/>
      <c r="J34" s="965"/>
      <c r="K34" s="965"/>
      <c r="L34" s="965"/>
      <c r="M34" s="965"/>
      <c r="N34" s="965"/>
      <c r="O34" s="965"/>
      <c r="P34" s="965"/>
      <c r="Q34" s="965"/>
      <c r="R34" s="965"/>
      <c r="S34" s="965"/>
      <c r="T34" s="965"/>
      <c r="U34" s="965"/>
      <c r="V34" s="965"/>
      <c r="W34" s="965"/>
      <c r="X34" s="965"/>
      <c r="Y34" s="965"/>
      <c r="Z34" s="965"/>
      <c r="AA34" s="965"/>
      <c r="AB34" s="965"/>
      <c r="AC34" s="965"/>
      <c r="AD34" s="965"/>
      <c r="AE34" s="965"/>
      <c r="AF34" s="965"/>
      <c r="AG34" s="965"/>
      <c r="AH34" s="965"/>
      <c r="AI34" s="965"/>
      <c r="AJ34" s="965"/>
      <c r="AK34" s="965"/>
      <c r="AL34" s="965"/>
      <c r="AM34" s="242"/>
      <c r="AN34" s="112"/>
    </row>
    <row r="35" spans="1:41" s="243" customFormat="1" ht="26.25" customHeight="1" x14ac:dyDescent="0.25">
      <c r="A35" s="241" t="s">
        <v>288</v>
      </c>
      <c r="B35" s="453" t="s">
        <v>625</v>
      </c>
      <c r="C35" s="965">
        <v>5940</v>
      </c>
      <c r="D35" s="858">
        <f>C35</f>
        <v>5940</v>
      </c>
      <c r="E35" s="275">
        <f t="shared" si="6"/>
        <v>0</v>
      </c>
      <c r="F35" s="965">
        <f>T35+AA35</f>
        <v>5940</v>
      </c>
      <c r="G35" s="965"/>
      <c r="H35" s="965"/>
      <c r="I35" s="965"/>
      <c r="J35" s="965"/>
      <c r="K35" s="965"/>
      <c r="L35" s="965"/>
      <c r="M35" s="965"/>
      <c r="N35" s="965"/>
      <c r="O35" s="965"/>
      <c r="P35" s="965"/>
      <c r="Q35" s="965"/>
      <c r="R35" s="965"/>
      <c r="S35" s="965"/>
      <c r="T35" s="965">
        <v>940</v>
      </c>
      <c r="U35" s="965"/>
      <c r="V35" s="965"/>
      <c r="W35" s="965"/>
      <c r="X35" s="965"/>
      <c r="Y35" s="965"/>
      <c r="Z35" s="965"/>
      <c r="AA35" s="965">
        <v>5000</v>
      </c>
      <c r="AB35" s="965"/>
      <c r="AC35" s="965"/>
      <c r="AD35" s="965"/>
      <c r="AE35" s="965"/>
      <c r="AF35" s="965"/>
      <c r="AG35" s="965"/>
      <c r="AH35" s="965"/>
      <c r="AI35" s="965"/>
      <c r="AJ35" s="965"/>
      <c r="AK35" s="965"/>
      <c r="AL35" s="965"/>
      <c r="AM35" s="242"/>
      <c r="AN35" s="112"/>
    </row>
    <row r="36" spans="1:41" s="243" customFormat="1" ht="36.75" customHeight="1" x14ac:dyDescent="0.25">
      <c r="A36" s="241" t="s">
        <v>288</v>
      </c>
      <c r="B36" s="453" t="s">
        <v>1465</v>
      </c>
      <c r="C36" s="965">
        <v>18500</v>
      </c>
      <c r="D36" s="858"/>
      <c r="E36" s="275">
        <f>C36</f>
        <v>18500</v>
      </c>
      <c r="F36" s="965"/>
      <c r="G36" s="965"/>
      <c r="H36" s="965"/>
      <c r="I36" s="965"/>
      <c r="J36" s="965"/>
      <c r="K36" s="965"/>
      <c r="L36" s="965"/>
      <c r="M36" s="965"/>
      <c r="N36" s="965"/>
      <c r="O36" s="965"/>
      <c r="P36" s="965"/>
      <c r="Q36" s="965"/>
      <c r="R36" s="965"/>
      <c r="S36" s="965"/>
      <c r="T36" s="965"/>
      <c r="U36" s="965"/>
      <c r="V36" s="965"/>
      <c r="W36" s="965"/>
      <c r="X36" s="965"/>
      <c r="Y36" s="965"/>
      <c r="Z36" s="965"/>
      <c r="AA36" s="965"/>
      <c r="AB36" s="965"/>
      <c r="AC36" s="965"/>
      <c r="AD36" s="965"/>
      <c r="AE36" s="965"/>
      <c r="AF36" s="965"/>
      <c r="AG36" s="965"/>
      <c r="AH36" s="965"/>
      <c r="AI36" s="965"/>
      <c r="AJ36" s="965"/>
      <c r="AK36" s="965"/>
      <c r="AL36" s="965"/>
      <c r="AM36" s="242"/>
      <c r="AN36" s="112"/>
    </row>
    <row r="37" spans="1:41" s="243" customFormat="1" ht="25.5" customHeight="1" x14ac:dyDescent="0.25">
      <c r="A37" s="241" t="s">
        <v>288</v>
      </c>
      <c r="B37" s="453" t="s">
        <v>626</v>
      </c>
      <c r="C37" s="965">
        <v>9312</v>
      </c>
      <c r="D37" s="858"/>
      <c r="E37" s="275">
        <f t="shared" si="6"/>
        <v>9312</v>
      </c>
      <c r="F37" s="965">
        <v>19203</v>
      </c>
      <c r="G37" s="965"/>
      <c r="H37" s="965"/>
      <c r="I37" s="965"/>
      <c r="J37" s="965"/>
      <c r="K37" s="965"/>
      <c r="L37" s="965"/>
      <c r="M37" s="965"/>
      <c r="N37" s="965"/>
      <c r="O37" s="965"/>
      <c r="P37" s="965"/>
      <c r="Q37" s="965"/>
      <c r="R37" s="965"/>
      <c r="S37" s="965"/>
      <c r="T37" s="965"/>
      <c r="U37" s="965"/>
      <c r="V37" s="965"/>
      <c r="W37" s="965"/>
      <c r="X37" s="965"/>
      <c r="Y37" s="965"/>
      <c r="Z37" s="965"/>
      <c r="AA37" s="965"/>
      <c r="AB37" s="965"/>
      <c r="AC37" s="965"/>
      <c r="AD37" s="965"/>
      <c r="AE37" s="965"/>
      <c r="AF37" s="965"/>
      <c r="AG37" s="965"/>
      <c r="AH37" s="965"/>
      <c r="AI37" s="965"/>
      <c r="AJ37" s="965"/>
      <c r="AK37" s="965"/>
      <c r="AL37" s="965"/>
      <c r="AM37" s="242"/>
      <c r="AN37" s="112"/>
    </row>
    <row r="38" spans="1:41" s="243" customFormat="1" ht="18" customHeight="1" x14ac:dyDescent="0.25">
      <c r="A38" s="241" t="s">
        <v>288</v>
      </c>
      <c r="B38" s="453" t="s">
        <v>627</v>
      </c>
      <c r="C38" s="965">
        <v>6655</v>
      </c>
      <c r="D38" s="858">
        <v>6655</v>
      </c>
      <c r="E38" s="275">
        <f t="shared" si="6"/>
        <v>0</v>
      </c>
      <c r="F38" s="965"/>
      <c r="G38" s="965"/>
      <c r="H38" s="965"/>
      <c r="I38" s="965"/>
      <c r="J38" s="965">
        <v>6655</v>
      </c>
      <c r="K38" s="965"/>
      <c r="L38" s="965"/>
      <c r="M38" s="965"/>
      <c r="N38" s="965"/>
      <c r="O38" s="965"/>
      <c r="P38" s="965"/>
      <c r="Q38" s="965"/>
      <c r="R38" s="965"/>
      <c r="S38" s="965"/>
      <c r="T38" s="965"/>
      <c r="U38" s="965"/>
      <c r="V38" s="965"/>
      <c r="W38" s="965"/>
      <c r="X38" s="965"/>
      <c r="Y38" s="965"/>
      <c r="Z38" s="965"/>
      <c r="AA38" s="965"/>
      <c r="AB38" s="965"/>
      <c r="AC38" s="965"/>
      <c r="AD38" s="965"/>
      <c r="AE38" s="965"/>
      <c r="AF38" s="965"/>
      <c r="AG38" s="965"/>
      <c r="AH38" s="965"/>
      <c r="AI38" s="965"/>
      <c r="AJ38" s="965"/>
      <c r="AK38" s="965"/>
      <c r="AL38" s="965"/>
      <c r="AM38" s="242"/>
      <c r="AN38" s="112"/>
    </row>
    <row r="39" spans="1:41" s="243" customFormat="1" ht="18" customHeight="1" x14ac:dyDescent="0.25">
      <c r="A39" s="241" t="s">
        <v>288</v>
      </c>
      <c r="B39" s="453" t="s">
        <v>628</v>
      </c>
      <c r="C39" s="965">
        <v>1683</v>
      </c>
      <c r="D39" s="858">
        <f t="shared" ref="D39:D45" si="12">C39</f>
        <v>1683</v>
      </c>
      <c r="E39" s="275">
        <f t="shared" si="6"/>
        <v>0</v>
      </c>
      <c r="F39" s="965">
        <f>O39</f>
        <v>1683</v>
      </c>
      <c r="G39" s="965"/>
      <c r="H39" s="965"/>
      <c r="I39" s="965"/>
      <c r="J39" s="965"/>
      <c r="K39" s="965"/>
      <c r="L39" s="965"/>
      <c r="M39" s="965"/>
      <c r="N39" s="965"/>
      <c r="O39" s="965">
        <v>1683</v>
      </c>
      <c r="P39" s="965"/>
      <c r="Q39" s="965"/>
      <c r="R39" s="965"/>
      <c r="S39" s="965"/>
      <c r="T39" s="965"/>
      <c r="U39" s="965"/>
      <c r="V39" s="965"/>
      <c r="W39" s="965"/>
      <c r="X39" s="965"/>
      <c r="Y39" s="965"/>
      <c r="Z39" s="965"/>
      <c r="AA39" s="965"/>
      <c r="AB39" s="965"/>
      <c r="AC39" s="965"/>
      <c r="AD39" s="965"/>
      <c r="AE39" s="965"/>
      <c r="AF39" s="965"/>
      <c r="AG39" s="965"/>
      <c r="AH39" s="965"/>
      <c r="AI39" s="965"/>
      <c r="AJ39" s="965"/>
      <c r="AK39" s="965"/>
      <c r="AL39" s="965"/>
      <c r="AM39" s="242"/>
      <c r="AN39" s="112"/>
    </row>
    <row r="40" spans="1:41" s="243" customFormat="1" ht="31.5" x14ac:dyDescent="0.25">
      <c r="A40" s="241" t="s">
        <v>288</v>
      </c>
      <c r="B40" s="453" t="s">
        <v>629</v>
      </c>
      <c r="C40" s="965">
        <v>1810</v>
      </c>
      <c r="D40" s="858">
        <f>C40</f>
        <v>1810</v>
      </c>
      <c r="E40" s="275">
        <f t="shared" si="6"/>
        <v>0</v>
      </c>
      <c r="F40" s="965">
        <v>1810</v>
      </c>
      <c r="G40" s="965"/>
      <c r="H40" s="965"/>
      <c r="I40" s="965"/>
      <c r="J40" s="965"/>
      <c r="K40" s="965"/>
      <c r="L40" s="965"/>
      <c r="M40" s="965"/>
      <c r="N40" s="965"/>
      <c r="O40" s="965"/>
      <c r="P40" s="965"/>
      <c r="Q40" s="965"/>
      <c r="R40" s="965"/>
      <c r="S40" s="965"/>
      <c r="T40" s="965"/>
      <c r="U40" s="965"/>
      <c r="V40" s="965"/>
      <c r="W40" s="965"/>
      <c r="X40" s="965"/>
      <c r="Y40" s="965"/>
      <c r="Z40" s="965"/>
      <c r="AA40" s="965"/>
      <c r="AB40" s="965"/>
      <c r="AC40" s="965"/>
      <c r="AD40" s="965"/>
      <c r="AE40" s="965"/>
      <c r="AF40" s="965"/>
      <c r="AG40" s="965"/>
      <c r="AH40" s="965"/>
      <c r="AI40" s="965"/>
      <c r="AJ40" s="965"/>
      <c r="AK40" s="965"/>
      <c r="AL40" s="965"/>
      <c r="AM40" s="242"/>
      <c r="AN40" s="112"/>
    </row>
    <row r="41" spans="1:41" s="243" customFormat="1" ht="30.75" customHeight="1" x14ac:dyDescent="0.25">
      <c r="A41" s="241" t="s">
        <v>288</v>
      </c>
      <c r="B41" s="453" t="s">
        <v>630</v>
      </c>
      <c r="C41" s="965">
        <v>24200</v>
      </c>
      <c r="D41" s="858"/>
      <c r="E41" s="275">
        <f t="shared" si="6"/>
        <v>24200</v>
      </c>
      <c r="F41" s="965">
        <f>SUM(R41:S41)</f>
        <v>0</v>
      </c>
      <c r="G41" s="965"/>
      <c r="H41" s="965"/>
      <c r="I41" s="965"/>
      <c r="J41" s="965"/>
      <c r="K41" s="965"/>
      <c r="L41" s="965"/>
      <c r="M41" s="965"/>
      <c r="N41" s="965"/>
      <c r="O41" s="965"/>
      <c r="P41" s="965"/>
      <c r="Q41" s="965"/>
      <c r="R41" s="965"/>
      <c r="S41" s="965"/>
      <c r="T41" s="965"/>
      <c r="U41" s="965"/>
      <c r="V41" s="965"/>
      <c r="W41" s="965"/>
      <c r="X41" s="965"/>
      <c r="Y41" s="965"/>
      <c r="Z41" s="965"/>
      <c r="AA41" s="965"/>
      <c r="AB41" s="965"/>
      <c r="AC41" s="965">
        <f>SUM(AD41:AK41)</f>
        <v>0</v>
      </c>
      <c r="AD41" s="965"/>
      <c r="AE41" s="965"/>
      <c r="AF41" s="965"/>
      <c r="AG41" s="965"/>
      <c r="AH41" s="965"/>
      <c r="AI41" s="965"/>
      <c r="AJ41" s="965"/>
      <c r="AK41" s="965"/>
      <c r="AL41" s="965"/>
      <c r="AM41" s="242"/>
      <c r="AN41" s="112"/>
    </row>
    <row r="42" spans="1:41" s="243" customFormat="1" ht="31.5" x14ac:dyDescent="0.25">
      <c r="A42" s="241" t="s">
        <v>288</v>
      </c>
      <c r="B42" s="453" t="s">
        <v>631</v>
      </c>
      <c r="C42" s="965">
        <f t="shared" ref="C42:C45" si="13">F42+AC42</f>
        <v>1000</v>
      </c>
      <c r="D42" s="858">
        <f t="shared" si="12"/>
        <v>1000</v>
      </c>
      <c r="E42" s="275">
        <f t="shared" si="6"/>
        <v>0</v>
      </c>
      <c r="F42" s="965">
        <v>1000</v>
      </c>
      <c r="G42" s="965"/>
      <c r="H42" s="965">
        <v>1000</v>
      </c>
      <c r="I42" s="965"/>
      <c r="J42" s="965"/>
      <c r="K42" s="965"/>
      <c r="L42" s="965"/>
      <c r="M42" s="965"/>
      <c r="N42" s="965"/>
      <c r="O42" s="965"/>
      <c r="P42" s="965"/>
      <c r="Q42" s="965"/>
      <c r="R42" s="965"/>
      <c r="S42" s="965"/>
      <c r="T42" s="965"/>
      <c r="U42" s="965"/>
      <c r="V42" s="965"/>
      <c r="W42" s="965"/>
      <c r="X42" s="965"/>
      <c r="Y42" s="965"/>
      <c r="Z42" s="965"/>
      <c r="AA42" s="965"/>
      <c r="AB42" s="965"/>
      <c r="AC42" s="965"/>
      <c r="AD42" s="965"/>
      <c r="AE42" s="965"/>
      <c r="AF42" s="965"/>
      <c r="AG42" s="965"/>
      <c r="AH42" s="965"/>
      <c r="AI42" s="965"/>
      <c r="AJ42" s="965"/>
      <c r="AK42" s="965"/>
      <c r="AL42" s="965"/>
      <c r="AM42" s="242"/>
      <c r="AN42" s="112"/>
    </row>
    <row r="43" spans="1:41" s="243" customFormat="1" ht="21.75" customHeight="1" x14ac:dyDescent="0.25">
      <c r="A43" s="241" t="s">
        <v>288</v>
      </c>
      <c r="B43" s="453" t="s">
        <v>1466</v>
      </c>
      <c r="C43" s="965">
        <v>400</v>
      </c>
      <c r="D43" s="858">
        <f>C43</f>
        <v>400</v>
      </c>
      <c r="E43" s="275"/>
      <c r="F43" s="965">
        <v>400</v>
      </c>
      <c r="G43" s="965"/>
      <c r="H43" s="965"/>
      <c r="I43" s="965">
        <v>400</v>
      </c>
      <c r="J43" s="965"/>
      <c r="K43" s="965"/>
      <c r="L43" s="965"/>
      <c r="M43" s="965"/>
      <c r="N43" s="965"/>
      <c r="O43" s="965"/>
      <c r="P43" s="965"/>
      <c r="Q43" s="965"/>
      <c r="R43" s="965"/>
      <c r="S43" s="965"/>
      <c r="T43" s="965"/>
      <c r="U43" s="965"/>
      <c r="V43" s="965"/>
      <c r="W43" s="965"/>
      <c r="X43" s="965"/>
      <c r="Y43" s="965"/>
      <c r="Z43" s="965"/>
      <c r="AA43" s="965"/>
      <c r="AB43" s="965"/>
      <c r="AC43" s="965"/>
      <c r="AD43" s="965"/>
      <c r="AE43" s="965"/>
      <c r="AF43" s="965"/>
      <c r="AG43" s="965"/>
      <c r="AH43" s="965"/>
      <c r="AI43" s="965"/>
      <c r="AJ43" s="965"/>
      <c r="AK43" s="965"/>
      <c r="AL43" s="965"/>
      <c r="AM43" s="242"/>
      <c r="AN43" s="112"/>
    </row>
    <row r="44" spans="1:41" s="243" customFormat="1" ht="23.25" customHeight="1" x14ac:dyDescent="0.25">
      <c r="A44" s="241" t="s">
        <v>288</v>
      </c>
      <c r="B44" s="453" t="s">
        <v>1467</v>
      </c>
      <c r="C44" s="965">
        <v>700</v>
      </c>
      <c r="D44" s="858">
        <f>C44</f>
        <v>700</v>
      </c>
      <c r="E44" s="275"/>
      <c r="F44" s="965">
        <v>700</v>
      </c>
      <c r="G44" s="965"/>
      <c r="H44" s="965"/>
      <c r="I44" s="965"/>
      <c r="J44" s="965"/>
      <c r="K44" s="965"/>
      <c r="L44" s="965"/>
      <c r="M44" s="965">
        <v>700</v>
      </c>
      <c r="N44" s="965"/>
      <c r="O44" s="965"/>
      <c r="P44" s="965"/>
      <c r="Q44" s="965"/>
      <c r="R44" s="965"/>
      <c r="S44" s="965"/>
      <c r="T44" s="965"/>
      <c r="U44" s="965"/>
      <c r="V44" s="965"/>
      <c r="W44" s="965"/>
      <c r="X44" s="965"/>
      <c r="Y44" s="965"/>
      <c r="Z44" s="965"/>
      <c r="AA44" s="965"/>
      <c r="AB44" s="965"/>
      <c r="AC44" s="965"/>
      <c r="AD44" s="965"/>
      <c r="AE44" s="965"/>
      <c r="AF44" s="965"/>
      <c r="AG44" s="965"/>
      <c r="AH44" s="965"/>
      <c r="AI44" s="965"/>
      <c r="AJ44" s="965"/>
      <c r="AK44" s="965"/>
      <c r="AL44" s="965"/>
      <c r="AM44" s="242"/>
      <c r="AN44" s="112"/>
    </row>
    <row r="45" spans="1:41" s="243" customFormat="1" ht="31.5" x14ac:dyDescent="0.25">
      <c r="A45" s="241">
        <v>25</v>
      </c>
      <c r="B45" s="112" t="s">
        <v>1901</v>
      </c>
      <c r="C45" s="965">
        <f t="shared" si="13"/>
        <v>2530</v>
      </c>
      <c r="D45" s="858">
        <f t="shared" si="12"/>
        <v>2530</v>
      </c>
      <c r="E45" s="275">
        <f t="shared" si="6"/>
        <v>0</v>
      </c>
      <c r="F45" s="965">
        <v>2530</v>
      </c>
      <c r="G45" s="965"/>
      <c r="H45" s="965"/>
      <c r="I45" s="965"/>
      <c r="J45" s="965"/>
      <c r="K45" s="965"/>
      <c r="L45" s="965"/>
      <c r="M45" s="965"/>
      <c r="N45" s="965"/>
      <c r="O45" s="965"/>
      <c r="P45" s="965"/>
      <c r="Q45" s="965"/>
      <c r="R45" s="965"/>
      <c r="S45" s="965"/>
      <c r="T45" s="965"/>
      <c r="U45" s="965"/>
      <c r="V45" s="965"/>
      <c r="W45" s="965"/>
      <c r="X45" s="965"/>
      <c r="Y45" s="965"/>
      <c r="Z45" s="965"/>
      <c r="AA45" s="965"/>
      <c r="AB45" s="965"/>
      <c r="AC45" s="965"/>
      <c r="AD45" s="965"/>
      <c r="AE45" s="965"/>
      <c r="AF45" s="965"/>
      <c r="AG45" s="965"/>
      <c r="AH45" s="965"/>
      <c r="AI45" s="965"/>
      <c r="AJ45" s="965"/>
      <c r="AK45" s="965"/>
      <c r="AL45" s="965"/>
      <c r="AM45" s="242"/>
      <c r="AN45" s="112"/>
    </row>
    <row r="46" spans="1:41" s="243" customFormat="1" ht="24" customHeight="1" x14ac:dyDescent="0.25">
      <c r="A46" s="276">
        <v>26</v>
      </c>
      <c r="B46" s="252" t="s">
        <v>934</v>
      </c>
      <c r="C46" s="972">
        <v>10000</v>
      </c>
      <c r="D46" s="859">
        <f>C46</f>
        <v>10000</v>
      </c>
      <c r="E46" s="972">
        <f>C46-D46</f>
        <v>0</v>
      </c>
      <c r="F46" s="972"/>
      <c r="G46" s="972"/>
      <c r="H46" s="972"/>
      <c r="I46" s="972"/>
      <c r="J46" s="972"/>
      <c r="K46" s="972"/>
      <c r="L46" s="972"/>
      <c r="M46" s="972"/>
      <c r="N46" s="972"/>
      <c r="O46" s="972"/>
      <c r="P46" s="972"/>
      <c r="Q46" s="972"/>
      <c r="R46" s="972"/>
      <c r="S46" s="972"/>
      <c r="T46" s="972"/>
      <c r="U46" s="972"/>
      <c r="V46" s="972"/>
      <c r="W46" s="972"/>
      <c r="X46" s="972"/>
      <c r="Y46" s="972"/>
      <c r="Z46" s="972"/>
      <c r="AA46" s="972"/>
      <c r="AB46" s="972"/>
      <c r="AC46" s="972">
        <f>SUM(AD46:AK46)</f>
        <v>4600</v>
      </c>
      <c r="AD46" s="972">
        <f>'Biểu 44.'!D40</f>
        <v>800</v>
      </c>
      <c r="AE46" s="972">
        <f>'Biểu 44.'!F40</f>
        <v>500</v>
      </c>
      <c r="AF46" s="972">
        <f>'Biểu 44.'!H40</f>
        <v>500</v>
      </c>
      <c r="AG46" s="972">
        <f>'Biểu 44.'!J40</f>
        <v>500</v>
      </c>
      <c r="AH46" s="972">
        <f>'Biểu 44.'!L40</f>
        <v>600</v>
      </c>
      <c r="AI46" s="972">
        <f>'Biểu 44.'!N40</f>
        <v>500</v>
      </c>
      <c r="AJ46" s="972">
        <f>'Biểu 44.'!P40</f>
        <v>600</v>
      </c>
      <c r="AK46" s="972">
        <f>'Biểu 44.'!R40</f>
        <v>600</v>
      </c>
      <c r="AL46" s="972"/>
      <c r="AM46" s="1126" t="s">
        <v>163</v>
      </c>
      <c r="AN46" s="252"/>
      <c r="AO46" s="230"/>
    </row>
    <row r="47" spans="1:41" ht="35.25" customHeight="1" x14ac:dyDescent="0.25">
      <c r="A47" s="1123"/>
      <c r="B47" s="2145" t="s">
        <v>1468</v>
      </c>
      <c r="C47" s="2145"/>
      <c r="D47" s="2145"/>
      <c r="E47" s="2145"/>
      <c r="F47" s="2145"/>
      <c r="G47" s="2145"/>
      <c r="H47" s="2145"/>
      <c r="I47" s="2145"/>
      <c r="J47" s="2145"/>
      <c r="K47" s="2145"/>
      <c r="L47" s="2145"/>
      <c r="M47" s="2145"/>
      <c r="N47" s="2145"/>
      <c r="O47" s="2145"/>
      <c r="P47" s="2145"/>
      <c r="Q47" s="2145"/>
      <c r="R47" s="2145"/>
      <c r="S47" s="2145"/>
      <c r="T47" s="2145"/>
      <c r="U47" s="2145"/>
      <c r="V47" s="2145"/>
      <c r="W47" s="2145"/>
      <c r="X47" s="2145"/>
      <c r="Y47" s="2145"/>
      <c r="Z47" s="2145"/>
      <c r="AA47" s="2145"/>
      <c r="AM47" s="243"/>
      <c r="AN47" s="243"/>
    </row>
    <row r="48" spans="1:41" ht="15.75" customHeight="1" x14ac:dyDescent="0.25"/>
  </sheetData>
  <mergeCells count="4">
    <mergeCell ref="A1:AN1"/>
    <mergeCell ref="A2:AN2"/>
    <mergeCell ref="D3:E3"/>
    <mergeCell ref="B47:AA47"/>
  </mergeCells>
  <pageMargins left="0.95" right="0.2" top="0.62" bottom="0.6" header="0.3" footer="0.28999999999999998"/>
  <pageSetup paperSize="9" firstPageNumber="8" orientation="portrait" useFirstPageNumber="1" r:id="rId1"/>
  <headerFooter>
    <oddHeader>&amp;RBiểu số 07 DT</oddHeader>
    <oddFooter>&amp;C&amp;P</oddFooter>
  </headerFooter>
  <legacyDrawing r:id="rId2"/>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sheetPr>
  <dimension ref="A1:AB54"/>
  <sheetViews>
    <sheetView workbookViewId="0">
      <pane xSplit="2" ySplit="5" topLeftCell="C6" activePane="bottomRight" state="frozen"/>
      <selection pane="topRight" activeCell="C1" sqref="C1"/>
      <selection pane="bottomLeft" activeCell="A6" sqref="A6"/>
      <selection pane="bottomRight" activeCell="AC10" sqref="AC10"/>
    </sheetView>
  </sheetViews>
  <sheetFormatPr defaultRowHeight="15.75" x14ac:dyDescent="0.25"/>
  <cols>
    <col min="1" max="1" width="5.875" style="1174" customWidth="1"/>
    <col min="2" max="2" width="44.125" style="221" customWidth="1"/>
    <col min="3" max="3" width="10.375" style="221" bestFit="1" customWidth="1"/>
    <col min="4" max="4" width="9" style="221"/>
    <col min="5" max="5" width="10" style="221" customWidth="1"/>
    <col min="6" max="9" width="9" style="221"/>
    <col min="10" max="10" width="8" style="221" customWidth="1"/>
    <col min="11" max="11" width="8" style="857" customWidth="1"/>
    <col min="12" max="12" width="9.5" style="221" hidden="1" customWidth="1"/>
    <col min="13" max="13" width="10.25" style="221" hidden="1" customWidth="1"/>
    <col min="14" max="15" width="9" style="221" hidden="1" customWidth="1"/>
    <col min="16" max="16" width="22.125" style="221" hidden="1" customWidth="1"/>
    <col min="17" max="19" width="9" style="221" hidden="1" customWidth="1"/>
    <col min="20" max="20" width="8" style="221" hidden="1" customWidth="1"/>
    <col min="21" max="21" width="5.875" style="221" hidden="1" customWidth="1"/>
    <col min="22" max="22" width="7.125" style="221" hidden="1" customWidth="1"/>
    <col min="23" max="23" width="9" style="221" hidden="1" customWidth="1"/>
    <col min="24" max="24" width="8.25" style="221" hidden="1" customWidth="1"/>
    <col min="25" max="25" width="7.125" style="221" hidden="1" customWidth="1"/>
    <col min="26" max="26" width="7.625" style="221" hidden="1" customWidth="1"/>
    <col min="27" max="27" width="0" style="221" hidden="1" customWidth="1"/>
    <col min="28" max="28" width="8.5" style="221" customWidth="1"/>
    <col min="29" max="16384" width="9" style="221"/>
  </cols>
  <sheetData>
    <row r="1" spans="1:28" ht="22.5" customHeight="1" x14ac:dyDescent="0.3">
      <c r="A1" s="2147" t="s">
        <v>1451</v>
      </c>
      <c r="B1" s="2147"/>
      <c r="C1" s="2147"/>
      <c r="D1" s="2147"/>
      <c r="E1" s="2147"/>
      <c r="F1" s="2147"/>
      <c r="G1" s="2147"/>
      <c r="H1" s="2147"/>
      <c r="I1" s="2147"/>
      <c r="J1" s="2147"/>
      <c r="K1" s="2147"/>
    </row>
    <row r="2" spans="1:28" ht="18.75" x14ac:dyDescent="0.3">
      <c r="A2" s="2147" t="s">
        <v>583</v>
      </c>
      <c r="B2" s="2147"/>
      <c r="C2" s="2147"/>
      <c r="D2" s="2147"/>
      <c r="E2" s="2147"/>
      <c r="F2" s="2147"/>
      <c r="G2" s="2147"/>
      <c r="H2" s="2147"/>
      <c r="I2" s="2147"/>
      <c r="J2" s="2147"/>
      <c r="K2" s="2147"/>
    </row>
    <row r="3" spans="1:28" x14ac:dyDescent="0.25">
      <c r="A3" s="2153" t="e">
        <f>'Biểu 41'!A2:U2</f>
        <v>#REF!</v>
      </c>
      <c r="B3" s="2154"/>
      <c r="C3" s="2154"/>
      <c r="D3" s="2154"/>
      <c r="E3" s="2154"/>
      <c r="F3" s="2154"/>
      <c r="G3" s="2154"/>
      <c r="H3" s="2154"/>
      <c r="I3" s="2154"/>
      <c r="J3" s="2154"/>
      <c r="K3" s="2154"/>
    </row>
    <row r="4" spans="1:28" x14ac:dyDescent="0.25">
      <c r="D4" s="852"/>
      <c r="I4" s="2148" t="s">
        <v>6</v>
      </c>
      <c r="J4" s="2148"/>
      <c r="K4" s="2148"/>
    </row>
    <row r="5" spans="1:28" s="1197" customFormat="1" ht="54" customHeight="1" x14ac:dyDescent="0.25">
      <c r="A5" s="348" t="s">
        <v>0</v>
      </c>
      <c r="B5" s="348" t="s">
        <v>584</v>
      </c>
      <c r="C5" s="348" t="s">
        <v>651</v>
      </c>
      <c r="D5" s="348" t="s">
        <v>148</v>
      </c>
      <c r="E5" s="348" t="s">
        <v>149</v>
      </c>
      <c r="F5" s="348" t="s">
        <v>385</v>
      </c>
      <c r="G5" s="348" t="s">
        <v>151</v>
      </c>
      <c r="H5" s="348" t="s">
        <v>152</v>
      </c>
      <c r="I5" s="348" t="s">
        <v>153</v>
      </c>
      <c r="J5" s="348" t="s">
        <v>154</v>
      </c>
      <c r="K5" s="348" t="s">
        <v>155</v>
      </c>
    </row>
    <row r="6" spans="1:28" s="955" customFormat="1" ht="18.75" customHeight="1" x14ac:dyDescent="0.2">
      <c r="A6" s="952" t="s">
        <v>2</v>
      </c>
      <c r="B6" s="953" t="s">
        <v>652</v>
      </c>
      <c r="C6" s="350">
        <f>C7+C8</f>
        <v>2216980</v>
      </c>
      <c r="D6" s="350">
        <f>D7+D8</f>
        <v>258152</v>
      </c>
      <c r="E6" s="350">
        <f t="shared" ref="E6:K6" si="0">E7+E8</f>
        <v>223987</v>
      </c>
      <c r="F6" s="350">
        <f t="shared" si="0"/>
        <v>230138</v>
      </c>
      <c r="G6" s="350">
        <f t="shared" si="0"/>
        <v>334939</v>
      </c>
      <c r="H6" s="350">
        <f t="shared" si="0"/>
        <v>341326</v>
      </c>
      <c r="I6" s="350">
        <f t="shared" si="0"/>
        <v>239675</v>
      </c>
      <c r="J6" s="350">
        <f t="shared" si="0"/>
        <v>337902</v>
      </c>
      <c r="K6" s="350">
        <f t="shared" si="0"/>
        <v>250861</v>
      </c>
      <c r="L6" s="954">
        <f>'[3]DT Huyên'!$C$6</f>
        <v>1902114</v>
      </c>
      <c r="Z6" s="954">
        <f>J6-J13</f>
        <v>0</v>
      </c>
      <c r="AA6" s="954">
        <f>K6-K13</f>
        <v>0</v>
      </c>
    </row>
    <row r="7" spans="1:28" s="955" customFormat="1" ht="21.75" customHeight="1" x14ac:dyDescent="0.2">
      <c r="A7" s="952" t="s">
        <v>9</v>
      </c>
      <c r="B7" s="953" t="s">
        <v>653</v>
      </c>
      <c r="C7" s="350">
        <f>SUM(D7:K7)</f>
        <v>326605</v>
      </c>
      <c r="D7" s="350">
        <f>'Biểu số 48'!H8</f>
        <v>108080</v>
      </c>
      <c r="E7" s="350">
        <f>'Biểu số 48'!J8</f>
        <v>12070</v>
      </c>
      <c r="F7" s="350">
        <f>'Biểu số 48'!L8</f>
        <v>13375</v>
      </c>
      <c r="G7" s="350">
        <f>'Biểu số 48'!N8</f>
        <v>123140</v>
      </c>
      <c r="H7" s="350">
        <f>'Biểu số 48'!P8</f>
        <v>17300</v>
      </c>
      <c r="I7" s="350">
        <f>'Biểu số 48'!R8</f>
        <v>13660</v>
      </c>
      <c r="J7" s="350">
        <f>'Biểu số 48'!T8</f>
        <v>30180</v>
      </c>
      <c r="K7" s="350">
        <f>'Biểu số 48'!V8</f>
        <v>8800</v>
      </c>
      <c r="L7" s="954">
        <f>C6-L6</f>
        <v>314866</v>
      </c>
      <c r="M7" s="954">
        <f>D6-D13</f>
        <v>1350</v>
      </c>
      <c r="S7" s="954">
        <f>F6-F13</f>
        <v>0</v>
      </c>
      <c r="T7" s="954">
        <f>G6-G13</f>
        <v>0</v>
      </c>
      <c r="X7" s="954">
        <f>I13-I42</f>
        <v>239026.96</v>
      </c>
      <c r="Z7" s="955">
        <v>8791</v>
      </c>
    </row>
    <row r="8" spans="1:28" s="955" customFormat="1" ht="19.5" customHeight="1" x14ac:dyDescent="0.2">
      <c r="A8" s="952" t="s">
        <v>11</v>
      </c>
      <c r="B8" s="953" t="s">
        <v>654</v>
      </c>
      <c r="C8" s="350">
        <f t="shared" ref="C8:K8" si="1">C9+C12+C11</f>
        <v>1890375</v>
      </c>
      <c r="D8" s="350">
        <f t="shared" si="1"/>
        <v>150072</v>
      </c>
      <c r="E8" s="350">
        <f t="shared" si="1"/>
        <v>211917</v>
      </c>
      <c r="F8" s="350">
        <f t="shared" si="1"/>
        <v>216763</v>
      </c>
      <c r="G8" s="350">
        <f t="shared" si="1"/>
        <v>211799</v>
      </c>
      <c r="H8" s="350">
        <f t="shared" si="1"/>
        <v>324026</v>
      </c>
      <c r="I8" s="350">
        <f t="shared" si="1"/>
        <v>226015</v>
      </c>
      <c r="J8" s="350">
        <f t="shared" si="1"/>
        <v>307722</v>
      </c>
      <c r="K8" s="350">
        <f t="shared" si="1"/>
        <v>242061</v>
      </c>
      <c r="L8" s="954"/>
      <c r="M8" s="954">
        <v>423</v>
      </c>
      <c r="T8" s="955">
        <v>13024</v>
      </c>
      <c r="X8" s="954">
        <f>I6-X7</f>
        <v>648.04000000000815</v>
      </c>
      <c r="Z8" s="954">
        <f>Z6-Z7</f>
        <v>-8791</v>
      </c>
    </row>
    <row r="9" spans="1:28" s="951" customFormat="1" ht="21.75" customHeight="1" x14ac:dyDescent="0.25">
      <c r="A9" s="948">
        <v>1</v>
      </c>
      <c r="B9" s="949" t="s">
        <v>655</v>
      </c>
      <c r="C9" s="352">
        <f>SUM(D9:K9)</f>
        <v>1641792</v>
      </c>
      <c r="D9" s="352">
        <f>121118+10370-478+VĐT!G5+1200-630+300+1200</f>
        <v>132284</v>
      </c>
      <c r="E9" s="352">
        <f>173042+1340+VĐT!G9+1200+1000</f>
        <v>176899</v>
      </c>
      <c r="F9" s="352">
        <f>196687+2465+VĐT!G11+1200+1000</f>
        <v>198138</v>
      </c>
      <c r="G9" s="352">
        <f>190577-500+VĐT!G10+1400+600</f>
        <v>191849</v>
      </c>
      <c r="H9" s="352">
        <f>266585-80+VĐT!G12+1400+1000</f>
        <v>274991</v>
      </c>
      <c r="I9" s="352">
        <f>179656+VĐT!G8+1100+1000</f>
        <v>183326</v>
      </c>
      <c r="J9" s="352">
        <f>273783+572+VĐT!G7+1400+1100</f>
        <v>273396</v>
      </c>
      <c r="K9" s="352">
        <f>207442+10+VĐT!G6+1100+1000</f>
        <v>210909</v>
      </c>
      <c r="M9" s="950">
        <f>E6-E13</f>
        <v>0</v>
      </c>
      <c r="T9" s="950">
        <f>T8-T7+371</f>
        <v>13395</v>
      </c>
      <c r="X9" s="951">
        <v>1100</v>
      </c>
    </row>
    <row r="10" spans="1:28" s="996" customFormat="1" ht="63.75" customHeight="1" x14ac:dyDescent="0.25">
      <c r="A10" s="994"/>
      <c r="B10" s="995" t="s">
        <v>1787</v>
      </c>
      <c r="C10" s="998">
        <f>SUM(D10:K10)</f>
        <v>17900</v>
      </c>
      <c r="D10" s="998">
        <f>2400</f>
        <v>2400</v>
      </c>
      <c r="E10" s="998">
        <f>1200+1000</f>
        <v>2200</v>
      </c>
      <c r="F10" s="998">
        <f>1200+1000</f>
        <v>2200</v>
      </c>
      <c r="G10" s="998">
        <f>1400+600</f>
        <v>2000</v>
      </c>
      <c r="H10" s="998">
        <f>1400+1000</f>
        <v>2400</v>
      </c>
      <c r="I10" s="998">
        <f>1100+1000</f>
        <v>2100</v>
      </c>
      <c r="J10" s="998">
        <f>1400+1100</f>
        <v>2500</v>
      </c>
      <c r="K10" s="998">
        <f>1100+1000</f>
        <v>2100</v>
      </c>
      <c r="M10" s="997"/>
      <c r="T10" s="997"/>
    </row>
    <row r="11" spans="1:28" s="951" customFormat="1" ht="18.75" customHeight="1" x14ac:dyDescent="0.25">
      <c r="A11" s="948">
        <v>2</v>
      </c>
      <c r="B11" s="949" t="s">
        <v>675</v>
      </c>
      <c r="C11" s="352">
        <f>SUM(D11:K11)</f>
        <v>143919</v>
      </c>
      <c r="D11" s="352">
        <f>'TLg1300'!P201+D35+4685</f>
        <v>10356</v>
      </c>
      <c r="E11" s="352">
        <f>'TLg1300'!P247+E35+6464</f>
        <v>22426</v>
      </c>
      <c r="F11" s="352">
        <f>'TLg1300'!P291+F35+6626</f>
        <v>9727</v>
      </c>
      <c r="G11" s="352">
        <f>5518-390</f>
        <v>5128</v>
      </c>
      <c r="H11" s="352">
        <f>'TLg1300'!P269+H35+12165</f>
        <v>32503</v>
      </c>
      <c r="I11" s="352">
        <f>'TLg1300'!P224+I35+5797</f>
        <v>26666</v>
      </c>
      <c r="J11" s="352">
        <f>'TLg1300'!P335+J35+8905</f>
        <v>20692</v>
      </c>
      <c r="K11" s="352">
        <f>'TLg1300'!P359+K35+9327</f>
        <v>16421</v>
      </c>
      <c r="L11" s="950"/>
      <c r="X11" s="950">
        <f>X9-X8</f>
        <v>451.95999999999185</v>
      </c>
      <c r="AA11" s="951">
        <v>8972</v>
      </c>
    </row>
    <row r="12" spans="1:28" s="951" customFormat="1" ht="15" x14ac:dyDescent="0.25">
      <c r="A12" s="948">
        <v>3</v>
      </c>
      <c r="B12" s="949" t="s">
        <v>13</v>
      </c>
      <c r="C12" s="352">
        <f t="shared" ref="C12" si="2">SUM(D12:K12)</f>
        <v>104664</v>
      </c>
      <c r="D12" s="352">
        <f>'Biểu 44.'!D6+'Biểu 43.'!C9</f>
        <v>7432</v>
      </c>
      <c r="E12" s="352">
        <f>'Biểu 44.'!F6+'Biểu 43.'!C10</f>
        <v>12592</v>
      </c>
      <c r="F12" s="352">
        <f>'Biểu 44.'!H6+'Biểu 43.'!C11</f>
        <v>8898</v>
      </c>
      <c r="G12" s="352">
        <f>'Biểu 44.'!J6+'Biểu 43.'!C12</f>
        <v>14822</v>
      </c>
      <c r="H12" s="352">
        <f>'Biểu 44.'!L6+'Biểu 43.'!C13</f>
        <v>16532</v>
      </c>
      <c r="I12" s="352">
        <f>'Biểu 44.'!N6+'Biểu 43.'!C14</f>
        <v>16023</v>
      </c>
      <c r="J12" s="352">
        <f>'Biểu 44.'!P6+'Biểu 43.'!C15</f>
        <v>13634</v>
      </c>
      <c r="K12" s="352">
        <f>'Biểu 44.'!R6+'Biểu 43.'!C16</f>
        <v>14731</v>
      </c>
      <c r="L12" s="950">
        <f>I6-I13</f>
        <v>0</v>
      </c>
      <c r="AA12" s="951">
        <v>9327</v>
      </c>
    </row>
    <row r="13" spans="1:28" s="955" customFormat="1" ht="14.25" x14ac:dyDescent="0.2">
      <c r="A13" s="952" t="s">
        <v>3</v>
      </c>
      <c r="B13" s="953" t="s">
        <v>656</v>
      </c>
      <c r="C13" s="350">
        <f>C14+C19+C33</f>
        <v>2215630</v>
      </c>
      <c r="D13" s="350">
        <f t="shared" ref="D13:K13" si="3">D14+D19+D33</f>
        <v>256802</v>
      </c>
      <c r="E13" s="350">
        <f t="shared" si="3"/>
        <v>223987</v>
      </c>
      <c r="F13" s="350">
        <f t="shared" si="3"/>
        <v>230138</v>
      </c>
      <c r="G13" s="350">
        <f>G14+G19+G33</f>
        <v>334939</v>
      </c>
      <c r="H13" s="350">
        <f t="shared" si="3"/>
        <v>341326</v>
      </c>
      <c r="I13" s="350">
        <f t="shared" si="3"/>
        <v>239675</v>
      </c>
      <c r="J13" s="350">
        <f t="shared" si="3"/>
        <v>337902</v>
      </c>
      <c r="K13" s="350">
        <f t="shared" si="3"/>
        <v>250861</v>
      </c>
      <c r="L13" s="954"/>
      <c r="M13" s="954"/>
      <c r="P13" s="956"/>
      <c r="X13" s="954"/>
      <c r="AA13" s="955">
        <f>AA12-AA11</f>
        <v>355</v>
      </c>
      <c r="AB13" s="1181"/>
    </row>
    <row r="14" spans="1:28" s="955" customFormat="1" ht="14.25" x14ac:dyDescent="0.2">
      <c r="A14" s="952" t="s">
        <v>9</v>
      </c>
      <c r="B14" s="953" t="s">
        <v>657</v>
      </c>
      <c r="C14" s="350">
        <f>C15+C17+C16</f>
        <v>161047</v>
      </c>
      <c r="D14" s="350">
        <f t="shared" ref="D14:K14" si="4">D15+D17+D16</f>
        <v>62005</v>
      </c>
      <c r="E14" s="350">
        <f t="shared" si="4"/>
        <v>10729</v>
      </c>
      <c r="F14" s="350">
        <f t="shared" si="4"/>
        <v>9657</v>
      </c>
      <c r="G14" s="350">
        <f>G15+G17+G16</f>
        <v>20069</v>
      </c>
      <c r="H14" s="350">
        <f t="shared" si="4"/>
        <v>17444</v>
      </c>
      <c r="I14" s="350">
        <f t="shared" si="4"/>
        <v>10451</v>
      </c>
      <c r="J14" s="350">
        <f t="shared" si="4"/>
        <v>17411</v>
      </c>
      <c r="K14" s="350">
        <f t="shared" si="4"/>
        <v>13281</v>
      </c>
      <c r="L14" s="954">
        <f>I6-I13</f>
        <v>0</v>
      </c>
      <c r="M14" s="954"/>
      <c r="P14" s="956"/>
    </row>
    <row r="15" spans="1:28" s="951" customFormat="1" ht="15.75" customHeight="1" x14ac:dyDescent="0.25">
      <c r="A15" s="948">
        <v>1</v>
      </c>
      <c r="B15" s="949" t="s">
        <v>658</v>
      </c>
      <c r="C15" s="352">
        <f>SUM(D15:K15)</f>
        <v>84147</v>
      </c>
      <c r="D15" s="352">
        <f>VĐT!E5-630</f>
        <v>14755</v>
      </c>
      <c r="E15" s="352">
        <f>VĐT!E9</f>
        <v>8199</v>
      </c>
      <c r="F15" s="352">
        <f>VĐT!E11</f>
        <v>6887</v>
      </c>
      <c r="G15" s="352">
        <f>VĐT!E10</f>
        <v>14569</v>
      </c>
      <c r="H15" s="352">
        <f>VĐT!E12</f>
        <v>13744</v>
      </c>
      <c r="I15" s="352">
        <f>VĐT!E8</f>
        <v>9001</v>
      </c>
      <c r="J15" s="352">
        <f>VĐT!E7</f>
        <v>7411</v>
      </c>
      <c r="K15" s="352">
        <f>VĐT!E6</f>
        <v>9581</v>
      </c>
      <c r="L15" s="954">
        <f>C6-C13</f>
        <v>1350</v>
      </c>
      <c r="O15" s="955">
        <v>461</v>
      </c>
      <c r="P15" s="2150" t="s">
        <v>906</v>
      </c>
      <c r="Q15" s="2150"/>
      <c r="X15" s="950"/>
    </row>
    <row r="16" spans="1:28" s="951" customFormat="1" ht="18" customHeight="1" x14ac:dyDescent="0.25">
      <c r="A16" s="948">
        <v>2</v>
      </c>
      <c r="B16" s="949" t="s">
        <v>1479</v>
      </c>
      <c r="C16" s="352">
        <f>SUM(D16:K16)</f>
        <v>6700</v>
      </c>
      <c r="D16" s="352">
        <f>'Biểu 43.'!C9</f>
        <v>0</v>
      </c>
      <c r="E16" s="352">
        <f>'Biểu 43.'!C10</f>
        <v>1000</v>
      </c>
      <c r="F16" s="352">
        <f>'Biểu 43.'!C11</f>
        <v>700</v>
      </c>
      <c r="G16" s="352">
        <f>'Biểu 43.'!C12</f>
        <v>1000</v>
      </c>
      <c r="H16" s="352">
        <f>'Biểu 43.'!C13</f>
        <v>1000</v>
      </c>
      <c r="I16" s="352">
        <f>'Biểu 43.'!C14</f>
        <v>1000</v>
      </c>
      <c r="J16" s="352">
        <f>'Biểu 43.'!C15</f>
        <v>1000</v>
      </c>
      <c r="K16" s="352">
        <f>'Biểu 43.'!C16</f>
        <v>1000</v>
      </c>
      <c r="L16" s="954"/>
      <c r="O16" s="955"/>
      <c r="P16" s="2150"/>
      <c r="Q16" s="2150"/>
      <c r="T16" s="2146" t="s">
        <v>595</v>
      </c>
      <c r="U16" s="2146"/>
      <c r="X16" s="950"/>
    </row>
    <row r="17" spans="1:27" s="951" customFormat="1" ht="15" x14ac:dyDescent="0.25">
      <c r="A17" s="948">
        <v>3</v>
      </c>
      <c r="B17" s="949" t="s">
        <v>659</v>
      </c>
      <c r="C17" s="352">
        <f>SUM(D17:K17)</f>
        <v>70200</v>
      </c>
      <c r="D17" s="352">
        <f>'Biểu số 48'!H32</f>
        <v>47250</v>
      </c>
      <c r="E17" s="352">
        <f>'Biểu số 48'!J32</f>
        <v>1530</v>
      </c>
      <c r="F17" s="352">
        <f>'Biểu số 48'!L32</f>
        <v>2070</v>
      </c>
      <c r="G17" s="352">
        <f>'Biểu số 48'!N32</f>
        <v>4500</v>
      </c>
      <c r="H17" s="352">
        <f>'Biểu số 48'!P32</f>
        <v>2700</v>
      </c>
      <c r="I17" s="352">
        <f>'Biểu số 48'!R32</f>
        <v>450</v>
      </c>
      <c r="J17" s="352">
        <f>'Biểu số 48'!T32</f>
        <v>9000</v>
      </c>
      <c r="K17" s="352">
        <f>'Biểu số 48'!V32</f>
        <v>2700</v>
      </c>
      <c r="L17" s="950"/>
      <c r="O17" s="955">
        <v>370</v>
      </c>
      <c r="P17" s="2150"/>
      <c r="Q17" s="2150"/>
      <c r="S17" s="1500" t="s">
        <v>594</v>
      </c>
      <c r="U17" s="951" t="s">
        <v>1491</v>
      </c>
      <c r="Y17" s="951" t="s">
        <v>1493</v>
      </c>
      <c r="Z17" s="950"/>
    </row>
    <row r="18" spans="1:27" s="951" customFormat="1" ht="15" hidden="1" x14ac:dyDescent="0.25">
      <c r="A18" s="948"/>
      <c r="B18" s="949" t="s">
        <v>660</v>
      </c>
      <c r="C18" s="352">
        <f>SUM(D18:K18)</f>
        <v>0</v>
      </c>
      <c r="D18" s="352"/>
      <c r="E18" s="352"/>
      <c r="F18" s="352"/>
      <c r="G18" s="352"/>
      <c r="H18" s="352"/>
      <c r="I18" s="352"/>
      <c r="J18" s="352"/>
      <c r="K18" s="352"/>
    </row>
    <row r="19" spans="1:27" s="955" customFormat="1" ht="14.25" x14ac:dyDescent="0.2">
      <c r="A19" s="952" t="s">
        <v>11</v>
      </c>
      <c r="B19" s="953" t="s">
        <v>661</v>
      </c>
      <c r="C19" s="350">
        <f>SUM(C20:C23)+SUM(C26:C32)</f>
        <v>2009240</v>
      </c>
      <c r="D19" s="350">
        <f>SUM(D20:D23)+SUM(D26:D32)</f>
        <v>189515</v>
      </c>
      <c r="E19" s="350">
        <f t="shared" ref="E19:K19" si="5">SUM(E20:E23)+SUM(E26:E32)</f>
        <v>208679</v>
      </c>
      <c r="F19" s="350">
        <f>SUM(F20:F23)+SUM(F26:F32)</f>
        <v>215624</v>
      </c>
      <c r="G19" s="350">
        <f>SUM(G20:G23)+SUM(G26:G32)</f>
        <v>307894</v>
      </c>
      <c r="H19" s="350">
        <f t="shared" si="5"/>
        <v>317031</v>
      </c>
      <c r="I19" s="350">
        <f t="shared" si="5"/>
        <v>224477</v>
      </c>
      <c r="J19" s="350">
        <f>SUM(J20:J23)+SUM(J26:J32)</f>
        <v>313471</v>
      </c>
      <c r="K19" s="350">
        <f t="shared" si="5"/>
        <v>232549</v>
      </c>
      <c r="L19" s="954">
        <f>J6-J13</f>
        <v>0</v>
      </c>
      <c r="M19" s="350">
        <v>180503</v>
      </c>
      <c r="N19" s="955" t="s">
        <v>907</v>
      </c>
      <c r="O19" s="350">
        <f>8594-P19</f>
        <v>7044</v>
      </c>
      <c r="P19" s="955">
        <v>1550</v>
      </c>
      <c r="R19" s="955">
        <v>200433</v>
      </c>
      <c r="S19" s="350">
        <v>208897</v>
      </c>
      <c r="T19" s="350">
        <v>293388</v>
      </c>
      <c r="U19" s="350">
        <f>SUM(U20:U34)</f>
        <v>4430</v>
      </c>
      <c r="V19" s="350">
        <v>4430</v>
      </c>
      <c r="W19" s="350">
        <v>302249</v>
      </c>
      <c r="X19" s="350">
        <v>214081</v>
      </c>
      <c r="Y19" s="954">
        <f>SUM(Y20:Y34)</f>
        <v>1051</v>
      </c>
      <c r="Z19" s="350">
        <v>303563</v>
      </c>
      <c r="AA19" s="350">
        <v>225798</v>
      </c>
    </row>
    <row r="20" spans="1:27" s="951" customFormat="1" ht="15" x14ac:dyDescent="0.25">
      <c r="A20" s="948">
        <v>1</v>
      </c>
      <c r="B20" s="949" t="s">
        <v>662</v>
      </c>
      <c r="C20" s="352">
        <f>SUM(D20:K20)</f>
        <v>124779</v>
      </c>
      <c r="D20" s="352">
        <f>33096+'Biểu 44.'!E16+'Biểu 44.'!E22+'Biểu 44.'!E24+'Biểu 44.'!E31+'TL 1390'!N230-468+'Biểu 44.'!E30+'Biểu 44.'!E39</f>
        <v>33681</v>
      </c>
      <c r="E20" s="352">
        <f>13121+'Biểu 44.'!G16+'Biểu 44.'!G24+'Biểu 44.'!G39+'TL 1390'!N275-423+'Biểu 44.'!G30</f>
        <v>10134</v>
      </c>
      <c r="F20" s="352">
        <f>12216+'Biểu 44.'!I16+'Biểu 44.'!I24+'Biểu 44.'!I39+'TL 1390'!N318-175+'Biểu 44.'!I30</f>
        <v>11212</v>
      </c>
      <c r="G20" s="352">
        <f>22722+'Biểu 44.'!K16+'Biểu 44.'!K24+'Biểu 44.'!K39+'TL 1390'!N340+U20+'Biểu 44.'!K30-78</f>
        <v>20736</v>
      </c>
      <c r="H20" s="352">
        <f>16692+'Biểu 44.'!M16+'Biểu 44.'!M24+'Biểu 44.'!M39+'TL 1390'!O296-80-576+'Biểu 44.'!M30</f>
        <v>13373</v>
      </c>
      <c r="I20" s="352">
        <f>14066+'Biểu 44.'!O16+'Biểu 44.'!O24+'Biểu 44.'!O39+'Biểu 44.'!O22+'TL 1390'!M253+Y20+'Biểu 44.'!O30</f>
        <v>11191</v>
      </c>
      <c r="J20" s="352">
        <f>15884+'Biểu 44.'!Q16+'Biểu 44.'!Q24+'Biểu 44.'!Q39-438+'TL 1390'!M364+'Biểu 44.'!Q30</f>
        <v>14514</v>
      </c>
      <c r="K20" s="352">
        <f>13542+'Biểu 44.'!S16+'Biểu 44.'!S22+'Biểu 44.'!S24+'Biểu 44.'!S39+'TL 1390'!M388-292-200+'Biểu 44.'!S30</f>
        <v>9938</v>
      </c>
      <c r="L20" s="950">
        <f>K6-K13</f>
        <v>0</v>
      </c>
      <c r="M20" s="950">
        <f>'Biểu 44.'!E6</f>
        <v>2573</v>
      </c>
      <c r="O20" s="951">
        <v>3800</v>
      </c>
      <c r="R20" s="950">
        <f>'Biểu 44.'!G6</f>
        <v>5</v>
      </c>
      <c r="S20" s="950">
        <f>'Biểu 44.'!I6</f>
        <v>-1924</v>
      </c>
      <c r="T20" s="950">
        <f>'Biểu 44.'!K6</f>
        <v>-533</v>
      </c>
      <c r="U20" s="951">
        <v>1000</v>
      </c>
      <c r="W20" s="950">
        <f>'Biểu 44.'!M6</f>
        <v>1043</v>
      </c>
      <c r="X20" s="950">
        <f>'Biểu 44.'!O6</f>
        <v>945</v>
      </c>
      <c r="Y20" s="951">
        <f>200-25-30</f>
        <v>145</v>
      </c>
      <c r="Z20" s="950">
        <f>'Biểu 44.'!Q6</f>
        <v>-831</v>
      </c>
      <c r="AA20" s="950">
        <f>'Biểu 44.'!S6</f>
        <v>-3676</v>
      </c>
    </row>
    <row r="21" spans="1:27" s="951" customFormat="1" ht="15" x14ac:dyDescent="0.25">
      <c r="A21" s="948">
        <v>2</v>
      </c>
      <c r="B21" s="949" t="s">
        <v>663</v>
      </c>
      <c r="C21" s="352">
        <f t="shared" ref="C21:C32" si="6">SUM(D21:K21)</f>
        <v>7600</v>
      </c>
      <c r="D21" s="352">
        <f>3000+'Biểu 44.'!E32</f>
        <v>4000</v>
      </c>
      <c r="E21" s="352">
        <v>400</v>
      </c>
      <c r="F21" s="352">
        <v>400</v>
      </c>
      <c r="G21" s="352">
        <f>600+U21</f>
        <v>1000</v>
      </c>
      <c r="H21" s="352">
        <v>600</v>
      </c>
      <c r="I21" s="352">
        <v>400</v>
      </c>
      <c r="J21" s="352">
        <v>400</v>
      </c>
      <c r="K21" s="352">
        <v>400</v>
      </c>
      <c r="L21" s="950"/>
      <c r="M21" s="950">
        <f>M19+M20</f>
        <v>183076</v>
      </c>
      <c r="R21" s="950">
        <f>R19+R20</f>
        <v>200438</v>
      </c>
      <c r="S21" s="950">
        <f>S19+S20</f>
        <v>206973</v>
      </c>
      <c r="T21" s="950">
        <f>T19+T20</f>
        <v>292855</v>
      </c>
      <c r="U21" s="951">
        <v>400</v>
      </c>
      <c r="W21" s="954">
        <f>W19+W20</f>
        <v>303292</v>
      </c>
      <c r="X21" s="950">
        <f>X19+X20</f>
        <v>215026</v>
      </c>
      <c r="Z21" s="950">
        <f>Z19+Z20</f>
        <v>302732</v>
      </c>
      <c r="AA21" s="350">
        <f>AA19+AA20</f>
        <v>222122</v>
      </c>
    </row>
    <row r="22" spans="1:27" s="951" customFormat="1" ht="15" x14ac:dyDescent="0.25">
      <c r="A22" s="948">
        <v>3</v>
      </c>
      <c r="B22" s="949" t="s">
        <v>664</v>
      </c>
      <c r="C22" s="352">
        <f t="shared" si="6"/>
        <v>651230</v>
      </c>
      <c r="D22" s="352">
        <f>51987+'Biểu 44.'!E25+'Biểu 44.'!E28+'Biểu 44.'!E35+'Biểu 44.'!E38+'Biểu 44.'!E34+'TL 1390'!N210+'Biểu 44.'!E29+'Biểu 44.'!E40+300+1200</f>
        <v>54993</v>
      </c>
      <c r="E22" s="352">
        <f>77037+'Biểu 44.'!G15+'Biểu 44.'!G28+'Biểu 44.'!G34+'Biểu 44.'!G35+'TL 1390'!N255+'Biểu 44.'!G29+'Biểu 44.'!G40+1000</f>
        <v>79720</v>
      </c>
      <c r="F22" s="352">
        <f>72143+'Biểu 44.'!I15+'Biểu 44.'!I25+'Biểu 44.'!I28+'Biểu 44.'!I34+'Biểu 44.'!I38+'Biểu 44.'!I35+'TL 1390'!N298+'Biểu 44.'!I29+'Biểu 44.'!I40+1000</f>
        <v>74659</v>
      </c>
      <c r="G22" s="352">
        <f>98299+'Biểu 44.'!K15+'Biểu 44.'!K25+'Biểu 44.'!K28+'Biểu 44.'!K34+'Biểu 44.'!K35+'Biểu 44.'!K38+'TL 1390'!N320+U22+600+'Biểu 44.'!K29+'Biểu 44.'!K40</f>
        <v>101896</v>
      </c>
      <c r="H22" s="352">
        <f>102331+'Biểu 44.'!M28+'Biểu 44.'!M34+'Biểu 44.'!M38+'Biểu 44.'!M25+'Biểu 44.'!M15+'Biểu 44.'!M35+'TL 1390'!O277-170+1000+'Biểu 44.'!M29+'Biểu 44.'!M40</f>
        <v>107218</v>
      </c>
      <c r="I22" s="352">
        <f>66481+'Biểu 44.'!O15+'Biểu 44.'!O25+'Biểu 44.'!O35+'Biểu 44.'!O28+'Biểu 44.'!O38+'Biểu 44.'!O34+1000+'TL 1390'!M232+Y22+'Biểu 44.'!O29+'Biểu 44.'!O40</f>
        <v>68277</v>
      </c>
      <c r="J22" s="352">
        <f>94545+'Biểu 44.'!Q15+'Biểu 44.'!Q25+'Biểu 44.'!Q28+'Biểu 44.'!Q34+'Biểu 44.'!Q35+'Biểu 44.'!Q38+'TL 1390'!M342-114+'Biểu 44.'!Q40+1100</f>
        <v>96805</v>
      </c>
      <c r="K22" s="352">
        <f>64049+'Biểu 44.'!S15+'Biểu 44.'!S28+'Biểu 44.'!S34+'Biểu 44.'!S35+'Biểu 44.'!S38+'TL 1390'!M366-153+'Biểu 44.'!S29+'Biểu 44.'!S40+1000</f>
        <v>67662</v>
      </c>
      <c r="L22" s="950"/>
      <c r="M22" s="950">
        <v>4685</v>
      </c>
      <c r="O22" s="951">
        <v>1200</v>
      </c>
      <c r="R22" s="950">
        <v>6464</v>
      </c>
      <c r="S22" s="950">
        <v>6626</v>
      </c>
      <c r="T22" s="951">
        <v>5518</v>
      </c>
      <c r="U22" s="951">
        <v>500</v>
      </c>
      <c r="W22" s="951">
        <v>12165</v>
      </c>
      <c r="X22" s="950">
        <v>6846</v>
      </c>
      <c r="Y22" s="951">
        <v>100</v>
      </c>
      <c r="Z22" s="950">
        <f>'TL 1390'!M341</f>
        <v>8791</v>
      </c>
      <c r="AA22" s="950">
        <f>'TL 1390'!M365</f>
        <v>8972</v>
      </c>
    </row>
    <row r="23" spans="1:27" s="951" customFormat="1" ht="15" x14ac:dyDescent="0.25">
      <c r="A23" s="948">
        <v>4</v>
      </c>
      <c r="B23" s="949" t="s">
        <v>665</v>
      </c>
      <c r="C23" s="352">
        <f>SUM(D23:K23)</f>
        <v>1044057</v>
      </c>
      <c r="D23" s="352">
        <f>D24+D25</f>
        <v>78557</v>
      </c>
      <c r="E23" s="352">
        <f t="shared" ref="E23:L23" si="7">E24+E25</f>
        <v>98339</v>
      </c>
      <c r="F23" s="352">
        <f t="shared" si="7"/>
        <v>107259</v>
      </c>
      <c r="G23" s="352">
        <f t="shared" si="7"/>
        <v>152907</v>
      </c>
      <c r="H23" s="352">
        <f t="shared" si="7"/>
        <v>167361</v>
      </c>
      <c r="I23" s="352">
        <f t="shared" si="7"/>
        <v>125753</v>
      </c>
      <c r="J23" s="352">
        <f t="shared" si="7"/>
        <v>176448</v>
      </c>
      <c r="K23" s="352">
        <f t="shared" si="7"/>
        <v>137433</v>
      </c>
      <c r="L23" s="352">
        <f t="shared" si="7"/>
        <v>0</v>
      </c>
      <c r="M23" s="950">
        <f>M21+M22</f>
        <v>187761</v>
      </c>
      <c r="P23" s="950"/>
      <c r="R23" s="950">
        <f>R21+R22</f>
        <v>206902</v>
      </c>
      <c r="S23" s="950">
        <f>S21+S22</f>
        <v>213599</v>
      </c>
      <c r="T23" s="950">
        <f>T21+T22</f>
        <v>298373</v>
      </c>
      <c r="W23" s="950">
        <f>W21+W22</f>
        <v>315457</v>
      </c>
      <c r="X23" s="950">
        <f>X21+X22</f>
        <v>221872</v>
      </c>
      <c r="Y23" s="950"/>
      <c r="Z23" s="950">
        <f>Z21+Z22</f>
        <v>311523</v>
      </c>
      <c r="AA23" s="950">
        <f>AA21+AA22</f>
        <v>231094</v>
      </c>
    </row>
    <row r="24" spans="1:27" s="951" customFormat="1" ht="15" hidden="1" x14ac:dyDescent="0.25">
      <c r="A24" s="948" t="s">
        <v>666</v>
      </c>
      <c r="B24" s="949" t="s">
        <v>667</v>
      </c>
      <c r="C24" s="352">
        <f>SUM(D24:K24)</f>
        <v>1025717</v>
      </c>
      <c r="D24" s="352">
        <f>74353+'Biểu 44.'!E7+'Biểu 44.'!E11+'TL 1390'!N224-478+1200</f>
        <v>77873</v>
      </c>
      <c r="E24" s="352">
        <f>88800+'Biểu 44.'!G7+'Biểu 44.'!G9+'Biểu 44.'!G10+'Biểu 44.'!G11+'Biểu 44.'!G26+'TL 1390'!N268+1200</f>
        <v>96174</v>
      </c>
      <c r="F24" s="352">
        <f>100315+'Biểu 44.'!I7+'Biểu 44.'!I9+'Biểu 44.'!I11+'Biểu 44.'!I14+'Biểu 44.'!I26+'TL 1390'!N311+1200</f>
        <v>104997</v>
      </c>
      <c r="G24" s="352">
        <f>141602+'Biểu 44.'!K7+'Biểu 44.'!K9+'Biểu 44.'!K10+'Biểu 44.'!K11+'TL 1390'!N333-500+U24+1400</f>
        <v>150020</v>
      </c>
      <c r="H24" s="352">
        <f>154149+'Biểu 44.'!M7+'Biểu 44.'!M9+'Biểu 44.'!M10+'Biểu 44.'!M11+'Biểu 44.'!M26+1400+'TL 1390'!O290</f>
        <v>165017</v>
      </c>
      <c r="I24" s="352">
        <f>114118+'Biểu 44.'!O7+'Biểu 44.'!O8+'Biểu 44.'!O9+'Biểu 44.'!O10+'Biểu 44.'!O11+'Biểu 44.'!O26+'TL 1390'!M246+Y24+1100</f>
        <v>123677</v>
      </c>
      <c r="J24" s="352">
        <f>164707+'Biểu 44.'!Q7+'Biểu 44.'!Q9+'Biểu 44.'!Q10+'Biểu 44.'!Q11+'Biểu 44.'!Q26+'Biểu 44.'!Q14+'TL 1390'!M357+1400</f>
        <v>173190</v>
      </c>
      <c r="K24" s="352">
        <f>129258+'Biểu 44.'!S7+'Biểu 44.'!S9+'Biểu 44.'!S10+'Biểu 44.'!S11+'TL 1390'!M381+1100</f>
        <v>134769</v>
      </c>
      <c r="L24" s="950"/>
      <c r="O24" s="951">
        <v>600</v>
      </c>
      <c r="S24" s="951">
        <v>82</v>
      </c>
      <c r="U24" s="951">
        <v>1000</v>
      </c>
      <c r="X24" s="950">
        <f>I19-X23</f>
        <v>2605</v>
      </c>
      <c r="Y24" s="951">
        <v>100</v>
      </c>
    </row>
    <row r="25" spans="1:27" s="951" customFormat="1" ht="15" hidden="1" x14ac:dyDescent="0.25">
      <c r="A25" s="948"/>
      <c r="B25" s="949" t="s">
        <v>668</v>
      </c>
      <c r="C25" s="352">
        <f>SUM(D25:K25)</f>
        <v>18340</v>
      </c>
      <c r="D25" s="352">
        <v>684</v>
      </c>
      <c r="E25" s="352">
        <f>2141+'Biểu 44.'!G37</f>
        <v>2165</v>
      </c>
      <c r="F25" s="352">
        <f>2310+'Biểu 44.'!I37</f>
        <v>2262</v>
      </c>
      <c r="G25" s="352">
        <f>2562+'Biểu 44.'!K37+U25</f>
        <v>2887</v>
      </c>
      <c r="H25" s="352">
        <f>2366+'Biểu 44.'!M37</f>
        <v>2344</v>
      </c>
      <c r="I25" s="352">
        <f>2098+'Biểu 44.'!O37</f>
        <v>2076</v>
      </c>
      <c r="J25" s="352">
        <f>3233+'Biểu 44.'!Q37</f>
        <v>3258</v>
      </c>
      <c r="K25" s="352">
        <f>2686+'Biểu 44.'!S37</f>
        <v>2664</v>
      </c>
      <c r="M25" s="950"/>
      <c r="S25" s="955">
        <v>8</v>
      </c>
      <c r="U25" s="951">
        <v>300</v>
      </c>
      <c r="W25" s="951">
        <v>73</v>
      </c>
      <c r="X25" s="951">
        <v>30</v>
      </c>
      <c r="Z25" s="951">
        <v>89</v>
      </c>
      <c r="AA25" s="951">
        <v>71</v>
      </c>
    </row>
    <row r="26" spans="1:27" s="951" customFormat="1" ht="15" x14ac:dyDescent="0.25">
      <c r="A26" s="948">
        <v>7</v>
      </c>
      <c r="B26" s="949" t="s">
        <v>466</v>
      </c>
      <c r="C26" s="352">
        <f t="shared" si="6"/>
        <v>8273</v>
      </c>
      <c r="D26" s="352">
        <f>912+36</f>
        <v>948</v>
      </c>
      <c r="E26" s="352">
        <f>754+35</f>
        <v>789</v>
      </c>
      <c r="F26" s="352">
        <f>991+38</f>
        <v>1029</v>
      </c>
      <c r="G26" s="352">
        <f>1314+40+U26</f>
        <v>1404</v>
      </c>
      <c r="H26" s="352">
        <f>1013+W26</f>
        <v>1043</v>
      </c>
      <c r="I26" s="352">
        <f>573+30</f>
        <v>603</v>
      </c>
      <c r="J26" s="352">
        <f>1460+Z26</f>
        <v>1500</v>
      </c>
      <c r="K26" s="352">
        <f>927+AA26</f>
        <v>957</v>
      </c>
      <c r="O26" s="951">
        <f>14+100</f>
        <v>114</v>
      </c>
      <c r="S26" s="955">
        <v>38</v>
      </c>
      <c r="T26" s="951">
        <v>40</v>
      </c>
      <c r="U26" s="951">
        <v>50</v>
      </c>
      <c r="W26" s="951">
        <v>30</v>
      </c>
      <c r="X26" s="951">
        <v>30</v>
      </c>
      <c r="Z26" s="951">
        <v>40</v>
      </c>
      <c r="AA26" s="951">
        <v>30</v>
      </c>
    </row>
    <row r="27" spans="1:27" s="951" customFormat="1" ht="15" x14ac:dyDescent="0.25">
      <c r="A27" s="948">
        <v>8</v>
      </c>
      <c r="B27" s="949" t="s">
        <v>468</v>
      </c>
      <c r="C27" s="352">
        <f t="shared" si="6"/>
        <v>1229</v>
      </c>
      <c r="D27" s="352">
        <f>121+10</f>
        <v>131</v>
      </c>
      <c r="E27" s="352">
        <f>5+160</f>
        <v>165</v>
      </c>
      <c r="F27" s="352">
        <f>8+105</f>
        <v>113</v>
      </c>
      <c r="G27" s="352">
        <f>7+128+U27</f>
        <v>155</v>
      </c>
      <c r="H27" s="352">
        <f>202+W27</f>
        <v>210</v>
      </c>
      <c r="I27" s="352">
        <f>97+8</f>
        <v>105</v>
      </c>
      <c r="J27" s="352">
        <f>191+Z27</f>
        <v>200</v>
      </c>
      <c r="K27" s="352">
        <f>141+AA27</f>
        <v>150</v>
      </c>
      <c r="O27" s="951">
        <v>30</v>
      </c>
      <c r="S27" s="955">
        <f>S24-S25-S26</f>
        <v>36</v>
      </c>
      <c r="T27" s="951">
        <v>7</v>
      </c>
      <c r="U27" s="951">
        <v>20</v>
      </c>
      <c r="W27" s="951">
        <v>8</v>
      </c>
      <c r="X27" s="951">
        <v>6</v>
      </c>
      <c r="Z27" s="951">
        <v>9</v>
      </c>
      <c r="AA27" s="951">
        <v>9</v>
      </c>
    </row>
    <row r="28" spans="1:27" s="951" customFormat="1" ht="15" x14ac:dyDescent="0.25">
      <c r="A28" s="948">
        <v>9</v>
      </c>
      <c r="B28" s="949" t="s">
        <v>669</v>
      </c>
      <c r="C28" s="352">
        <f t="shared" si="6"/>
        <v>10791</v>
      </c>
      <c r="D28" s="352">
        <f>980+30</f>
        <v>1010</v>
      </c>
      <c r="E28" s="352">
        <f>35+1196</f>
        <v>1231</v>
      </c>
      <c r="F28" s="352">
        <f>36+1121</f>
        <v>1157</v>
      </c>
      <c r="G28" s="352">
        <f>30+1539+U28</f>
        <v>1619</v>
      </c>
      <c r="H28" s="352">
        <f>1421+W28</f>
        <v>1456</v>
      </c>
      <c r="I28" s="352">
        <f>1622+30</f>
        <v>1652</v>
      </c>
      <c r="J28" s="352">
        <f>1563+Z28</f>
        <v>1603</v>
      </c>
      <c r="K28" s="352">
        <f>1031+AA28</f>
        <v>1063</v>
      </c>
      <c r="O28" s="951">
        <v>100</v>
      </c>
      <c r="T28" s="951">
        <v>30</v>
      </c>
      <c r="U28" s="951">
        <v>50</v>
      </c>
      <c r="W28" s="951">
        <v>35</v>
      </c>
      <c r="Z28" s="951">
        <v>40</v>
      </c>
      <c r="AA28" s="951">
        <v>32</v>
      </c>
    </row>
    <row r="29" spans="1:27" s="951" customFormat="1" ht="15" x14ac:dyDescent="0.25">
      <c r="A29" s="948">
        <v>10</v>
      </c>
      <c r="B29" s="949" t="s">
        <v>84</v>
      </c>
      <c r="C29" s="352">
        <f t="shared" si="6"/>
        <v>99476</v>
      </c>
      <c r="D29" s="352">
        <f>9095+'Biểu 44.'!E12+'Biểu 44.'!E13+'Biểu 44.'!E36+'Biểu 44.'!E27+'TL 1390'!N223</f>
        <v>9583</v>
      </c>
      <c r="E29" s="352">
        <f>10552+'Biểu 44.'!G12+'Biểu 44.'!G13+'Biểu 44.'!G23+'Biểu 44.'!G27+'Biểu 44.'!G36+'TL 1390'!N267</f>
        <v>11178</v>
      </c>
      <c r="F29" s="352">
        <f>12366+'Biểu 44.'!I12+'Biểu 44.'!I13+'Biểu 44.'!I36+'Biểu 44.'!I23+'TL 1390'!N310</f>
        <v>12428</v>
      </c>
      <c r="G29" s="352">
        <f>14795+'Biểu 44.'!K12+'Biểu 44.'!K13+'Biểu 44.'!K23+'Biểu 44.'!K27+'Biểu 44.'!K36+'TL 1390'!N332+U29</f>
        <v>17325</v>
      </c>
      <c r="H29" s="352">
        <f>14242+'Biểu 44.'!M12+'Biểu 44.'!M13+'Biểu 44.'!M23+'Biểu 44.'!M36+'TL 1390'!O289</f>
        <v>15949</v>
      </c>
      <c r="I29" s="352">
        <f>9192+'Biểu 44.'!O12+'Biểu 44.'!O13+'Biểu 44.'!O23+'Biểu 44.'!O27+'Biểu 44.'!O36+'TL 1390'!M244+Y29</f>
        <v>10551</v>
      </c>
      <c r="J29" s="352">
        <f>13089+'Biểu 44.'!Q12+'Biểu 44.'!Q13+'Biểu 44.'!Q23+'TL 1390'!M356</f>
        <v>13046</v>
      </c>
      <c r="K29" s="352">
        <f>8613+'Biểu 44.'!S12+'Biểu 44.'!S13+'Biểu 44.'!S23+'Biểu 44.'!S36+'TL 1390'!M380</f>
        <v>9416</v>
      </c>
      <c r="O29" s="951">
        <v>500</v>
      </c>
      <c r="U29" s="951">
        <v>300</v>
      </c>
      <c r="Y29" s="951">
        <v>30</v>
      </c>
    </row>
    <row r="30" spans="1:27" s="951" customFormat="1" ht="15" x14ac:dyDescent="0.25">
      <c r="A30" s="948">
        <v>11</v>
      </c>
      <c r="B30" s="949" t="s">
        <v>450</v>
      </c>
      <c r="C30" s="352">
        <f>SUM(D30:K30)</f>
        <v>7271</v>
      </c>
      <c r="D30" s="352">
        <f>822+'Biểu 44.'!E19</f>
        <v>902</v>
      </c>
      <c r="E30" s="352">
        <f>707+'Biểu 44.'!G19</f>
        <v>777</v>
      </c>
      <c r="F30" s="352">
        <f>727+'Biểu 44.'!I19</f>
        <v>797</v>
      </c>
      <c r="G30" s="352">
        <f>1158+U30+'Biểu 44.'!K19</f>
        <v>1477</v>
      </c>
      <c r="H30" s="352">
        <f>925+'Biểu 44.'!M19</f>
        <v>995</v>
      </c>
      <c r="I30" s="352">
        <f>608+Y30+'Biểu 44.'!O19</f>
        <v>758</v>
      </c>
      <c r="J30" s="352">
        <f>821+'Biểu 44.'!Q19</f>
        <v>891</v>
      </c>
      <c r="K30" s="352">
        <f>614+'Biểu 44.'!S19</f>
        <v>674</v>
      </c>
      <c r="O30" s="951">
        <v>200</v>
      </c>
      <c r="U30" s="951">
        <f>39+200</f>
        <v>239</v>
      </c>
      <c r="Y30" s="951">
        <v>80</v>
      </c>
    </row>
    <row r="31" spans="1:27" s="951" customFormat="1" ht="15" x14ac:dyDescent="0.25">
      <c r="A31" s="948">
        <v>12</v>
      </c>
      <c r="B31" s="949" t="s">
        <v>75</v>
      </c>
      <c r="C31" s="352">
        <f t="shared" si="6"/>
        <v>45871</v>
      </c>
      <c r="D31" s="352">
        <f>4603+'TL 1390'!N229</f>
        <v>4860</v>
      </c>
      <c r="E31" s="352">
        <f>4705+'TL 1390'!N274</f>
        <v>5086</v>
      </c>
      <c r="F31" s="352">
        <f>5223+'TL 1390'!N317</f>
        <v>5590</v>
      </c>
      <c r="G31" s="352">
        <f>7339+'TL 1390'!N339+U31</f>
        <v>8045</v>
      </c>
      <c r="H31" s="352">
        <f>6976+'TL 1390'!O295</f>
        <v>7494</v>
      </c>
      <c r="I31" s="352">
        <f>3932+'TL 1390'!M252+Y31</f>
        <v>4293</v>
      </c>
      <c r="J31" s="352">
        <f>6260+'TL 1390'!M363</f>
        <v>6654</v>
      </c>
      <c r="K31" s="352">
        <f>3530+'TL 1390'!M387</f>
        <v>3849</v>
      </c>
      <c r="O31" s="951">
        <v>500</v>
      </c>
      <c r="U31" s="951">
        <v>200</v>
      </c>
      <c r="Y31" s="951">
        <v>50</v>
      </c>
    </row>
    <row r="32" spans="1:27" s="951" customFormat="1" ht="15" x14ac:dyDescent="0.25">
      <c r="A32" s="948">
        <v>13</v>
      </c>
      <c r="B32" s="949" t="s">
        <v>86</v>
      </c>
      <c r="C32" s="352">
        <f t="shared" si="6"/>
        <v>8663</v>
      </c>
      <c r="D32" s="352">
        <v>850</v>
      </c>
      <c r="E32" s="352">
        <v>860</v>
      </c>
      <c r="F32" s="352">
        <v>980</v>
      </c>
      <c r="G32" s="352">
        <f>1330</f>
        <v>1330</v>
      </c>
      <c r="H32" s="352">
        <v>1332</v>
      </c>
      <c r="I32" s="352">
        <v>894</v>
      </c>
      <c r="J32" s="352">
        <v>1410</v>
      </c>
      <c r="K32" s="352">
        <v>1007</v>
      </c>
      <c r="O32" s="350">
        <f>SUM(O20:O31)</f>
        <v>7044</v>
      </c>
    </row>
    <row r="33" spans="1:25" s="955" customFormat="1" ht="14.25" x14ac:dyDescent="0.2">
      <c r="A33" s="952" t="s">
        <v>14</v>
      </c>
      <c r="B33" s="953" t="s">
        <v>670</v>
      </c>
      <c r="C33" s="350">
        <f>SUM(D33:K33)</f>
        <v>45343</v>
      </c>
      <c r="D33" s="350">
        <f>D34+D35</f>
        <v>5282</v>
      </c>
      <c r="E33" s="350">
        <f t="shared" ref="E33:K33" si="8">E34+E35</f>
        <v>4579</v>
      </c>
      <c r="F33" s="350">
        <f t="shared" si="8"/>
        <v>4857</v>
      </c>
      <c r="G33" s="350">
        <f t="shared" si="8"/>
        <v>6976</v>
      </c>
      <c r="H33" s="350">
        <f t="shared" si="8"/>
        <v>6851</v>
      </c>
      <c r="I33" s="350">
        <f t="shared" si="8"/>
        <v>4747</v>
      </c>
      <c r="J33" s="350">
        <f t="shared" si="8"/>
        <v>7020</v>
      </c>
      <c r="K33" s="350">
        <f t="shared" si="8"/>
        <v>5031</v>
      </c>
    </row>
    <row r="34" spans="1:25" s="955" customFormat="1" ht="15" x14ac:dyDescent="0.25">
      <c r="A34" s="948">
        <v>1</v>
      </c>
      <c r="B34" s="205" t="s">
        <v>900</v>
      </c>
      <c r="C34" s="352">
        <f t="shared" ref="C34:C37" si="9">SUM(D34:K34)</f>
        <v>41553</v>
      </c>
      <c r="D34" s="352">
        <v>4910</v>
      </c>
      <c r="E34" s="352">
        <v>4157</v>
      </c>
      <c r="F34" s="352">
        <v>4417</v>
      </c>
      <c r="G34" s="352">
        <f>6322-371+U34</f>
        <v>6322</v>
      </c>
      <c r="H34" s="352">
        <v>6285</v>
      </c>
      <c r="I34" s="352">
        <v>4371</v>
      </c>
      <c r="J34" s="352">
        <v>6470</v>
      </c>
      <c r="K34" s="352">
        <v>4621</v>
      </c>
      <c r="U34" s="955">
        <v>371</v>
      </c>
      <c r="Y34" s="955">
        <v>546</v>
      </c>
    </row>
    <row r="35" spans="1:25" s="955" customFormat="1" ht="26.25" customHeight="1" x14ac:dyDescent="0.25">
      <c r="A35" s="948">
        <v>2</v>
      </c>
      <c r="B35" s="205" t="s">
        <v>1908</v>
      </c>
      <c r="C35" s="352">
        <f>SUM(D35:K35)</f>
        <v>3790</v>
      </c>
      <c r="D35" s="352">
        <f>2*186</f>
        <v>372</v>
      </c>
      <c r="E35" s="352">
        <f>2*211</f>
        <v>422</v>
      </c>
      <c r="F35" s="352">
        <f>2*220</f>
        <v>440</v>
      </c>
      <c r="G35" s="352">
        <f>2*288+78</f>
        <v>654</v>
      </c>
      <c r="H35" s="352">
        <f>2*283</f>
        <v>566</v>
      </c>
      <c r="I35" s="352">
        <f>2*188</f>
        <v>376</v>
      </c>
      <c r="J35" s="352">
        <f>2*275</f>
        <v>550</v>
      </c>
      <c r="K35" s="352">
        <f>2*205</f>
        <v>410</v>
      </c>
      <c r="M35" s="205"/>
    </row>
    <row r="36" spans="1:25" s="955" customFormat="1" ht="16.5" customHeight="1" x14ac:dyDescent="0.2">
      <c r="A36" s="952" t="s">
        <v>4</v>
      </c>
      <c r="B36" s="953" t="s">
        <v>671</v>
      </c>
      <c r="C36" s="350">
        <f t="shared" ref="C36:J36" si="10">C38+C37</f>
        <v>33499</v>
      </c>
      <c r="D36" s="350">
        <f t="shared" si="10"/>
        <v>1862</v>
      </c>
      <c r="E36" s="350">
        <f t="shared" si="10"/>
        <v>2107</v>
      </c>
      <c r="F36" s="350">
        <f t="shared" si="10"/>
        <v>2203</v>
      </c>
      <c r="G36" s="350">
        <f t="shared" si="10"/>
        <v>16289</v>
      </c>
      <c r="H36" s="350">
        <f t="shared" si="10"/>
        <v>3259</v>
      </c>
      <c r="I36" s="350">
        <f t="shared" si="10"/>
        <v>2980</v>
      </c>
      <c r="J36" s="350">
        <f t="shared" si="10"/>
        <v>2747</v>
      </c>
      <c r="K36" s="350">
        <f>K38+K37</f>
        <v>2052</v>
      </c>
      <c r="M36" s="205"/>
    </row>
    <row r="37" spans="1:25" s="955" customFormat="1" ht="15" x14ac:dyDescent="0.25">
      <c r="A37" s="1175"/>
      <c r="B37" s="1176" t="s">
        <v>1510</v>
      </c>
      <c r="C37" s="352">
        <f t="shared" si="9"/>
        <v>18945</v>
      </c>
      <c r="D37" s="353">
        <f>1862</f>
        <v>1862</v>
      </c>
      <c r="E37" s="353">
        <f>2107</f>
        <v>2107</v>
      </c>
      <c r="F37" s="353">
        <f>2203</f>
        <v>2203</v>
      </c>
      <c r="G37" s="353">
        <f>2875+390</f>
        <v>3265</v>
      </c>
      <c r="H37" s="353">
        <f>2828</f>
        <v>2828</v>
      </c>
      <c r="I37" s="353">
        <f>1881</f>
        <v>1881</v>
      </c>
      <c r="J37" s="353">
        <f>2747</f>
        <v>2747</v>
      </c>
      <c r="K37" s="353">
        <f>2052</f>
        <v>2052</v>
      </c>
      <c r="L37" s="954">
        <f>C37+'Biểu 37'!S7</f>
        <v>37019</v>
      </c>
    </row>
    <row r="38" spans="1:25" s="951" customFormat="1" ht="15" x14ac:dyDescent="0.25">
      <c r="A38" s="1177"/>
      <c r="B38" s="1178" t="s">
        <v>1509</v>
      </c>
      <c r="C38" s="355">
        <f>SUM(D38:K38)</f>
        <v>14554</v>
      </c>
      <c r="D38" s="355"/>
      <c r="E38" s="355"/>
      <c r="F38" s="355"/>
      <c r="G38" s="355">
        <f>'Biểu 10DT TG thu'!H17</f>
        <v>13024</v>
      </c>
      <c r="H38" s="355">
        <f>'Biểu 10DT TG thu'!I17</f>
        <v>431</v>
      </c>
      <c r="I38" s="355">
        <f>'Biểu 10DT TG thu'!J17</f>
        <v>1099</v>
      </c>
      <c r="J38" s="355">
        <f>'Biểu 10DT TG thu'!K17</f>
        <v>0</v>
      </c>
      <c r="K38" s="355">
        <f>'Biểu 10DT TG thu'!L17</f>
        <v>0</v>
      </c>
      <c r="L38" s="954">
        <v>34970</v>
      </c>
    </row>
    <row r="39" spans="1:25" x14ac:dyDescent="0.25">
      <c r="C39" s="852"/>
      <c r="D39" s="852"/>
      <c r="E39" s="852"/>
      <c r="F39" s="852"/>
      <c r="G39" s="852"/>
      <c r="H39" s="852"/>
      <c r="I39" s="852"/>
      <c r="J39" s="852"/>
      <c r="K39" s="852"/>
      <c r="L39" s="852">
        <f>L38-L37</f>
        <v>-2049</v>
      </c>
    </row>
    <row r="40" spans="1:25" ht="21.75" hidden="1" customHeight="1" x14ac:dyDescent="0.25">
      <c r="C40" s="350">
        <f t="shared" ref="C40:K40" si="11">(C9+C11+C7)*2%</f>
        <v>42246.32</v>
      </c>
      <c r="D40" s="350">
        <f t="shared" si="11"/>
        <v>5014.4000000000005</v>
      </c>
      <c r="E40" s="350">
        <f t="shared" si="11"/>
        <v>4227.8999999999996</v>
      </c>
      <c r="F40" s="350">
        <f t="shared" si="11"/>
        <v>4424.8</v>
      </c>
      <c r="G40" s="350">
        <f t="shared" si="11"/>
        <v>6402.34</v>
      </c>
      <c r="H40" s="350">
        <f t="shared" si="11"/>
        <v>6495.88</v>
      </c>
      <c r="I40" s="350">
        <f t="shared" si="11"/>
        <v>4473.04</v>
      </c>
      <c r="J40" s="350">
        <f t="shared" si="11"/>
        <v>6485.3600000000006</v>
      </c>
      <c r="K40" s="350">
        <f t="shared" si="11"/>
        <v>4722.6000000000004</v>
      </c>
      <c r="L40" s="852"/>
    </row>
    <row r="41" spans="1:25" ht="21.75" hidden="1" customHeight="1" x14ac:dyDescent="0.25">
      <c r="C41" s="352">
        <f t="shared" ref="C41" si="12">SUM(D41:K41)</f>
        <v>38266</v>
      </c>
      <c r="D41" s="352">
        <f>4350+92</f>
        <v>4442</v>
      </c>
      <c r="E41" s="352">
        <f>3628+106</f>
        <v>3734</v>
      </c>
      <c r="F41" s="352">
        <f>4153+89</f>
        <v>4242</v>
      </c>
      <c r="G41" s="352">
        <f>5647+304</f>
        <v>5951</v>
      </c>
      <c r="H41" s="352">
        <f>5550+159</f>
        <v>5709</v>
      </c>
      <c r="I41" s="352">
        <f>3747+78</f>
        <v>3825</v>
      </c>
      <c r="J41" s="352">
        <f>5864+168</f>
        <v>6032</v>
      </c>
      <c r="K41" s="352">
        <f>4218+113</f>
        <v>4331</v>
      </c>
      <c r="L41" s="852"/>
    </row>
    <row r="42" spans="1:25" ht="21.75" hidden="1" customHeight="1" x14ac:dyDescent="0.25">
      <c r="C42" s="851">
        <f>C40-C41</f>
        <v>3980.3199999999997</v>
      </c>
      <c r="D42" s="851">
        <f t="shared" ref="D42:K42" si="13">D40-D41</f>
        <v>572.40000000000055</v>
      </c>
      <c r="E42" s="851">
        <f t="shared" si="13"/>
        <v>493.89999999999964</v>
      </c>
      <c r="F42" s="851">
        <f>F40-F41</f>
        <v>182.80000000000018</v>
      </c>
      <c r="G42" s="851">
        <f t="shared" si="13"/>
        <v>451.34000000000015</v>
      </c>
      <c r="H42" s="851">
        <f t="shared" si="13"/>
        <v>786.88000000000011</v>
      </c>
      <c r="I42" s="851">
        <f t="shared" si="13"/>
        <v>648.04</v>
      </c>
      <c r="J42" s="851">
        <f t="shared" si="13"/>
        <v>453.36000000000058</v>
      </c>
      <c r="K42" s="851">
        <f t="shared" si="13"/>
        <v>391.60000000000036</v>
      </c>
      <c r="L42" s="852"/>
    </row>
    <row r="43" spans="1:25" ht="65.25" customHeight="1" x14ac:dyDescent="0.25">
      <c r="B43" s="2151" t="s">
        <v>908</v>
      </c>
      <c r="C43" s="2149"/>
      <c r="D43" s="2149"/>
      <c r="E43" s="2149"/>
      <c r="F43" s="2149"/>
      <c r="G43" s="2149"/>
      <c r="H43" s="2149"/>
      <c r="I43" s="2149"/>
      <c r="J43" s="2149"/>
      <c r="K43" s="2149"/>
    </row>
    <row r="44" spans="1:25" x14ac:dyDescent="0.25">
      <c r="B44" s="221" t="s">
        <v>672</v>
      </c>
    </row>
    <row r="45" spans="1:25" s="1484" customFormat="1" ht="48.75" customHeight="1" x14ac:dyDescent="0.25">
      <c r="A45" s="1483"/>
      <c r="B45" s="2152" t="s">
        <v>1920</v>
      </c>
      <c r="C45" s="2152"/>
      <c r="D45" s="2152"/>
      <c r="E45" s="2152"/>
      <c r="F45" s="2152"/>
      <c r="G45" s="2152"/>
      <c r="H45" s="2152"/>
      <c r="I45" s="2152"/>
      <c r="J45" s="2152"/>
      <c r="K45" s="2152"/>
    </row>
    <row r="46" spans="1:25" ht="32.25" customHeight="1" x14ac:dyDescent="0.25">
      <c r="B46" s="2149" t="s">
        <v>673</v>
      </c>
      <c r="C46" s="2149"/>
      <c r="D46" s="2149"/>
      <c r="E46" s="2149"/>
      <c r="F46" s="2149"/>
      <c r="G46" s="2149"/>
      <c r="H46" s="2149"/>
      <c r="I46" s="2149"/>
      <c r="J46" s="2149"/>
      <c r="K46" s="2149"/>
    </row>
    <row r="47" spans="1:25" ht="34.5" customHeight="1" x14ac:dyDescent="0.25">
      <c r="B47" s="2149" t="s">
        <v>1495</v>
      </c>
      <c r="C47" s="2149"/>
      <c r="D47" s="2149"/>
      <c r="E47" s="2149"/>
      <c r="F47" s="2149"/>
      <c r="G47" s="2149"/>
      <c r="H47" s="2149"/>
      <c r="I47" s="2149"/>
      <c r="J47" s="2149"/>
      <c r="K47" s="2149"/>
    </row>
    <row r="48" spans="1:25" hidden="1" x14ac:dyDescent="0.25">
      <c r="B48" s="221" t="s">
        <v>674</v>
      </c>
    </row>
    <row r="49" spans="2:11" hidden="1" x14ac:dyDescent="0.25">
      <c r="D49" s="852">
        <f t="shared" ref="D49:K49" si="14">D7+D9</f>
        <v>240364</v>
      </c>
      <c r="E49" s="852">
        <f t="shared" si="14"/>
        <v>188969</v>
      </c>
      <c r="F49" s="852">
        <f t="shared" si="14"/>
        <v>211513</v>
      </c>
      <c r="G49" s="852">
        <f t="shared" si="14"/>
        <v>314989</v>
      </c>
      <c r="H49" s="852">
        <f t="shared" si="14"/>
        <v>292291</v>
      </c>
      <c r="I49" s="852">
        <f t="shared" si="14"/>
        <v>196986</v>
      </c>
      <c r="J49" s="852">
        <f t="shared" si="14"/>
        <v>303576</v>
      </c>
      <c r="K49" s="857">
        <f t="shared" si="14"/>
        <v>219709</v>
      </c>
    </row>
    <row r="50" spans="2:11" hidden="1" x14ac:dyDescent="0.25">
      <c r="C50" s="221">
        <f>SUM(D50:K50)</f>
        <v>39367.94</v>
      </c>
      <c r="D50" s="221">
        <f>D49*2%</f>
        <v>4807.28</v>
      </c>
      <c r="E50" s="221">
        <f t="shared" ref="E50:K50" si="15">E49*2%</f>
        <v>3779.38</v>
      </c>
      <c r="F50" s="221">
        <f t="shared" si="15"/>
        <v>4230.26</v>
      </c>
      <c r="G50" s="221">
        <f t="shared" si="15"/>
        <v>6299.78</v>
      </c>
      <c r="H50" s="221">
        <f t="shared" si="15"/>
        <v>5845.82</v>
      </c>
      <c r="I50" s="221">
        <f t="shared" si="15"/>
        <v>3939.7200000000003</v>
      </c>
      <c r="J50" s="221">
        <f t="shared" si="15"/>
        <v>6071.52</v>
      </c>
      <c r="K50" s="857">
        <f t="shared" si="15"/>
        <v>4394.18</v>
      </c>
    </row>
    <row r="51" spans="2:11" hidden="1" x14ac:dyDescent="0.25">
      <c r="C51" s="221">
        <f t="shared" ref="C51:C52" si="16">SUM(D51:K51)</f>
        <v>-5975.0599999999995</v>
      </c>
      <c r="D51" s="852">
        <f t="shared" ref="D51:K51" si="17">D50-D33</f>
        <v>-474.72000000000025</v>
      </c>
      <c r="E51" s="852">
        <f t="shared" si="17"/>
        <v>-799.61999999999989</v>
      </c>
      <c r="F51" s="852">
        <f t="shared" si="17"/>
        <v>-626.73999999999978</v>
      </c>
      <c r="G51" s="852">
        <f t="shared" si="17"/>
        <v>-676.22000000000025</v>
      </c>
      <c r="H51" s="852">
        <f t="shared" si="17"/>
        <v>-1005.1800000000003</v>
      </c>
      <c r="I51" s="852">
        <f t="shared" si="17"/>
        <v>-807.27999999999975</v>
      </c>
      <c r="J51" s="852">
        <f t="shared" si="17"/>
        <v>-948.47999999999956</v>
      </c>
      <c r="K51" s="857">
        <f t="shared" si="17"/>
        <v>-636.81999999999971</v>
      </c>
    </row>
    <row r="52" spans="2:11" hidden="1" x14ac:dyDescent="0.25">
      <c r="C52" s="221">
        <f t="shared" si="16"/>
        <v>1109</v>
      </c>
      <c r="D52" s="221">
        <v>92</v>
      </c>
      <c r="E52" s="221">
        <v>106</v>
      </c>
      <c r="F52" s="221">
        <v>89</v>
      </c>
      <c r="G52" s="221">
        <v>304</v>
      </c>
      <c r="H52" s="221">
        <v>159</v>
      </c>
      <c r="I52" s="221">
        <v>78</v>
      </c>
      <c r="J52" s="221">
        <v>168</v>
      </c>
      <c r="K52" s="857">
        <v>113</v>
      </c>
    </row>
    <row r="53" spans="2:11" hidden="1" x14ac:dyDescent="0.25"/>
    <row r="54" spans="2:11" x14ac:dyDescent="0.25">
      <c r="B54" s="221" t="s">
        <v>1574</v>
      </c>
    </row>
  </sheetData>
  <mergeCells count="10">
    <mergeCell ref="T16:U16"/>
    <mergeCell ref="A1:K1"/>
    <mergeCell ref="A2:K2"/>
    <mergeCell ref="I4:K4"/>
    <mergeCell ref="B47:K47"/>
    <mergeCell ref="P15:Q17"/>
    <mergeCell ref="B43:K43"/>
    <mergeCell ref="B45:K45"/>
    <mergeCell ref="B46:K46"/>
    <mergeCell ref="A3:K3"/>
  </mergeCells>
  <pageMargins left="0.43" right="0.2" top="0.75" bottom="0.75" header="0.3" footer="0.3"/>
  <pageSetup paperSize="9" firstPageNumber="12" orientation="landscape" useFirstPageNumber="1" r:id="rId1"/>
  <headerFooter>
    <oddHeader>&amp;RBiểu 09 DT</oddHeader>
    <oddFooter>&amp;C&amp;P</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100"/>
  <sheetViews>
    <sheetView topLeftCell="A4" workbookViewId="0">
      <pane xSplit="2" ySplit="2" topLeftCell="C66" activePane="bottomRight" state="frozen"/>
      <selection activeCell="A4" sqref="A4"/>
      <selection pane="topRight" activeCell="C4" sqref="C4"/>
      <selection pane="bottomLeft" activeCell="A6" sqref="A6"/>
      <selection pane="bottomRight" activeCell="I40" sqref="I40"/>
    </sheetView>
  </sheetViews>
  <sheetFormatPr defaultRowHeight="15" x14ac:dyDescent="0.25"/>
  <cols>
    <col min="1" max="1" width="5.375" style="1226" customWidth="1"/>
    <col min="2" max="2" width="35.625" style="1226" customWidth="1"/>
    <col min="3" max="7" width="9" style="1226"/>
    <col min="8" max="8" width="10.875" style="1226" customWidth="1"/>
    <col min="9" max="16384" width="9" style="1226"/>
  </cols>
  <sheetData>
    <row r="1" spans="1:7" ht="38.25" customHeight="1" x14ac:dyDescent="0.25">
      <c r="A1" s="1955" t="s">
        <v>1381</v>
      </c>
      <c r="B1" s="1955"/>
      <c r="C1" s="1955"/>
      <c r="D1" s="1955"/>
      <c r="E1" s="1955"/>
      <c r="F1" s="1955"/>
      <c r="G1" s="1955"/>
    </row>
    <row r="2" spans="1:7" x14ac:dyDescent="0.25">
      <c r="A2" s="1956" t="str">
        <f>'[1]Biểu 10'!A3:G3</f>
        <v>(Kèm theo Báo cáo số               /BC-UBND ngày       tháng 11 năm 2017 của UBND tỉnh Bắc Kạn)</v>
      </c>
      <c r="B2" s="1956"/>
      <c r="C2" s="1956"/>
      <c r="D2" s="1956"/>
      <c r="E2" s="1956"/>
      <c r="F2" s="1956"/>
      <c r="G2" s="1956"/>
    </row>
    <row r="3" spans="1:7" x14ac:dyDescent="0.25">
      <c r="A3" s="1227"/>
      <c r="F3" s="1957" t="s">
        <v>6</v>
      </c>
      <c r="G3" s="1957"/>
    </row>
    <row r="4" spans="1:7" ht="32.25" customHeight="1" x14ac:dyDescent="0.25">
      <c r="A4" s="1958" t="s">
        <v>0</v>
      </c>
      <c r="B4" s="1958" t="s">
        <v>1</v>
      </c>
      <c r="C4" s="1958" t="s">
        <v>1382</v>
      </c>
      <c r="D4" s="1958"/>
      <c r="E4" s="1958" t="s">
        <v>1383</v>
      </c>
      <c r="F4" s="1958"/>
      <c r="G4" s="1958"/>
    </row>
    <row r="5" spans="1:7" ht="64.5" customHeight="1" x14ac:dyDescent="0.25">
      <c r="A5" s="1958"/>
      <c r="B5" s="1958"/>
      <c r="C5" s="1228" t="s">
        <v>219</v>
      </c>
      <c r="D5" s="1228" t="s">
        <v>1255</v>
      </c>
      <c r="E5" s="1228" t="s">
        <v>1307</v>
      </c>
      <c r="F5" s="1228" t="s">
        <v>1320</v>
      </c>
      <c r="G5" s="1228" t="s">
        <v>1377</v>
      </c>
    </row>
    <row r="6" spans="1:7" ht="19.5" customHeight="1" x14ac:dyDescent="0.25">
      <c r="A6" s="1229"/>
      <c r="B6" s="1230" t="s">
        <v>89</v>
      </c>
      <c r="C6" s="1231">
        <f>C10+C94</f>
        <v>1875042</v>
      </c>
      <c r="D6" s="1231">
        <f>D10+D94</f>
        <v>1567268</v>
      </c>
      <c r="E6" s="1231">
        <f>E10+E94</f>
        <v>1976534</v>
      </c>
      <c r="F6" s="1231">
        <f>F10+F94</f>
        <v>1165182</v>
      </c>
      <c r="G6" s="1231">
        <f>G10+G94</f>
        <v>1348238</v>
      </c>
    </row>
    <row r="7" spans="1:7" x14ac:dyDescent="0.25">
      <c r="A7" s="1232"/>
      <c r="B7" s="1233" t="s">
        <v>5</v>
      </c>
      <c r="C7" s="1232"/>
      <c r="D7" s="1232"/>
      <c r="E7" s="1232"/>
      <c r="F7" s="1232"/>
      <c r="G7" s="1232"/>
    </row>
    <row r="8" spans="1:7" x14ac:dyDescent="0.25">
      <c r="A8" s="1232" t="s">
        <v>23</v>
      </c>
      <c r="B8" s="1233" t="s">
        <v>111</v>
      </c>
      <c r="C8" s="1232"/>
      <c r="D8" s="1232"/>
      <c r="E8" s="1232"/>
      <c r="F8" s="1232"/>
      <c r="G8" s="1232"/>
    </row>
    <row r="9" spans="1:7" x14ac:dyDescent="0.25">
      <c r="A9" s="1232" t="s">
        <v>23</v>
      </c>
      <c r="B9" s="1233" t="s">
        <v>302</v>
      </c>
      <c r="C9" s="1232"/>
      <c r="D9" s="1232"/>
      <c r="E9" s="1232"/>
      <c r="F9" s="1232"/>
      <c r="G9" s="1232"/>
    </row>
    <row r="10" spans="1:7" ht="18" customHeight="1" x14ac:dyDescent="0.25">
      <c r="A10" s="1234" t="s">
        <v>2</v>
      </c>
      <c r="B10" s="1235" t="s">
        <v>657</v>
      </c>
      <c r="C10" s="1236">
        <f>C14+C33</f>
        <v>1875042</v>
      </c>
      <c r="D10" s="1236">
        <f>D14+D33</f>
        <v>1567268</v>
      </c>
      <c r="E10" s="1236">
        <f t="shared" ref="E10:F10" si="0">E14+E33</f>
        <v>1314986</v>
      </c>
      <c r="F10" s="1236">
        <f t="shared" si="0"/>
        <v>1165182</v>
      </c>
      <c r="G10" s="1236">
        <f>G14+G33</f>
        <v>1348238</v>
      </c>
    </row>
    <row r="11" spans="1:7" x14ac:dyDescent="0.25">
      <c r="A11" s="1232"/>
      <c r="B11" s="1233" t="s">
        <v>5</v>
      </c>
      <c r="C11" s="1232"/>
      <c r="D11" s="1232"/>
      <c r="E11" s="1232"/>
      <c r="F11" s="1232"/>
      <c r="G11" s="1232"/>
    </row>
    <row r="12" spans="1:7" x14ac:dyDescent="0.25">
      <c r="A12" s="1232" t="s">
        <v>23</v>
      </c>
      <c r="B12" s="1233" t="s">
        <v>111</v>
      </c>
      <c r="C12" s="1232"/>
      <c r="D12" s="1232"/>
      <c r="E12" s="1232"/>
      <c r="F12" s="1232"/>
      <c r="G12" s="1232"/>
    </row>
    <row r="13" spans="1:7" x14ac:dyDescent="0.25">
      <c r="A13" s="1232" t="s">
        <v>23</v>
      </c>
      <c r="B13" s="1233" t="s">
        <v>302</v>
      </c>
      <c r="C13" s="1232"/>
      <c r="D13" s="1232"/>
      <c r="E13" s="1232"/>
      <c r="F13" s="1232"/>
      <c r="G13" s="1232"/>
    </row>
    <row r="14" spans="1:7" ht="28.5" x14ac:dyDescent="0.25">
      <c r="A14" s="1234" t="s">
        <v>9</v>
      </c>
      <c r="B14" s="1235" t="s">
        <v>1355</v>
      </c>
      <c r="C14" s="1236">
        <f t="shared" ref="C14" si="1">C15+C24</f>
        <v>493390</v>
      </c>
      <c r="D14" s="1236">
        <f>D15+D24</f>
        <v>558773</v>
      </c>
      <c r="E14" s="1236">
        <f>E15+E24</f>
        <v>524660</v>
      </c>
      <c r="F14" s="1236">
        <f>F15+F24</f>
        <v>221645</v>
      </c>
      <c r="G14" s="1236">
        <f>G15+G24</f>
        <v>457238</v>
      </c>
    </row>
    <row r="15" spans="1:7" s="1237" customFormat="1" ht="14.25" x14ac:dyDescent="0.2">
      <c r="A15" s="1234">
        <v>1</v>
      </c>
      <c r="B15" s="1235" t="s">
        <v>404</v>
      </c>
      <c r="C15" s="1236">
        <f>C19+C20+C21+C22+C23</f>
        <v>360746</v>
      </c>
      <c r="D15" s="1236">
        <f>D19+D20+D21+D22+D23</f>
        <v>380684</v>
      </c>
      <c r="E15" s="1236">
        <f>E19+E20+E21+E23+E22</f>
        <v>363613</v>
      </c>
      <c r="F15" s="1236">
        <f>F19+F20+F21+F23</f>
        <v>118608</v>
      </c>
      <c r="G15" s="1236">
        <f>G19+G20+G21+G23</f>
        <v>296038</v>
      </c>
    </row>
    <row r="16" spans="1:7" x14ac:dyDescent="0.25">
      <c r="A16" s="1232"/>
      <c r="B16" s="1233" t="s">
        <v>5</v>
      </c>
      <c r="C16" s="1232"/>
      <c r="D16" s="1232"/>
      <c r="E16" s="1232"/>
      <c r="F16" s="1232"/>
      <c r="G16" s="1232"/>
    </row>
    <row r="17" spans="1:9" x14ac:dyDescent="0.25">
      <c r="A17" s="1232" t="s">
        <v>23</v>
      </c>
      <c r="B17" s="1233" t="s">
        <v>111</v>
      </c>
      <c r="C17" s="1238">
        <f>C15</f>
        <v>360746</v>
      </c>
      <c r="D17" s="1238">
        <f>D15</f>
        <v>380684</v>
      </c>
      <c r="E17" s="1238">
        <f>E15</f>
        <v>363613</v>
      </c>
      <c r="F17" s="1238">
        <f>F15</f>
        <v>118608</v>
      </c>
      <c r="G17" s="1238">
        <f t="shared" ref="G17" si="2">G15</f>
        <v>296038</v>
      </c>
    </row>
    <row r="18" spans="1:9" x14ac:dyDescent="0.25">
      <c r="A18" s="1232" t="s">
        <v>23</v>
      </c>
      <c r="B18" s="1233" t="s">
        <v>302</v>
      </c>
      <c r="C18" s="1239"/>
      <c r="D18" s="1239"/>
      <c r="E18" s="1239"/>
      <c r="F18" s="1239"/>
      <c r="G18" s="1239"/>
    </row>
    <row r="19" spans="1:9" s="1240" customFormat="1" ht="18" customHeight="1" x14ac:dyDescent="0.25">
      <c r="A19" s="1239" t="s">
        <v>146</v>
      </c>
      <c r="B19" s="1233" t="s">
        <v>1356</v>
      </c>
      <c r="C19" s="1233">
        <v>5500</v>
      </c>
      <c r="D19" s="1233">
        <f>'Biểu 22'!G15</f>
        <v>5500</v>
      </c>
      <c r="E19" s="1238">
        <f>'Biểu 06 DT '!G15</f>
        <v>7800</v>
      </c>
      <c r="F19" s="1238">
        <f>'03N Biểu 08'!F20*10%</f>
        <v>9300</v>
      </c>
      <c r="G19" s="1238">
        <f>'03N Biểu 08'!G20*10%</f>
        <v>10800</v>
      </c>
    </row>
    <row r="20" spans="1:9" s="1240" customFormat="1" ht="18" customHeight="1" x14ac:dyDescent="0.25">
      <c r="A20" s="1239" t="s">
        <v>147</v>
      </c>
      <c r="B20" s="1233" t="s">
        <v>1357</v>
      </c>
      <c r="C20" s="1233">
        <v>15000</v>
      </c>
      <c r="D20" s="1233">
        <f>'Biểu 22'!G16</f>
        <v>15000</v>
      </c>
      <c r="E20" s="1238">
        <f>'Biểu 06 DT '!C17</f>
        <v>15000</v>
      </c>
      <c r="F20" s="1238">
        <f>'03N Biểu 08'!F21</f>
        <v>16000</v>
      </c>
      <c r="G20" s="1238">
        <f>'03N Biểu 08'!G21</f>
        <v>17000</v>
      </c>
      <c r="H20" s="1240">
        <f>282813+630</f>
        <v>283443</v>
      </c>
    </row>
    <row r="21" spans="1:9" s="1240" customFormat="1" ht="33.75" customHeight="1" x14ac:dyDescent="0.25">
      <c r="A21" s="1239" t="s">
        <v>445</v>
      </c>
      <c r="B21" s="1233" t="s">
        <v>1358</v>
      </c>
      <c r="C21" s="1233">
        <f>290846+26300</f>
        <v>317146</v>
      </c>
      <c r="D21" s="1233">
        <f>'Biểu 22'!G9-'Biểu 22'!G15-'Biểu 22'!G16-'Biểu 22'!G18</f>
        <v>354184</v>
      </c>
      <c r="E21" s="1238">
        <f>'Biểu 06 DT '!C11+'Biểu 06 DT '!G11</f>
        <v>316143</v>
      </c>
      <c r="F21" s="1238">
        <v>25046</v>
      </c>
      <c r="G21" s="1238">
        <v>220000</v>
      </c>
      <c r="H21" s="1240">
        <f>E21-282813</f>
        <v>33330</v>
      </c>
      <c r="I21" s="1240">
        <v>32700</v>
      </c>
    </row>
    <row r="22" spans="1:9" s="1240" customFormat="1" ht="30" x14ac:dyDescent="0.25">
      <c r="A22" s="1239" t="s">
        <v>449</v>
      </c>
      <c r="B22" s="1233" t="s">
        <v>1046</v>
      </c>
      <c r="C22" s="1233">
        <v>6000</v>
      </c>
      <c r="D22" s="1233">
        <f>'Biểu 22'!F18</f>
        <v>6000</v>
      </c>
      <c r="E22" s="1238">
        <f>'Biểu 06 DT '!G19</f>
        <v>8000</v>
      </c>
      <c r="F22" s="1247">
        <v>30000</v>
      </c>
      <c r="G22" s="1247">
        <v>20000</v>
      </c>
      <c r="H22" s="1240">
        <v>50000</v>
      </c>
      <c r="I22" s="1240">
        <f>H21-I21</f>
        <v>630</v>
      </c>
    </row>
    <row r="23" spans="1:9" x14ac:dyDescent="0.25">
      <c r="A23" s="1239" t="s">
        <v>451</v>
      </c>
      <c r="B23" s="1233" t="s">
        <v>1914</v>
      </c>
      <c r="C23" s="1238">
        <v>17100</v>
      </c>
      <c r="D23" s="1238"/>
      <c r="E23" s="1238">
        <f>'Biểu 06 DT '!C18</f>
        <v>16670</v>
      </c>
      <c r="F23" s="1247">
        <f>76962-8700</f>
        <v>68262</v>
      </c>
      <c r="G23" s="1247">
        <f>54338-6100</f>
        <v>48238</v>
      </c>
    </row>
    <row r="24" spans="1:9" s="1237" customFormat="1" ht="20.25" customHeight="1" x14ac:dyDescent="0.2">
      <c r="A24" s="1234">
        <v>2</v>
      </c>
      <c r="B24" s="1235" t="s">
        <v>1035</v>
      </c>
      <c r="C24" s="1236">
        <f>C29+C31</f>
        <v>132644</v>
      </c>
      <c r="D24" s="1236">
        <f>D29+D31</f>
        <v>178089</v>
      </c>
      <c r="E24" s="1236">
        <f>E29+E31+E32</f>
        <v>161047</v>
      </c>
      <c r="F24" s="1236">
        <f>F29+F31</f>
        <v>103037</v>
      </c>
      <c r="G24" s="1236">
        <f>G29+G31</f>
        <v>161200</v>
      </c>
    </row>
    <row r="25" spans="1:9" x14ac:dyDescent="0.25">
      <c r="A25" s="1232"/>
      <c r="B25" s="1233" t="s">
        <v>5</v>
      </c>
      <c r="C25" s="1232"/>
      <c r="D25" s="1232"/>
      <c r="E25" s="1232"/>
      <c r="F25" s="1232"/>
      <c r="G25" s="1232"/>
    </row>
    <row r="26" spans="1:9" x14ac:dyDescent="0.25">
      <c r="A26" s="1232" t="s">
        <v>23</v>
      </c>
      <c r="B26" s="1233" t="s">
        <v>111</v>
      </c>
      <c r="C26" s="1232"/>
      <c r="D26" s="1232"/>
      <c r="E26" s="1232"/>
      <c r="F26" s="1232"/>
      <c r="G26" s="1232"/>
    </row>
    <row r="27" spans="1:9" x14ac:dyDescent="0.25">
      <c r="A27" s="1232" t="s">
        <v>23</v>
      </c>
      <c r="B27" s="1233" t="s">
        <v>302</v>
      </c>
      <c r="C27" s="1232"/>
      <c r="D27" s="1232"/>
      <c r="E27" s="1232"/>
      <c r="F27" s="1232"/>
      <c r="G27" s="1232"/>
    </row>
    <row r="28" spans="1:9" x14ac:dyDescent="0.25">
      <c r="A28" s="1239"/>
      <c r="B28" s="1233" t="s">
        <v>5</v>
      </c>
      <c r="C28" s="1232"/>
      <c r="D28" s="1232"/>
      <c r="E28" s="1232"/>
      <c r="F28" s="1232"/>
      <c r="G28" s="1232"/>
    </row>
    <row r="29" spans="1:9" x14ac:dyDescent="0.25">
      <c r="A29" s="1232" t="s">
        <v>146</v>
      </c>
      <c r="B29" s="1233" t="s">
        <v>1356</v>
      </c>
      <c r="C29" s="1238">
        <v>49500</v>
      </c>
      <c r="D29" s="1238">
        <f>'Biểu 22'!H15</f>
        <v>47374</v>
      </c>
      <c r="E29" s="1238">
        <f>'Biểu 06 DT '!E15</f>
        <v>70200</v>
      </c>
      <c r="F29" s="1238">
        <f>'03N Biểu 08'!F20*90%</f>
        <v>83700</v>
      </c>
      <c r="G29" s="1238">
        <f>'03N Biểu 08'!G20*90%</f>
        <v>97200</v>
      </c>
    </row>
    <row r="30" spans="1:9" ht="30" x14ac:dyDescent="0.25">
      <c r="A30" s="1232" t="s">
        <v>147</v>
      </c>
      <c r="B30" s="1233" t="s">
        <v>1359</v>
      </c>
      <c r="C30" s="1238"/>
      <c r="D30" s="1238"/>
      <c r="E30" s="1241"/>
      <c r="F30" s="1241"/>
      <c r="G30" s="1241"/>
    </row>
    <row r="31" spans="1:9" ht="30" x14ac:dyDescent="0.25">
      <c r="A31" s="1232" t="s">
        <v>445</v>
      </c>
      <c r="B31" s="1233" t="s">
        <v>1358</v>
      </c>
      <c r="C31" s="1238">
        <v>83144</v>
      </c>
      <c r="D31" s="1238">
        <f>'Biểu 22'!H9-'Biểu 22'!H15</f>
        <v>130715</v>
      </c>
      <c r="E31" s="1238">
        <f>'Biểu 06 DT '!E11</f>
        <v>84147</v>
      </c>
      <c r="F31" s="1238">
        <v>19337</v>
      </c>
      <c r="G31" s="1238">
        <v>64000</v>
      </c>
    </row>
    <row r="32" spans="1:9" ht="33.75" customHeight="1" x14ac:dyDescent="0.25">
      <c r="A32" s="1239" t="s">
        <v>449</v>
      </c>
      <c r="B32" s="1233" t="s">
        <v>1046</v>
      </c>
      <c r="C32" s="1238"/>
      <c r="D32" s="1238"/>
      <c r="E32" s="1238">
        <f>'Biểu 06 DT '!E19</f>
        <v>6700</v>
      </c>
      <c r="F32" s="1238"/>
      <c r="G32" s="1238"/>
    </row>
    <row r="33" spans="1:9" ht="36.75" customHeight="1" x14ac:dyDescent="0.25">
      <c r="A33" s="1232" t="s">
        <v>11</v>
      </c>
      <c r="B33" s="1235" t="s">
        <v>1360</v>
      </c>
      <c r="C33" s="1236">
        <f>C37+C49</f>
        <v>1381652</v>
      </c>
      <c r="D33" s="1236">
        <f>D37+D49</f>
        <v>1008495</v>
      </c>
      <c r="E33" s="1236">
        <f>E37+E49</f>
        <v>790326</v>
      </c>
      <c r="F33" s="1236">
        <f t="shared" ref="F33:G33" si="3">F37+F49</f>
        <v>943537</v>
      </c>
      <c r="G33" s="1236">
        <f t="shared" si="3"/>
        <v>891000</v>
      </c>
      <c r="H33" s="1226">
        <f>F33-F37</f>
        <v>596912</v>
      </c>
      <c r="I33" s="1226">
        <f>G33-G37</f>
        <v>631000</v>
      </c>
    </row>
    <row r="34" spans="1:9" x14ac:dyDescent="0.25">
      <c r="A34" s="1232"/>
      <c r="B34" s="1233" t="s">
        <v>5</v>
      </c>
      <c r="C34" s="1232"/>
      <c r="D34" s="1232"/>
      <c r="E34" s="1232"/>
      <c r="F34" s="1232"/>
      <c r="G34" s="1232"/>
    </row>
    <row r="35" spans="1:9" x14ac:dyDescent="0.25">
      <c r="A35" s="1232"/>
      <c r="B35" s="1233" t="s">
        <v>1361</v>
      </c>
      <c r="C35" s="1232"/>
      <c r="D35" s="1232"/>
      <c r="E35" s="1232"/>
      <c r="F35" s="1232"/>
      <c r="G35" s="1232"/>
    </row>
    <row r="36" spans="1:9" x14ac:dyDescent="0.25">
      <c r="A36" s="1232"/>
      <c r="B36" s="1233" t="s">
        <v>1362</v>
      </c>
      <c r="C36" s="1232"/>
      <c r="D36" s="1232"/>
      <c r="E36" s="1232"/>
      <c r="F36" s="1232"/>
      <c r="G36" s="1232"/>
    </row>
    <row r="37" spans="1:9" s="1237" customFormat="1" ht="14.25" x14ac:dyDescent="0.2">
      <c r="A37" s="1234">
        <v>1</v>
      </c>
      <c r="B37" s="1235" t="s">
        <v>1363</v>
      </c>
      <c r="C37" s="1236">
        <f t="shared" ref="C37:D37" si="4">C41+C45</f>
        <v>239073</v>
      </c>
      <c r="D37" s="1236">
        <f t="shared" si="4"/>
        <v>289166</v>
      </c>
      <c r="E37" s="1236">
        <f>E41+E45</f>
        <v>379597</v>
      </c>
      <c r="F37" s="1236">
        <f t="shared" ref="F37:G37" si="5">F41+F45</f>
        <v>346625</v>
      </c>
      <c r="G37" s="1236">
        <f t="shared" si="5"/>
        <v>260000</v>
      </c>
    </row>
    <row r="38" spans="1:9" x14ac:dyDescent="0.25">
      <c r="A38" s="1232"/>
      <c r="B38" s="1233" t="s">
        <v>5</v>
      </c>
      <c r="C38" s="1241"/>
      <c r="D38" s="1241"/>
      <c r="E38" s="1241"/>
      <c r="F38" s="1241"/>
      <c r="G38" s="1241"/>
    </row>
    <row r="39" spans="1:9" x14ac:dyDescent="0.25">
      <c r="A39" s="1232"/>
      <c r="B39" s="1233" t="s">
        <v>1361</v>
      </c>
      <c r="C39" s="1241"/>
      <c r="D39" s="1241"/>
      <c r="E39" s="1241"/>
      <c r="F39" s="1241"/>
      <c r="G39" s="1241"/>
    </row>
    <row r="40" spans="1:9" x14ac:dyDescent="0.25">
      <c r="A40" s="1232"/>
      <c r="B40" s="1233" t="s">
        <v>1362</v>
      </c>
      <c r="C40" s="1241"/>
      <c r="D40" s="1241"/>
      <c r="E40" s="1241"/>
      <c r="F40" s="1241"/>
      <c r="G40" s="1241"/>
    </row>
    <row r="41" spans="1:9" ht="30" x14ac:dyDescent="0.25">
      <c r="A41" s="1232" t="s">
        <v>146</v>
      </c>
      <c r="B41" s="1242" t="s">
        <v>293</v>
      </c>
      <c r="C41" s="1241">
        <v>110900</v>
      </c>
      <c r="D41" s="1241">
        <f>D43</f>
        <v>122442</v>
      </c>
      <c r="E41" s="1241">
        <f>'Biểu 06 DT '!B49</f>
        <v>158200</v>
      </c>
      <c r="F41" s="1241">
        <v>270430</v>
      </c>
      <c r="G41" s="1241">
        <v>130000</v>
      </c>
    </row>
    <row r="42" spans="1:9" x14ac:dyDescent="0.25">
      <c r="A42" s="1232"/>
      <c r="B42" s="1233" t="s">
        <v>5</v>
      </c>
      <c r="C42" s="1241"/>
      <c r="D42" s="1241"/>
      <c r="E42" s="1241"/>
      <c r="F42" s="1241"/>
      <c r="G42" s="1241"/>
    </row>
    <row r="43" spans="1:9" s="1240" customFormat="1" x14ac:dyDescent="0.25">
      <c r="A43" s="1239"/>
      <c r="B43" s="1233" t="s">
        <v>1361</v>
      </c>
      <c r="C43" s="1238">
        <f>C41</f>
        <v>110900</v>
      </c>
      <c r="D43" s="1238">
        <f>'Biểu 22'!H35</f>
        <v>122442</v>
      </c>
      <c r="E43" s="1238">
        <f>E41</f>
        <v>158200</v>
      </c>
      <c r="F43" s="1238">
        <f>F41</f>
        <v>270430</v>
      </c>
      <c r="G43" s="1238">
        <f>G41</f>
        <v>130000</v>
      </c>
    </row>
    <row r="44" spans="1:9" x14ac:dyDescent="0.25">
      <c r="A44" s="1232"/>
      <c r="B44" s="1233" t="s">
        <v>1362</v>
      </c>
      <c r="C44" s="1241"/>
      <c r="D44" s="1241"/>
      <c r="E44" s="1241"/>
      <c r="F44" s="1241"/>
      <c r="G44" s="1241"/>
    </row>
    <row r="45" spans="1:9" ht="30" x14ac:dyDescent="0.25">
      <c r="A45" s="1232" t="s">
        <v>147</v>
      </c>
      <c r="B45" s="1242" t="s">
        <v>292</v>
      </c>
      <c r="C45" s="1241">
        <v>128173</v>
      </c>
      <c r="D45" s="1241">
        <f>D47</f>
        <v>166724</v>
      </c>
      <c r="E45" s="1241">
        <f>'Biểu 06 DT '!B46</f>
        <v>221397</v>
      </c>
      <c r="F45" s="1241">
        <v>76195</v>
      </c>
      <c r="G45" s="1071">
        <v>130000</v>
      </c>
      <c r="H45" s="1226">
        <v>13000</v>
      </c>
    </row>
    <row r="46" spans="1:9" x14ac:dyDescent="0.25">
      <c r="A46" s="1232"/>
      <c r="B46" s="1233" t="s">
        <v>5</v>
      </c>
      <c r="C46" s="1241"/>
      <c r="D46" s="1241"/>
      <c r="E46" s="1241"/>
      <c r="F46" s="1241"/>
      <c r="G46" s="1071"/>
      <c r="H46" s="1226">
        <v>13000</v>
      </c>
    </row>
    <row r="47" spans="1:9" x14ac:dyDescent="0.25">
      <c r="A47" s="1232"/>
      <c r="B47" s="1233" t="s">
        <v>1361</v>
      </c>
      <c r="C47" s="1238">
        <f>C45</f>
        <v>128173</v>
      </c>
      <c r="D47" s="1238">
        <f>'Biểu 22'!F32</f>
        <v>166724</v>
      </c>
      <c r="E47" s="1238">
        <f>E45</f>
        <v>221397</v>
      </c>
      <c r="F47" s="1238">
        <f>F45</f>
        <v>76195</v>
      </c>
      <c r="G47" s="1247">
        <f>G45</f>
        <v>130000</v>
      </c>
    </row>
    <row r="48" spans="1:9" x14ac:dyDescent="0.25">
      <c r="A48" s="1232"/>
      <c r="B48" s="1233" t="s">
        <v>1362</v>
      </c>
      <c r="C48" s="1241"/>
      <c r="D48" s="1241"/>
      <c r="E48" s="1241"/>
      <c r="F48" s="1241"/>
      <c r="G48" s="1241"/>
    </row>
    <row r="49" spans="1:9" x14ac:dyDescent="0.25">
      <c r="A49" s="1234">
        <v>2</v>
      </c>
      <c r="B49" s="1235" t="s">
        <v>1364</v>
      </c>
      <c r="C49" s="1236">
        <f>C53+C57+C61+C73+C77+C81+C89+C93+C87+C65</f>
        <v>1142579</v>
      </c>
      <c r="D49" s="1236">
        <f>D53+D57+D61+D73+D77+D81+D89+D93+D87+D86+D88+D65</f>
        <v>719329</v>
      </c>
      <c r="E49" s="1236">
        <f>E53+E57+E61+E73+E77+E81+E89+E93+E87+E85</f>
        <v>410729</v>
      </c>
      <c r="F49" s="1236">
        <f>F53+F57+F61+F73+F77+F81+F89+F93+F87+F85</f>
        <v>596912</v>
      </c>
      <c r="G49" s="1236">
        <f>G53+G57+G61+G73+G77+G81+G89+G93+G87+G85</f>
        <v>631000</v>
      </c>
      <c r="I49" s="1226">
        <v>410729</v>
      </c>
    </row>
    <row r="50" spans="1:9" x14ac:dyDescent="0.25">
      <c r="A50" s="1232"/>
      <c r="B50" s="1233" t="s">
        <v>5</v>
      </c>
      <c r="C50" s="1241"/>
      <c r="D50" s="1241"/>
      <c r="E50" s="1241"/>
      <c r="F50" s="1241"/>
      <c r="G50" s="1241"/>
      <c r="I50" s="1226">
        <f>I49-E49</f>
        <v>0</v>
      </c>
    </row>
    <row r="51" spans="1:9" x14ac:dyDescent="0.25">
      <c r="A51" s="1232"/>
      <c r="B51" s="1233" t="s">
        <v>1361</v>
      </c>
      <c r="C51" s="1241"/>
      <c r="D51" s="1241"/>
      <c r="E51" s="1241"/>
      <c r="F51" s="1241"/>
      <c r="G51" s="1241"/>
    </row>
    <row r="52" spans="1:9" x14ac:dyDescent="0.25">
      <c r="A52" s="1232"/>
      <c r="B52" s="1233" t="s">
        <v>1362</v>
      </c>
      <c r="C52" s="1241"/>
      <c r="D52" s="1241"/>
      <c r="E52" s="1241"/>
      <c r="F52" s="1241"/>
      <c r="G52" s="1241"/>
    </row>
    <row r="53" spans="1:9" ht="30" x14ac:dyDescent="0.25">
      <c r="A53" s="1232" t="s">
        <v>146</v>
      </c>
      <c r="B53" s="1242" t="s">
        <v>1365</v>
      </c>
      <c r="C53" s="1241">
        <v>48973</v>
      </c>
      <c r="D53" s="1241">
        <f>'Biểu 22'!F42</f>
        <v>50568</v>
      </c>
      <c r="E53" s="1241">
        <f>'Biểu 17'!D40</f>
        <v>116603</v>
      </c>
      <c r="F53" s="1241">
        <v>168608</v>
      </c>
      <c r="G53" s="1241">
        <v>100000</v>
      </c>
    </row>
    <row r="54" spans="1:9" x14ac:dyDescent="0.25">
      <c r="A54" s="1232"/>
      <c r="B54" s="1233" t="s">
        <v>5</v>
      </c>
      <c r="C54" s="1241"/>
      <c r="D54" s="1241"/>
      <c r="E54" s="1241"/>
      <c r="F54" s="1241"/>
      <c r="G54" s="1241"/>
    </row>
    <row r="55" spans="1:9" s="1240" customFormat="1" x14ac:dyDescent="0.25">
      <c r="A55" s="1239"/>
      <c r="B55" s="1233" t="s">
        <v>1361</v>
      </c>
      <c r="C55" s="1238">
        <f>C53</f>
        <v>48973</v>
      </c>
      <c r="D55" s="1238">
        <f>D53</f>
        <v>50568</v>
      </c>
      <c r="E55" s="1238">
        <f>E53</f>
        <v>116603</v>
      </c>
      <c r="F55" s="1238">
        <f>F53</f>
        <v>168608</v>
      </c>
      <c r="G55" s="1238">
        <f>G53</f>
        <v>100000</v>
      </c>
    </row>
    <row r="56" spans="1:9" x14ac:dyDescent="0.25">
      <c r="A56" s="1232"/>
      <c r="B56" s="1233" t="s">
        <v>1362</v>
      </c>
      <c r="C56" s="1241"/>
      <c r="D56" s="1241"/>
      <c r="E56" s="1241"/>
      <c r="F56" s="1241"/>
      <c r="G56" s="1241"/>
    </row>
    <row r="57" spans="1:9" ht="30" x14ac:dyDescent="0.25">
      <c r="A57" s="1232" t="s">
        <v>147</v>
      </c>
      <c r="B57" s="1243" t="s">
        <v>295</v>
      </c>
      <c r="C57" s="1241">
        <v>20650</v>
      </c>
      <c r="D57" s="1241">
        <f>D59</f>
        <v>20680</v>
      </c>
      <c r="E57" s="1241">
        <f>'Biểu 17'!D41</f>
        <v>42725</v>
      </c>
      <c r="F57" s="1241">
        <v>24725</v>
      </c>
      <c r="G57" s="1241">
        <v>31000</v>
      </c>
    </row>
    <row r="58" spans="1:9" x14ac:dyDescent="0.25">
      <c r="A58" s="1232"/>
      <c r="B58" s="1233" t="s">
        <v>5</v>
      </c>
      <c r="C58" s="1241"/>
      <c r="D58" s="1241"/>
      <c r="E58" s="1241"/>
      <c r="F58" s="1241"/>
      <c r="G58" s="1241"/>
    </row>
    <row r="59" spans="1:9" s="1240" customFormat="1" x14ac:dyDescent="0.25">
      <c r="A59" s="1239"/>
      <c r="B59" s="1233" t="s">
        <v>1361</v>
      </c>
      <c r="C59" s="1238">
        <f>C57</f>
        <v>20650</v>
      </c>
      <c r="D59" s="1238">
        <f>'Biểu 22'!F43</f>
        <v>20680</v>
      </c>
      <c r="E59" s="1238">
        <f>E57</f>
        <v>42725</v>
      </c>
      <c r="F59" s="1238">
        <f>F57</f>
        <v>24725</v>
      </c>
      <c r="G59" s="1238">
        <f>G57</f>
        <v>31000</v>
      </c>
    </row>
    <row r="60" spans="1:9" x14ac:dyDescent="0.25">
      <c r="A60" s="1232"/>
      <c r="B60" s="1233" t="s">
        <v>1362</v>
      </c>
      <c r="C60" s="1241"/>
      <c r="D60" s="1241"/>
      <c r="E60" s="1241"/>
      <c r="F60" s="1241"/>
      <c r="G60" s="1241"/>
    </row>
    <row r="61" spans="1:9" ht="45" x14ac:dyDescent="0.25">
      <c r="A61" s="1232" t="s">
        <v>445</v>
      </c>
      <c r="B61" s="1242" t="s">
        <v>1366</v>
      </c>
      <c r="C61" s="1241">
        <v>8000</v>
      </c>
      <c r="D61" s="1241">
        <f>'Biểu 22'!F49</f>
        <v>8030</v>
      </c>
      <c r="E61" s="1241">
        <f>'Biểu 17'!D47</f>
        <v>22606</v>
      </c>
      <c r="F61" s="1241">
        <v>2569</v>
      </c>
      <c r="G61" s="1241">
        <v>10000</v>
      </c>
    </row>
    <row r="62" spans="1:9" x14ac:dyDescent="0.25">
      <c r="A62" s="1232"/>
      <c r="B62" s="1233" t="s">
        <v>5</v>
      </c>
      <c r="C62" s="1241"/>
      <c r="D62" s="1241"/>
      <c r="E62" s="1241"/>
      <c r="F62" s="1241"/>
      <c r="G62" s="1241"/>
    </row>
    <row r="63" spans="1:9" s="1240" customFormat="1" x14ac:dyDescent="0.25">
      <c r="A63" s="1239"/>
      <c r="B63" s="1233" t="s">
        <v>1361</v>
      </c>
      <c r="C63" s="1238">
        <f>C61</f>
        <v>8000</v>
      </c>
      <c r="D63" s="1238">
        <f>D61</f>
        <v>8030</v>
      </c>
      <c r="E63" s="1238">
        <f>E61</f>
        <v>22606</v>
      </c>
      <c r="F63" s="1238">
        <f>F61</f>
        <v>2569</v>
      </c>
      <c r="G63" s="1238">
        <f>G61</f>
        <v>10000</v>
      </c>
    </row>
    <row r="64" spans="1:9" x14ac:dyDescent="0.25">
      <c r="A64" s="1232"/>
      <c r="B64" s="1233" t="s">
        <v>1362</v>
      </c>
      <c r="C64" s="1241"/>
      <c r="D64" s="1241"/>
      <c r="E64" s="1241"/>
      <c r="F64" s="1241"/>
      <c r="G64" s="1241"/>
    </row>
    <row r="65" spans="1:7" ht="30" x14ac:dyDescent="0.25">
      <c r="A65" s="1232" t="s">
        <v>449</v>
      </c>
      <c r="B65" s="1242" t="s">
        <v>296</v>
      </c>
      <c r="C65" s="1241"/>
      <c r="D65" s="1241">
        <f>D67</f>
        <v>1145</v>
      </c>
      <c r="E65" s="1241"/>
      <c r="F65" s="1241"/>
      <c r="G65" s="1241">
        <v>15000</v>
      </c>
    </row>
    <row r="66" spans="1:7" x14ac:dyDescent="0.25">
      <c r="A66" s="1232"/>
      <c r="B66" s="1233" t="s">
        <v>5</v>
      </c>
      <c r="C66" s="1241"/>
      <c r="D66" s="1241"/>
      <c r="E66" s="1241"/>
      <c r="F66" s="1241"/>
      <c r="G66" s="1241"/>
    </row>
    <row r="67" spans="1:7" s="1240" customFormat="1" x14ac:dyDescent="0.25">
      <c r="A67" s="1239"/>
      <c r="B67" s="1233" t="s">
        <v>1361</v>
      </c>
      <c r="C67" s="1238">
        <f>C65</f>
        <v>0</v>
      </c>
      <c r="D67" s="1238">
        <f>'Biểu 22'!F44</f>
        <v>1145</v>
      </c>
      <c r="E67" s="1238"/>
      <c r="F67" s="1238"/>
      <c r="G67" s="1238">
        <f>G65</f>
        <v>15000</v>
      </c>
    </row>
    <row r="68" spans="1:7" x14ac:dyDescent="0.25">
      <c r="A68" s="1232"/>
      <c r="B68" s="1233" t="s">
        <v>1362</v>
      </c>
      <c r="C68" s="1241"/>
      <c r="D68" s="1241"/>
      <c r="E68" s="1241"/>
      <c r="F68" s="1241"/>
      <c r="G68" s="1241"/>
    </row>
    <row r="69" spans="1:7" ht="30" x14ac:dyDescent="0.25">
      <c r="A69" s="1232" t="s">
        <v>451</v>
      </c>
      <c r="B69" s="1242" t="s">
        <v>1367</v>
      </c>
      <c r="C69" s="1241"/>
      <c r="D69" s="1241"/>
      <c r="E69" s="1241"/>
      <c r="F69" s="1241"/>
      <c r="G69" s="1241">
        <v>30000</v>
      </c>
    </row>
    <row r="70" spans="1:7" x14ac:dyDescent="0.25">
      <c r="A70" s="1232"/>
      <c r="B70" s="1233" t="s">
        <v>5</v>
      </c>
      <c r="C70" s="1241"/>
      <c r="D70" s="1241"/>
      <c r="E70" s="1241"/>
      <c r="F70" s="1241"/>
      <c r="G70" s="1241"/>
    </row>
    <row r="71" spans="1:7" s="1240" customFormat="1" x14ac:dyDescent="0.25">
      <c r="A71" s="1239"/>
      <c r="B71" s="1233" t="s">
        <v>1361</v>
      </c>
      <c r="C71" s="1238"/>
      <c r="D71" s="1238"/>
      <c r="E71" s="1238"/>
      <c r="F71" s="1238"/>
      <c r="G71" s="1238">
        <v>30000</v>
      </c>
    </row>
    <row r="72" spans="1:7" x14ac:dyDescent="0.25">
      <c r="A72" s="1232"/>
      <c r="B72" s="1233" t="s">
        <v>1362</v>
      </c>
      <c r="C72" s="1241"/>
      <c r="D72" s="1241"/>
      <c r="E72" s="1241"/>
      <c r="F72" s="1241"/>
      <c r="G72" s="1241"/>
    </row>
    <row r="73" spans="1:7" x14ac:dyDescent="0.25">
      <c r="A73" s="1232" t="s">
        <v>452</v>
      </c>
      <c r="B73" s="1242" t="s">
        <v>297</v>
      </c>
      <c r="C73" s="1241">
        <v>35777</v>
      </c>
      <c r="D73" s="1241">
        <f>D75</f>
        <v>35789</v>
      </c>
      <c r="E73" s="1241">
        <f>'Biểu 17'!D43</f>
        <v>23000</v>
      </c>
      <c r="F73" s="1241"/>
      <c r="G73" s="1241">
        <v>50000</v>
      </c>
    </row>
    <row r="74" spans="1:7" x14ac:dyDescent="0.25">
      <c r="A74" s="1232"/>
      <c r="B74" s="1233" t="s">
        <v>5</v>
      </c>
      <c r="C74" s="1241"/>
      <c r="D74" s="1241"/>
      <c r="E74" s="1241"/>
      <c r="F74" s="1241"/>
      <c r="G74" s="1241"/>
    </row>
    <row r="75" spans="1:7" s="1240" customFormat="1" x14ac:dyDescent="0.25">
      <c r="A75" s="1239"/>
      <c r="B75" s="1233" t="s">
        <v>1361</v>
      </c>
      <c r="C75" s="1238">
        <f>C73</f>
        <v>35777</v>
      </c>
      <c r="D75" s="1238">
        <f>'Biểu 22'!F45</f>
        <v>35789</v>
      </c>
      <c r="E75" s="1238">
        <f>E73</f>
        <v>23000</v>
      </c>
      <c r="F75" s="1238"/>
      <c r="G75" s="1238">
        <v>50000</v>
      </c>
    </row>
    <row r="76" spans="1:7" x14ac:dyDescent="0.25">
      <c r="A76" s="1232"/>
      <c r="B76" s="1233" t="s">
        <v>1362</v>
      </c>
      <c r="C76" s="1241"/>
      <c r="D76" s="1241"/>
      <c r="E76" s="1241"/>
      <c r="F76" s="1241"/>
      <c r="G76" s="1241"/>
    </row>
    <row r="77" spans="1:7" ht="60" x14ac:dyDescent="0.25">
      <c r="A77" s="1232" t="s">
        <v>1368</v>
      </c>
      <c r="B77" s="1242" t="s">
        <v>1369</v>
      </c>
      <c r="C77" s="1241">
        <v>5000</v>
      </c>
      <c r="D77" s="1241">
        <f>'Biểu 22'!F46</f>
        <v>5000</v>
      </c>
      <c r="E77" s="1241">
        <f>'Biểu 17'!D44</f>
        <v>6000</v>
      </c>
      <c r="F77" s="1241">
        <v>4700</v>
      </c>
      <c r="G77" s="1241">
        <v>10000</v>
      </c>
    </row>
    <row r="78" spans="1:7" x14ac:dyDescent="0.25">
      <c r="A78" s="1232"/>
      <c r="B78" s="1233" t="s">
        <v>5</v>
      </c>
      <c r="C78" s="1241"/>
      <c r="D78" s="1241"/>
      <c r="E78" s="1241"/>
      <c r="F78" s="1241"/>
      <c r="G78" s="1241"/>
    </row>
    <row r="79" spans="1:7" s="1240" customFormat="1" x14ac:dyDescent="0.25">
      <c r="A79" s="1239"/>
      <c r="B79" s="1233" t="s">
        <v>1361</v>
      </c>
      <c r="C79" s="1238">
        <f>C77</f>
        <v>5000</v>
      </c>
      <c r="D79" s="1238">
        <f>D77</f>
        <v>5000</v>
      </c>
      <c r="E79" s="1238">
        <f>E77</f>
        <v>6000</v>
      </c>
      <c r="F79" s="1238">
        <f>F77</f>
        <v>4700</v>
      </c>
      <c r="G79" s="1238">
        <v>10000</v>
      </c>
    </row>
    <row r="80" spans="1:7" x14ac:dyDescent="0.25">
      <c r="A80" s="1232" t="s">
        <v>1370</v>
      </c>
      <c r="B80" s="1233" t="s">
        <v>1362</v>
      </c>
      <c r="C80" s="1241"/>
      <c r="D80" s="1241"/>
      <c r="E80" s="1241"/>
      <c r="F80" s="1241"/>
      <c r="G80" s="1241"/>
    </row>
    <row r="81" spans="1:7" x14ac:dyDescent="0.25">
      <c r="A81" s="1232" t="s">
        <v>453</v>
      </c>
      <c r="B81" s="1242" t="s">
        <v>299</v>
      </c>
      <c r="C81" s="1241">
        <f>C83</f>
        <v>10000</v>
      </c>
      <c r="D81" s="1241">
        <f>'Biểu 22'!F47</f>
        <v>10000</v>
      </c>
      <c r="E81" s="1241">
        <f>'Biểu 17'!D45</f>
        <v>7000</v>
      </c>
      <c r="F81" s="1241"/>
      <c r="G81" s="1241">
        <v>10000</v>
      </c>
    </row>
    <row r="82" spans="1:7" x14ac:dyDescent="0.25">
      <c r="A82" s="1232"/>
      <c r="B82" s="1233" t="s">
        <v>5</v>
      </c>
      <c r="C82" s="1241"/>
      <c r="D82" s="1241"/>
      <c r="E82" s="1241"/>
      <c r="F82" s="1241"/>
      <c r="G82" s="1241"/>
    </row>
    <row r="83" spans="1:7" s="1240" customFormat="1" x14ac:dyDescent="0.25">
      <c r="A83" s="1239"/>
      <c r="B83" s="1233" t="s">
        <v>1361</v>
      </c>
      <c r="C83" s="1238">
        <v>10000</v>
      </c>
      <c r="D83" s="1238">
        <v>10000</v>
      </c>
      <c r="E83" s="1238">
        <f>'Biểu 17'!D45</f>
        <v>7000</v>
      </c>
      <c r="F83" s="1238"/>
      <c r="G83" s="1238">
        <v>10000</v>
      </c>
    </row>
    <row r="84" spans="1:7" x14ac:dyDescent="0.25">
      <c r="A84" s="1232"/>
      <c r="B84" s="1233" t="s">
        <v>1362</v>
      </c>
      <c r="C84" s="1241"/>
      <c r="D84" s="1241"/>
      <c r="E84" s="1241"/>
      <c r="F84" s="1241"/>
      <c r="G84" s="1241"/>
    </row>
    <row r="85" spans="1:7" x14ac:dyDescent="0.25">
      <c r="A85" s="1232" t="s">
        <v>455</v>
      </c>
      <c r="B85" s="1242" t="s">
        <v>1371</v>
      </c>
      <c r="C85" s="1241"/>
      <c r="D85" s="1241"/>
      <c r="E85" s="1241">
        <f>'Biểu 17'!D48</f>
        <v>1638</v>
      </c>
      <c r="F85" s="1241"/>
      <c r="G85" s="1241"/>
    </row>
    <row r="86" spans="1:7" ht="20.25" customHeight="1" x14ac:dyDescent="0.25">
      <c r="A86" s="1232" t="s">
        <v>457</v>
      </c>
      <c r="B86" s="1242" t="str">
        <f>'Biểu 22'!B51</f>
        <v>Nguồn dự phòng ngân sách Trung ương</v>
      </c>
      <c r="C86" s="1241"/>
      <c r="D86" s="1241">
        <f>'Biểu 22'!F51</f>
        <v>41969</v>
      </c>
      <c r="E86" s="1241"/>
      <c r="F86" s="1241"/>
      <c r="G86" s="1241"/>
    </row>
    <row r="87" spans="1:7" ht="30" x14ac:dyDescent="0.25">
      <c r="A87" s="1232" t="s">
        <v>458</v>
      </c>
      <c r="B87" s="1242" t="s">
        <v>1372</v>
      </c>
      <c r="C87" s="1241">
        <v>32200</v>
      </c>
      <c r="D87" s="1241">
        <f>'Biểu 22'!H53</f>
        <v>26425</v>
      </c>
      <c r="E87" s="1241"/>
      <c r="F87" s="1241"/>
      <c r="G87" s="1241"/>
    </row>
    <row r="88" spans="1:7" ht="52.5" customHeight="1" x14ac:dyDescent="0.25">
      <c r="A88" s="1232"/>
      <c r="B88" s="1242" t="str">
        <f>'Biểu 22'!B52</f>
        <v>Chính sách hỗ trợ di dân thực hiện định canh, định cư cho đồng bào dân tộc thiểu số theo Quyết định 33</v>
      </c>
      <c r="C88" s="1241"/>
      <c r="D88" s="1241">
        <v>20</v>
      </c>
      <c r="E88" s="1241"/>
      <c r="F88" s="1241"/>
      <c r="G88" s="1241"/>
    </row>
    <row r="89" spans="1:7" x14ac:dyDescent="0.25">
      <c r="A89" s="1232" t="s">
        <v>460</v>
      </c>
      <c r="B89" s="1242" t="s">
        <v>300</v>
      </c>
      <c r="C89" s="1241">
        <f>C91+C92</f>
        <v>493979</v>
      </c>
      <c r="D89" s="1241">
        <f>D91+D92</f>
        <v>197929</v>
      </c>
      <c r="E89" s="1241">
        <f>E91+E92</f>
        <v>86757</v>
      </c>
      <c r="F89" s="1241">
        <f>F91+F92</f>
        <v>396310</v>
      </c>
      <c r="G89" s="1241">
        <f>G91+G92</f>
        <v>220000</v>
      </c>
    </row>
    <row r="90" spans="1:7" x14ac:dyDescent="0.25">
      <c r="A90" s="1232"/>
      <c r="B90" s="1233" t="s">
        <v>5</v>
      </c>
      <c r="C90" s="1241"/>
      <c r="D90" s="1241"/>
      <c r="E90" s="1241"/>
      <c r="F90" s="1241"/>
      <c r="G90" s="1241"/>
    </row>
    <row r="91" spans="1:7" s="1240" customFormat="1" x14ac:dyDescent="0.25">
      <c r="A91" s="1239"/>
      <c r="B91" s="1233" t="s">
        <v>1361</v>
      </c>
      <c r="C91" s="1238">
        <v>43600</v>
      </c>
      <c r="D91" s="1238">
        <f>'Biểu 22'!F48</f>
        <v>43886</v>
      </c>
      <c r="E91" s="1238">
        <f>'Biểu 17'!D46</f>
        <v>51098</v>
      </c>
      <c r="F91" s="1238">
        <v>127419</v>
      </c>
      <c r="G91" s="1238">
        <v>70000</v>
      </c>
    </row>
    <row r="92" spans="1:7" s="1240" customFormat="1" x14ac:dyDescent="0.25">
      <c r="A92" s="1239"/>
      <c r="B92" s="1233" t="s">
        <v>1362</v>
      </c>
      <c r="C92" s="1238">
        <v>450379</v>
      </c>
      <c r="D92" s="1238">
        <f>'Biểu 22'!F55</f>
        <v>154043</v>
      </c>
      <c r="E92" s="1238">
        <f>'Biểu 17'!D51</f>
        <v>35659</v>
      </c>
      <c r="F92" s="1238">
        <v>268891</v>
      </c>
      <c r="G92" s="1238">
        <v>150000</v>
      </c>
    </row>
    <row r="93" spans="1:7" x14ac:dyDescent="0.25">
      <c r="A93" s="1232" t="s">
        <v>462</v>
      </c>
      <c r="B93" s="1242" t="s">
        <v>557</v>
      </c>
      <c r="C93" s="1241">
        <v>488000</v>
      </c>
      <c r="D93" s="1241">
        <f>'Biểu 22'!F54</f>
        <v>321774</v>
      </c>
      <c r="E93" s="1241">
        <f>'Biểu 17'!D50</f>
        <v>104400</v>
      </c>
      <c r="F93" s="1241"/>
      <c r="G93" s="1241">
        <v>200000</v>
      </c>
    </row>
    <row r="94" spans="1:7" ht="28.5" x14ac:dyDescent="0.25">
      <c r="A94" s="1234" t="s">
        <v>3</v>
      </c>
      <c r="B94" s="1235" t="s">
        <v>1373</v>
      </c>
      <c r="C94" s="1241"/>
      <c r="D94" s="1241"/>
      <c r="E94" s="1236">
        <f>E95+E96</f>
        <v>661548</v>
      </c>
      <c r="F94" s="1236">
        <f t="shared" ref="F94:G94" si="6">F95+F96</f>
        <v>0</v>
      </c>
      <c r="G94" s="1236">
        <f t="shared" si="6"/>
        <v>0</v>
      </c>
    </row>
    <row r="95" spans="1:7" x14ac:dyDescent="0.25">
      <c r="A95" s="1232" t="s">
        <v>23</v>
      </c>
      <c r="B95" s="1233" t="s">
        <v>111</v>
      </c>
      <c r="C95" s="1241"/>
      <c r="D95" s="1241"/>
      <c r="E95" s="1241">
        <v>574372</v>
      </c>
      <c r="F95" s="1241"/>
      <c r="G95" s="1241">
        <f>F95</f>
        <v>0</v>
      </c>
    </row>
    <row r="96" spans="1:7" x14ac:dyDescent="0.25">
      <c r="A96" s="1244" t="s">
        <v>23</v>
      </c>
      <c r="B96" s="1245" t="s">
        <v>302</v>
      </c>
      <c r="C96" s="1246"/>
      <c r="D96" s="1246"/>
      <c r="E96" s="1246">
        <v>87176</v>
      </c>
      <c r="F96" s="1246"/>
      <c r="G96" s="1246"/>
    </row>
    <row r="97" spans="1:7" ht="29.25" customHeight="1" x14ac:dyDescent="0.25">
      <c r="A97" s="1953" t="s">
        <v>1904</v>
      </c>
      <c r="B97" s="1953"/>
      <c r="C97" s="1953"/>
      <c r="D97" s="1953"/>
      <c r="E97" s="1953"/>
      <c r="F97" s="1953"/>
      <c r="G97" s="1953"/>
    </row>
    <row r="98" spans="1:7" x14ac:dyDescent="0.25">
      <c r="A98" s="1954"/>
      <c r="B98" s="1954"/>
      <c r="C98" s="1954"/>
      <c r="D98" s="1954"/>
      <c r="E98" s="1954"/>
      <c r="F98" s="1954"/>
      <c r="G98" s="1954"/>
    </row>
    <row r="99" spans="1:7" x14ac:dyDescent="0.25">
      <c r="A99" s="1954"/>
      <c r="B99" s="1954"/>
      <c r="C99" s="1954"/>
      <c r="D99" s="1954"/>
      <c r="E99" s="1954"/>
      <c r="F99" s="1954"/>
      <c r="G99" s="1954"/>
    </row>
    <row r="100" spans="1:7" x14ac:dyDescent="0.25">
      <c r="A100" s="53"/>
    </row>
  </sheetData>
  <mergeCells count="10">
    <mergeCell ref="A97:G97"/>
    <mergeCell ref="A98:G98"/>
    <mergeCell ref="A99:G99"/>
    <mergeCell ref="A1:G1"/>
    <mergeCell ref="A2:G2"/>
    <mergeCell ref="F3:G3"/>
    <mergeCell ref="A4:A5"/>
    <mergeCell ref="B4:B5"/>
    <mergeCell ref="C4:D4"/>
    <mergeCell ref="E4:G4"/>
  </mergeCells>
  <pageMargins left="0.7" right="0.2" top="0.72" bottom="0.75" header="0.49" footer="0.41"/>
  <pageSetup paperSize="9" firstPageNumber="60" orientation="portrait" useFirstPageNumber="1" r:id="rId1"/>
  <headerFooter>
    <oddHeader>&amp;RBiểu mẫu số 11</oddHeader>
    <oddFooter>&amp;C&amp;P</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L104"/>
  <sheetViews>
    <sheetView workbookViewId="0">
      <pane xSplit="2" ySplit="4" topLeftCell="C5" activePane="bottomRight" state="frozen"/>
      <selection pane="topRight" activeCell="C1" sqref="C1"/>
      <selection pane="bottomLeft" activeCell="A5" sqref="A5"/>
      <selection pane="bottomRight" activeCell="M15" sqref="M15"/>
    </sheetView>
  </sheetViews>
  <sheetFormatPr defaultRowHeight="15" x14ac:dyDescent="0.25"/>
  <cols>
    <col min="1" max="1" width="5.25" style="170" customWidth="1"/>
    <col min="2" max="2" width="44.375" style="170" customWidth="1"/>
    <col min="3" max="3" width="8.125" style="170" customWidth="1"/>
    <col min="4" max="4" width="8.5" style="170" customWidth="1"/>
    <col min="5" max="5" width="7.875" style="170" customWidth="1"/>
    <col min="6" max="6" width="7.125" style="170" customWidth="1"/>
    <col min="7" max="7" width="7.625" style="170" customWidth="1"/>
    <col min="8" max="8" width="7.25" style="170" customWidth="1"/>
    <col min="9" max="9" width="6.75" style="170" customWidth="1"/>
    <col min="10" max="10" width="7.75" style="170" customWidth="1"/>
    <col min="11" max="11" width="6.875" style="170" customWidth="1"/>
    <col min="12" max="12" width="6.625" style="170" customWidth="1"/>
    <col min="13" max="257" width="9" style="170"/>
    <col min="258" max="258" width="5.125" style="170" customWidth="1"/>
    <col min="259" max="259" width="47.5" style="170" customWidth="1"/>
    <col min="260" max="260" width="8.75" style="170" customWidth="1"/>
    <col min="261" max="261" width="7.625" style="170" customWidth="1"/>
    <col min="262" max="262" width="7.125" style="170" customWidth="1"/>
    <col min="263" max="263" width="7.625" style="170" customWidth="1"/>
    <col min="264" max="264" width="7.25" style="170" customWidth="1"/>
    <col min="265" max="265" width="6.75" style="170" customWidth="1"/>
    <col min="266" max="266" width="7.75" style="170" customWidth="1"/>
    <col min="267" max="267" width="7.625" style="170" customWidth="1"/>
    <col min="268" max="268" width="6.625" style="170" customWidth="1"/>
    <col min="269" max="513" width="9" style="170"/>
    <col min="514" max="514" width="5.125" style="170" customWidth="1"/>
    <col min="515" max="515" width="47.5" style="170" customWidth="1"/>
    <col min="516" max="516" width="8.75" style="170" customWidth="1"/>
    <col min="517" max="517" width="7.625" style="170" customWidth="1"/>
    <col min="518" max="518" width="7.125" style="170" customWidth="1"/>
    <col min="519" max="519" width="7.625" style="170" customWidth="1"/>
    <col min="520" max="520" width="7.25" style="170" customWidth="1"/>
    <col min="521" max="521" width="6.75" style="170" customWidth="1"/>
    <col min="522" max="522" width="7.75" style="170" customWidth="1"/>
    <col min="523" max="523" width="7.625" style="170" customWidth="1"/>
    <col min="524" max="524" width="6.625" style="170" customWidth="1"/>
    <col min="525" max="769" width="9" style="170"/>
    <col min="770" max="770" width="5.125" style="170" customWidth="1"/>
    <col min="771" max="771" width="47.5" style="170" customWidth="1"/>
    <col min="772" max="772" width="8.75" style="170" customWidth="1"/>
    <col min="773" max="773" width="7.625" style="170" customWidth="1"/>
    <col min="774" max="774" width="7.125" style="170" customWidth="1"/>
    <col min="775" max="775" width="7.625" style="170" customWidth="1"/>
    <col min="776" max="776" width="7.25" style="170" customWidth="1"/>
    <col min="777" max="777" width="6.75" style="170" customWidth="1"/>
    <col min="778" max="778" width="7.75" style="170" customWidth="1"/>
    <col min="779" max="779" width="7.625" style="170" customWidth="1"/>
    <col min="780" max="780" width="6.625" style="170" customWidth="1"/>
    <col min="781" max="1025" width="9" style="170"/>
    <col min="1026" max="1026" width="5.125" style="170" customWidth="1"/>
    <col min="1027" max="1027" width="47.5" style="170" customWidth="1"/>
    <col min="1028" max="1028" width="8.75" style="170" customWidth="1"/>
    <col min="1029" max="1029" width="7.625" style="170" customWidth="1"/>
    <col min="1030" max="1030" width="7.125" style="170" customWidth="1"/>
    <col min="1031" max="1031" width="7.625" style="170" customWidth="1"/>
    <col min="1032" max="1032" width="7.25" style="170" customWidth="1"/>
    <col min="1033" max="1033" width="6.75" style="170" customWidth="1"/>
    <col min="1034" max="1034" width="7.75" style="170" customWidth="1"/>
    <col min="1035" max="1035" width="7.625" style="170" customWidth="1"/>
    <col min="1036" max="1036" width="6.625" style="170" customWidth="1"/>
    <col min="1037" max="1281" width="9" style="170"/>
    <col min="1282" max="1282" width="5.125" style="170" customWidth="1"/>
    <col min="1283" max="1283" width="47.5" style="170" customWidth="1"/>
    <col min="1284" max="1284" width="8.75" style="170" customWidth="1"/>
    <col min="1285" max="1285" width="7.625" style="170" customWidth="1"/>
    <col min="1286" max="1286" width="7.125" style="170" customWidth="1"/>
    <col min="1287" max="1287" width="7.625" style="170" customWidth="1"/>
    <col min="1288" max="1288" width="7.25" style="170" customWidth="1"/>
    <col min="1289" max="1289" width="6.75" style="170" customWidth="1"/>
    <col min="1290" max="1290" width="7.75" style="170" customWidth="1"/>
    <col min="1291" max="1291" width="7.625" style="170" customWidth="1"/>
    <col min="1292" max="1292" width="6.625" style="170" customWidth="1"/>
    <col min="1293" max="1537" width="9" style="170"/>
    <col min="1538" max="1538" width="5.125" style="170" customWidth="1"/>
    <col min="1539" max="1539" width="47.5" style="170" customWidth="1"/>
    <col min="1540" max="1540" width="8.75" style="170" customWidth="1"/>
    <col min="1541" max="1541" width="7.625" style="170" customWidth="1"/>
    <col min="1542" max="1542" width="7.125" style="170" customWidth="1"/>
    <col min="1543" max="1543" width="7.625" style="170" customWidth="1"/>
    <col min="1544" max="1544" width="7.25" style="170" customWidth="1"/>
    <col min="1545" max="1545" width="6.75" style="170" customWidth="1"/>
    <col min="1546" max="1546" width="7.75" style="170" customWidth="1"/>
    <col min="1547" max="1547" width="7.625" style="170" customWidth="1"/>
    <col min="1548" max="1548" width="6.625" style="170" customWidth="1"/>
    <col min="1549" max="1793" width="9" style="170"/>
    <col min="1794" max="1794" width="5.125" style="170" customWidth="1"/>
    <col min="1795" max="1795" width="47.5" style="170" customWidth="1"/>
    <col min="1796" max="1796" width="8.75" style="170" customWidth="1"/>
    <col min="1797" max="1797" width="7.625" style="170" customWidth="1"/>
    <col min="1798" max="1798" width="7.125" style="170" customWidth="1"/>
    <col min="1799" max="1799" width="7.625" style="170" customWidth="1"/>
    <col min="1800" max="1800" width="7.25" style="170" customWidth="1"/>
    <col min="1801" max="1801" width="6.75" style="170" customWidth="1"/>
    <col min="1802" max="1802" width="7.75" style="170" customWidth="1"/>
    <col min="1803" max="1803" width="7.625" style="170" customWidth="1"/>
    <col min="1804" max="1804" width="6.625" style="170" customWidth="1"/>
    <col min="1805" max="2049" width="9" style="170"/>
    <col min="2050" max="2050" width="5.125" style="170" customWidth="1"/>
    <col min="2051" max="2051" width="47.5" style="170" customWidth="1"/>
    <col min="2052" max="2052" width="8.75" style="170" customWidth="1"/>
    <col min="2053" max="2053" width="7.625" style="170" customWidth="1"/>
    <col min="2054" max="2054" width="7.125" style="170" customWidth="1"/>
    <col min="2055" max="2055" width="7.625" style="170" customWidth="1"/>
    <col min="2056" max="2056" width="7.25" style="170" customWidth="1"/>
    <col min="2057" max="2057" width="6.75" style="170" customWidth="1"/>
    <col min="2058" max="2058" width="7.75" style="170" customWidth="1"/>
    <col min="2059" max="2059" width="7.625" style="170" customWidth="1"/>
    <col min="2060" max="2060" width="6.625" style="170" customWidth="1"/>
    <col min="2061" max="2305" width="9" style="170"/>
    <col min="2306" max="2306" width="5.125" style="170" customWidth="1"/>
    <col min="2307" max="2307" width="47.5" style="170" customWidth="1"/>
    <col min="2308" max="2308" width="8.75" style="170" customWidth="1"/>
    <col min="2309" max="2309" width="7.625" style="170" customWidth="1"/>
    <col min="2310" max="2310" width="7.125" style="170" customWidth="1"/>
    <col min="2311" max="2311" width="7.625" style="170" customWidth="1"/>
    <col min="2312" max="2312" width="7.25" style="170" customWidth="1"/>
    <col min="2313" max="2313" width="6.75" style="170" customWidth="1"/>
    <col min="2314" max="2314" width="7.75" style="170" customWidth="1"/>
    <col min="2315" max="2315" width="7.625" style="170" customWidth="1"/>
    <col min="2316" max="2316" width="6.625" style="170" customWidth="1"/>
    <col min="2317" max="2561" width="9" style="170"/>
    <col min="2562" max="2562" width="5.125" style="170" customWidth="1"/>
    <col min="2563" max="2563" width="47.5" style="170" customWidth="1"/>
    <col min="2564" max="2564" width="8.75" style="170" customWidth="1"/>
    <col min="2565" max="2565" width="7.625" style="170" customWidth="1"/>
    <col min="2566" max="2566" width="7.125" style="170" customWidth="1"/>
    <col min="2567" max="2567" width="7.625" style="170" customWidth="1"/>
    <col min="2568" max="2568" width="7.25" style="170" customWidth="1"/>
    <col min="2569" max="2569" width="6.75" style="170" customWidth="1"/>
    <col min="2570" max="2570" width="7.75" style="170" customWidth="1"/>
    <col min="2571" max="2571" width="7.625" style="170" customWidth="1"/>
    <col min="2572" max="2572" width="6.625" style="170" customWidth="1"/>
    <col min="2573" max="2817" width="9" style="170"/>
    <col min="2818" max="2818" width="5.125" style="170" customWidth="1"/>
    <col min="2819" max="2819" width="47.5" style="170" customWidth="1"/>
    <col min="2820" max="2820" width="8.75" style="170" customWidth="1"/>
    <col min="2821" max="2821" width="7.625" style="170" customWidth="1"/>
    <col min="2822" max="2822" width="7.125" style="170" customWidth="1"/>
    <col min="2823" max="2823" width="7.625" style="170" customWidth="1"/>
    <col min="2824" max="2824" width="7.25" style="170" customWidth="1"/>
    <col min="2825" max="2825" width="6.75" style="170" customWidth="1"/>
    <col min="2826" max="2826" width="7.75" style="170" customWidth="1"/>
    <col min="2827" max="2827" width="7.625" style="170" customWidth="1"/>
    <col min="2828" max="2828" width="6.625" style="170" customWidth="1"/>
    <col min="2829" max="3073" width="9" style="170"/>
    <col min="3074" max="3074" width="5.125" style="170" customWidth="1"/>
    <col min="3075" max="3075" width="47.5" style="170" customWidth="1"/>
    <col min="3076" max="3076" width="8.75" style="170" customWidth="1"/>
    <col min="3077" max="3077" width="7.625" style="170" customWidth="1"/>
    <col min="3078" max="3078" width="7.125" style="170" customWidth="1"/>
    <col min="3079" max="3079" width="7.625" style="170" customWidth="1"/>
    <col min="3080" max="3080" width="7.25" style="170" customWidth="1"/>
    <col min="3081" max="3081" width="6.75" style="170" customWidth="1"/>
    <col min="3082" max="3082" width="7.75" style="170" customWidth="1"/>
    <col min="3083" max="3083" width="7.625" style="170" customWidth="1"/>
    <col min="3084" max="3084" width="6.625" style="170" customWidth="1"/>
    <col min="3085" max="3329" width="9" style="170"/>
    <col min="3330" max="3330" width="5.125" style="170" customWidth="1"/>
    <col min="3331" max="3331" width="47.5" style="170" customWidth="1"/>
    <col min="3332" max="3332" width="8.75" style="170" customWidth="1"/>
    <col min="3333" max="3333" width="7.625" style="170" customWidth="1"/>
    <col min="3334" max="3334" width="7.125" style="170" customWidth="1"/>
    <col min="3335" max="3335" width="7.625" style="170" customWidth="1"/>
    <col min="3336" max="3336" width="7.25" style="170" customWidth="1"/>
    <col min="3337" max="3337" width="6.75" style="170" customWidth="1"/>
    <col min="3338" max="3338" width="7.75" style="170" customWidth="1"/>
    <col min="3339" max="3339" width="7.625" style="170" customWidth="1"/>
    <col min="3340" max="3340" width="6.625" style="170" customWidth="1"/>
    <col min="3341" max="3585" width="9" style="170"/>
    <col min="3586" max="3586" width="5.125" style="170" customWidth="1"/>
    <col min="3587" max="3587" width="47.5" style="170" customWidth="1"/>
    <col min="3588" max="3588" width="8.75" style="170" customWidth="1"/>
    <col min="3589" max="3589" width="7.625" style="170" customWidth="1"/>
    <col min="3590" max="3590" width="7.125" style="170" customWidth="1"/>
    <col min="3591" max="3591" width="7.625" style="170" customWidth="1"/>
    <col min="3592" max="3592" width="7.25" style="170" customWidth="1"/>
    <col min="3593" max="3593" width="6.75" style="170" customWidth="1"/>
    <col min="3594" max="3594" width="7.75" style="170" customWidth="1"/>
    <col min="3595" max="3595" width="7.625" style="170" customWidth="1"/>
    <col min="3596" max="3596" width="6.625" style="170" customWidth="1"/>
    <col min="3597" max="3841" width="9" style="170"/>
    <col min="3842" max="3842" width="5.125" style="170" customWidth="1"/>
    <col min="3843" max="3843" width="47.5" style="170" customWidth="1"/>
    <col min="3844" max="3844" width="8.75" style="170" customWidth="1"/>
    <col min="3845" max="3845" width="7.625" style="170" customWidth="1"/>
    <col min="3846" max="3846" width="7.125" style="170" customWidth="1"/>
    <col min="3847" max="3847" width="7.625" style="170" customWidth="1"/>
    <col min="3848" max="3848" width="7.25" style="170" customWidth="1"/>
    <col min="3849" max="3849" width="6.75" style="170" customWidth="1"/>
    <col min="3850" max="3850" width="7.75" style="170" customWidth="1"/>
    <col min="3851" max="3851" width="7.625" style="170" customWidth="1"/>
    <col min="3852" max="3852" width="6.625" style="170" customWidth="1"/>
    <col min="3853" max="4097" width="9" style="170"/>
    <col min="4098" max="4098" width="5.125" style="170" customWidth="1"/>
    <col min="4099" max="4099" width="47.5" style="170" customWidth="1"/>
    <col min="4100" max="4100" width="8.75" style="170" customWidth="1"/>
    <col min="4101" max="4101" width="7.625" style="170" customWidth="1"/>
    <col min="4102" max="4102" width="7.125" style="170" customWidth="1"/>
    <col min="4103" max="4103" width="7.625" style="170" customWidth="1"/>
    <col min="4104" max="4104" width="7.25" style="170" customWidth="1"/>
    <col min="4105" max="4105" width="6.75" style="170" customWidth="1"/>
    <col min="4106" max="4106" width="7.75" style="170" customWidth="1"/>
    <col min="4107" max="4107" width="7.625" style="170" customWidth="1"/>
    <col min="4108" max="4108" width="6.625" style="170" customWidth="1"/>
    <col min="4109" max="4353" width="9" style="170"/>
    <col min="4354" max="4354" width="5.125" style="170" customWidth="1"/>
    <col min="4355" max="4355" width="47.5" style="170" customWidth="1"/>
    <col min="4356" max="4356" width="8.75" style="170" customWidth="1"/>
    <col min="4357" max="4357" width="7.625" style="170" customWidth="1"/>
    <col min="4358" max="4358" width="7.125" style="170" customWidth="1"/>
    <col min="4359" max="4359" width="7.625" style="170" customWidth="1"/>
    <col min="4360" max="4360" width="7.25" style="170" customWidth="1"/>
    <col min="4361" max="4361" width="6.75" style="170" customWidth="1"/>
    <col min="4362" max="4362" width="7.75" style="170" customWidth="1"/>
    <col min="4363" max="4363" width="7.625" style="170" customWidth="1"/>
    <col min="4364" max="4364" width="6.625" style="170" customWidth="1"/>
    <col min="4365" max="4609" width="9" style="170"/>
    <col min="4610" max="4610" width="5.125" style="170" customWidth="1"/>
    <col min="4611" max="4611" width="47.5" style="170" customWidth="1"/>
    <col min="4612" max="4612" width="8.75" style="170" customWidth="1"/>
    <col min="4613" max="4613" width="7.625" style="170" customWidth="1"/>
    <col min="4614" max="4614" width="7.125" style="170" customWidth="1"/>
    <col min="4615" max="4615" width="7.625" style="170" customWidth="1"/>
    <col min="4616" max="4616" width="7.25" style="170" customWidth="1"/>
    <col min="4617" max="4617" width="6.75" style="170" customWidth="1"/>
    <col min="4618" max="4618" width="7.75" style="170" customWidth="1"/>
    <col min="4619" max="4619" width="7.625" style="170" customWidth="1"/>
    <col min="4620" max="4620" width="6.625" style="170" customWidth="1"/>
    <col min="4621" max="4865" width="9" style="170"/>
    <col min="4866" max="4866" width="5.125" style="170" customWidth="1"/>
    <col min="4867" max="4867" width="47.5" style="170" customWidth="1"/>
    <col min="4868" max="4868" width="8.75" style="170" customWidth="1"/>
    <col min="4869" max="4869" width="7.625" style="170" customWidth="1"/>
    <col min="4870" max="4870" width="7.125" style="170" customWidth="1"/>
    <col min="4871" max="4871" width="7.625" style="170" customWidth="1"/>
    <col min="4872" max="4872" width="7.25" style="170" customWidth="1"/>
    <col min="4873" max="4873" width="6.75" style="170" customWidth="1"/>
    <col min="4874" max="4874" width="7.75" style="170" customWidth="1"/>
    <col min="4875" max="4875" width="7.625" style="170" customWidth="1"/>
    <col min="4876" max="4876" width="6.625" style="170" customWidth="1"/>
    <col min="4877" max="5121" width="9" style="170"/>
    <col min="5122" max="5122" width="5.125" style="170" customWidth="1"/>
    <col min="5123" max="5123" width="47.5" style="170" customWidth="1"/>
    <col min="5124" max="5124" width="8.75" style="170" customWidth="1"/>
    <col min="5125" max="5125" width="7.625" style="170" customWidth="1"/>
    <col min="5126" max="5126" width="7.125" style="170" customWidth="1"/>
    <col min="5127" max="5127" width="7.625" style="170" customWidth="1"/>
    <col min="5128" max="5128" width="7.25" style="170" customWidth="1"/>
    <col min="5129" max="5129" width="6.75" style="170" customWidth="1"/>
    <col min="5130" max="5130" width="7.75" style="170" customWidth="1"/>
    <col min="5131" max="5131" width="7.625" style="170" customWidth="1"/>
    <col min="5132" max="5132" width="6.625" style="170" customWidth="1"/>
    <col min="5133" max="5377" width="9" style="170"/>
    <col min="5378" max="5378" width="5.125" style="170" customWidth="1"/>
    <col min="5379" max="5379" width="47.5" style="170" customWidth="1"/>
    <col min="5380" max="5380" width="8.75" style="170" customWidth="1"/>
    <col min="5381" max="5381" width="7.625" style="170" customWidth="1"/>
    <col min="5382" max="5382" width="7.125" style="170" customWidth="1"/>
    <col min="5383" max="5383" width="7.625" style="170" customWidth="1"/>
    <col min="5384" max="5384" width="7.25" style="170" customWidth="1"/>
    <col min="5385" max="5385" width="6.75" style="170" customWidth="1"/>
    <col min="5386" max="5386" width="7.75" style="170" customWidth="1"/>
    <col min="5387" max="5387" width="7.625" style="170" customWidth="1"/>
    <col min="5388" max="5388" width="6.625" style="170" customWidth="1"/>
    <col min="5389" max="5633" width="9" style="170"/>
    <col min="5634" max="5634" width="5.125" style="170" customWidth="1"/>
    <col min="5635" max="5635" width="47.5" style="170" customWidth="1"/>
    <col min="5636" max="5636" width="8.75" style="170" customWidth="1"/>
    <col min="5637" max="5637" width="7.625" style="170" customWidth="1"/>
    <col min="5638" max="5638" width="7.125" style="170" customWidth="1"/>
    <col min="5639" max="5639" width="7.625" style="170" customWidth="1"/>
    <col min="5640" max="5640" width="7.25" style="170" customWidth="1"/>
    <col min="5641" max="5641" width="6.75" style="170" customWidth="1"/>
    <col min="5642" max="5642" width="7.75" style="170" customWidth="1"/>
    <col min="5643" max="5643" width="7.625" style="170" customWidth="1"/>
    <col min="5644" max="5644" width="6.625" style="170" customWidth="1"/>
    <col min="5645" max="5889" width="9" style="170"/>
    <col min="5890" max="5890" width="5.125" style="170" customWidth="1"/>
    <col min="5891" max="5891" width="47.5" style="170" customWidth="1"/>
    <col min="5892" max="5892" width="8.75" style="170" customWidth="1"/>
    <col min="5893" max="5893" width="7.625" style="170" customWidth="1"/>
    <col min="5894" max="5894" width="7.125" style="170" customWidth="1"/>
    <col min="5895" max="5895" width="7.625" style="170" customWidth="1"/>
    <col min="5896" max="5896" width="7.25" style="170" customWidth="1"/>
    <col min="5897" max="5897" width="6.75" style="170" customWidth="1"/>
    <col min="5898" max="5898" width="7.75" style="170" customWidth="1"/>
    <col min="5899" max="5899" width="7.625" style="170" customWidth="1"/>
    <col min="5900" max="5900" width="6.625" style="170" customWidth="1"/>
    <col min="5901" max="6145" width="9" style="170"/>
    <col min="6146" max="6146" width="5.125" style="170" customWidth="1"/>
    <col min="6147" max="6147" width="47.5" style="170" customWidth="1"/>
    <col min="6148" max="6148" width="8.75" style="170" customWidth="1"/>
    <col min="6149" max="6149" width="7.625" style="170" customWidth="1"/>
    <col min="6150" max="6150" width="7.125" style="170" customWidth="1"/>
    <col min="6151" max="6151" width="7.625" style="170" customWidth="1"/>
    <col min="6152" max="6152" width="7.25" style="170" customWidth="1"/>
    <col min="6153" max="6153" width="6.75" style="170" customWidth="1"/>
    <col min="6154" max="6154" width="7.75" style="170" customWidth="1"/>
    <col min="6155" max="6155" width="7.625" style="170" customWidth="1"/>
    <col min="6156" max="6156" width="6.625" style="170" customWidth="1"/>
    <col min="6157" max="6401" width="9" style="170"/>
    <col min="6402" max="6402" width="5.125" style="170" customWidth="1"/>
    <col min="6403" max="6403" width="47.5" style="170" customWidth="1"/>
    <col min="6404" max="6404" width="8.75" style="170" customWidth="1"/>
    <col min="6405" max="6405" width="7.625" style="170" customWidth="1"/>
    <col min="6406" max="6406" width="7.125" style="170" customWidth="1"/>
    <col min="6407" max="6407" width="7.625" style="170" customWidth="1"/>
    <col min="6408" max="6408" width="7.25" style="170" customWidth="1"/>
    <col min="6409" max="6409" width="6.75" style="170" customWidth="1"/>
    <col min="6410" max="6410" width="7.75" style="170" customWidth="1"/>
    <col min="6411" max="6411" width="7.625" style="170" customWidth="1"/>
    <col min="6412" max="6412" width="6.625" style="170" customWidth="1"/>
    <col min="6413" max="6657" width="9" style="170"/>
    <col min="6658" max="6658" width="5.125" style="170" customWidth="1"/>
    <col min="6659" max="6659" width="47.5" style="170" customWidth="1"/>
    <col min="6660" max="6660" width="8.75" style="170" customWidth="1"/>
    <col min="6661" max="6661" width="7.625" style="170" customWidth="1"/>
    <col min="6662" max="6662" width="7.125" style="170" customWidth="1"/>
    <col min="6663" max="6663" width="7.625" style="170" customWidth="1"/>
    <col min="6664" max="6664" width="7.25" style="170" customWidth="1"/>
    <col min="6665" max="6665" width="6.75" style="170" customWidth="1"/>
    <col min="6666" max="6666" width="7.75" style="170" customWidth="1"/>
    <col min="6667" max="6667" width="7.625" style="170" customWidth="1"/>
    <col min="6668" max="6668" width="6.625" style="170" customWidth="1"/>
    <col min="6669" max="6913" width="9" style="170"/>
    <col min="6914" max="6914" width="5.125" style="170" customWidth="1"/>
    <col min="6915" max="6915" width="47.5" style="170" customWidth="1"/>
    <col min="6916" max="6916" width="8.75" style="170" customWidth="1"/>
    <col min="6917" max="6917" width="7.625" style="170" customWidth="1"/>
    <col min="6918" max="6918" width="7.125" style="170" customWidth="1"/>
    <col min="6919" max="6919" width="7.625" style="170" customWidth="1"/>
    <col min="6920" max="6920" width="7.25" style="170" customWidth="1"/>
    <col min="6921" max="6921" width="6.75" style="170" customWidth="1"/>
    <col min="6922" max="6922" width="7.75" style="170" customWidth="1"/>
    <col min="6923" max="6923" width="7.625" style="170" customWidth="1"/>
    <col min="6924" max="6924" width="6.625" style="170" customWidth="1"/>
    <col min="6925" max="7169" width="9" style="170"/>
    <col min="7170" max="7170" width="5.125" style="170" customWidth="1"/>
    <col min="7171" max="7171" width="47.5" style="170" customWidth="1"/>
    <col min="7172" max="7172" width="8.75" style="170" customWidth="1"/>
    <col min="7173" max="7173" width="7.625" style="170" customWidth="1"/>
    <col min="7174" max="7174" width="7.125" style="170" customWidth="1"/>
    <col min="7175" max="7175" width="7.625" style="170" customWidth="1"/>
    <col min="7176" max="7176" width="7.25" style="170" customWidth="1"/>
    <col min="7177" max="7177" width="6.75" style="170" customWidth="1"/>
    <col min="7178" max="7178" width="7.75" style="170" customWidth="1"/>
    <col min="7179" max="7179" width="7.625" style="170" customWidth="1"/>
    <col min="7180" max="7180" width="6.625" style="170" customWidth="1"/>
    <col min="7181" max="7425" width="9" style="170"/>
    <col min="7426" max="7426" width="5.125" style="170" customWidth="1"/>
    <col min="7427" max="7427" width="47.5" style="170" customWidth="1"/>
    <col min="7428" max="7428" width="8.75" style="170" customWidth="1"/>
    <col min="7429" max="7429" width="7.625" style="170" customWidth="1"/>
    <col min="7430" max="7430" width="7.125" style="170" customWidth="1"/>
    <col min="7431" max="7431" width="7.625" style="170" customWidth="1"/>
    <col min="7432" max="7432" width="7.25" style="170" customWidth="1"/>
    <col min="7433" max="7433" width="6.75" style="170" customWidth="1"/>
    <col min="7434" max="7434" width="7.75" style="170" customWidth="1"/>
    <col min="7435" max="7435" width="7.625" style="170" customWidth="1"/>
    <col min="7436" max="7436" width="6.625" style="170" customWidth="1"/>
    <col min="7437" max="7681" width="9" style="170"/>
    <col min="7682" max="7682" width="5.125" style="170" customWidth="1"/>
    <col min="7683" max="7683" width="47.5" style="170" customWidth="1"/>
    <col min="7684" max="7684" width="8.75" style="170" customWidth="1"/>
    <col min="7685" max="7685" width="7.625" style="170" customWidth="1"/>
    <col min="7686" max="7686" width="7.125" style="170" customWidth="1"/>
    <col min="7687" max="7687" width="7.625" style="170" customWidth="1"/>
    <col min="7688" max="7688" width="7.25" style="170" customWidth="1"/>
    <col min="7689" max="7689" width="6.75" style="170" customWidth="1"/>
    <col min="7690" max="7690" width="7.75" style="170" customWidth="1"/>
    <col min="7691" max="7691" width="7.625" style="170" customWidth="1"/>
    <col min="7692" max="7692" width="6.625" style="170" customWidth="1"/>
    <col min="7693" max="7937" width="9" style="170"/>
    <col min="7938" max="7938" width="5.125" style="170" customWidth="1"/>
    <col min="7939" max="7939" width="47.5" style="170" customWidth="1"/>
    <col min="7940" max="7940" width="8.75" style="170" customWidth="1"/>
    <col min="7941" max="7941" width="7.625" style="170" customWidth="1"/>
    <col min="7942" max="7942" width="7.125" style="170" customWidth="1"/>
    <col min="7943" max="7943" width="7.625" style="170" customWidth="1"/>
    <col min="7944" max="7944" width="7.25" style="170" customWidth="1"/>
    <col min="7945" max="7945" width="6.75" style="170" customWidth="1"/>
    <col min="7946" max="7946" width="7.75" style="170" customWidth="1"/>
    <col min="7947" max="7947" width="7.625" style="170" customWidth="1"/>
    <col min="7948" max="7948" width="6.625" style="170" customWidth="1"/>
    <col min="7949" max="8193" width="9" style="170"/>
    <col min="8194" max="8194" width="5.125" style="170" customWidth="1"/>
    <col min="8195" max="8195" width="47.5" style="170" customWidth="1"/>
    <col min="8196" max="8196" width="8.75" style="170" customWidth="1"/>
    <col min="8197" max="8197" width="7.625" style="170" customWidth="1"/>
    <col min="8198" max="8198" width="7.125" style="170" customWidth="1"/>
    <col min="8199" max="8199" width="7.625" style="170" customWidth="1"/>
    <col min="8200" max="8200" width="7.25" style="170" customWidth="1"/>
    <col min="8201" max="8201" width="6.75" style="170" customWidth="1"/>
    <col min="8202" max="8202" width="7.75" style="170" customWidth="1"/>
    <col min="8203" max="8203" width="7.625" style="170" customWidth="1"/>
    <col min="8204" max="8204" width="6.625" style="170" customWidth="1"/>
    <col min="8205" max="8449" width="9" style="170"/>
    <col min="8450" max="8450" width="5.125" style="170" customWidth="1"/>
    <col min="8451" max="8451" width="47.5" style="170" customWidth="1"/>
    <col min="8452" max="8452" width="8.75" style="170" customWidth="1"/>
    <col min="8453" max="8453" width="7.625" style="170" customWidth="1"/>
    <col min="8454" max="8454" width="7.125" style="170" customWidth="1"/>
    <col min="8455" max="8455" width="7.625" style="170" customWidth="1"/>
    <col min="8456" max="8456" width="7.25" style="170" customWidth="1"/>
    <col min="8457" max="8457" width="6.75" style="170" customWidth="1"/>
    <col min="8458" max="8458" width="7.75" style="170" customWidth="1"/>
    <col min="8459" max="8459" width="7.625" style="170" customWidth="1"/>
    <col min="8460" max="8460" width="6.625" style="170" customWidth="1"/>
    <col min="8461" max="8705" width="9" style="170"/>
    <col min="8706" max="8706" width="5.125" style="170" customWidth="1"/>
    <col min="8707" max="8707" width="47.5" style="170" customWidth="1"/>
    <col min="8708" max="8708" width="8.75" style="170" customWidth="1"/>
    <col min="8709" max="8709" width="7.625" style="170" customWidth="1"/>
    <col min="8710" max="8710" width="7.125" style="170" customWidth="1"/>
    <col min="8711" max="8711" width="7.625" style="170" customWidth="1"/>
    <col min="8712" max="8712" width="7.25" style="170" customWidth="1"/>
    <col min="8713" max="8713" width="6.75" style="170" customWidth="1"/>
    <col min="8714" max="8714" width="7.75" style="170" customWidth="1"/>
    <col min="8715" max="8715" width="7.625" style="170" customWidth="1"/>
    <col min="8716" max="8716" width="6.625" style="170" customWidth="1"/>
    <col min="8717" max="8961" width="9" style="170"/>
    <col min="8962" max="8962" width="5.125" style="170" customWidth="1"/>
    <col min="8963" max="8963" width="47.5" style="170" customWidth="1"/>
    <col min="8964" max="8964" width="8.75" style="170" customWidth="1"/>
    <col min="8965" max="8965" width="7.625" style="170" customWidth="1"/>
    <col min="8966" max="8966" width="7.125" style="170" customWidth="1"/>
    <col min="8967" max="8967" width="7.625" style="170" customWidth="1"/>
    <col min="8968" max="8968" width="7.25" style="170" customWidth="1"/>
    <col min="8969" max="8969" width="6.75" style="170" customWidth="1"/>
    <col min="8970" max="8970" width="7.75" style="170" customWidth="1"/>
    <col min="8971" max="8971" width="7.625" style="170" customWidth="1"/>
    <col min="8972" max="8972" width="6.625" style="170" customWidth="1"/>
    <col min="8973" max="9217" width="9" style="170"/>
    <col min="9218" max="9218" width="5.125" style="170" customWidth="1"/>
    <col min="9219" max="9219" width="47.5" style="170" customWidth="1"/>
    <col min="9220" max="9220" width="8.75" style="170" customWidth="1"/>
    <col min="9221" max="9221" width="7.625" style="170" customWidth="1"/>
    <col min="9222" max="9222" width="7.125" style="170" customWidth="1"/>
    <col min="9223" max="9223" width="7.625" style="170" customWidth="1"/>
    <col min="9224" max="9224" width="7.25" style="170" customWidth="1"/>
    <col min="9225" max="9225" width="6.75" style="170" customWidth="1"/>
    <col min="9226" max="9226" width="7.75" style="170" customWidth="1"/>
    <col min="9227" max="9227" width="7.625" style="170" customWidth="1"/>
    <col min="9228" max="9228" width="6.625" style="170" customWidth="1"/>
    <col min="9229" max="9473" width="9" style="170"/>
    <col min="9474" max="9474" width="5.125" style="170" customWidth="1"/>
    <col min="9475" max="9475" width="47.5" style="170" customWidth="1"/>
    <col min="9476" max="9476" width="8.75" style="170" customWidth="1"/>
    <col min="9477" max="9477" width="7.625" style="170" customWidth="1"/>
    <col min="9478" max="9478" width="7.125" style="170" customWidth="1"/>
    <col min="9479" max="9479" width="7.625" style="170" customWidth="1"/>
    <col min="9480" max="9480" width="7.25" style="170" customWidth="1"/>
    <col min="9481" max="9481" width="6.75" style="170" customWidth="1"/>
    <col min="9482" max="9482" width="7.75" style="170" customWidth="1"/>
    <col min="9483" max="9483" width="7.625" style="170" customWidth="1"/>
    <col min="9484" max="9484" width="6.625" style="170" customWidth="1"/>
    <col min="9485" max="9729" width="9" style="170"/>
    <col min="9730" max="9730" width="5.125" style="170" customWidth="1"/>
    <col min="9731" max="9731" width="47.5" style="170" customWidth="1"/>
    <col min="9732" max="9732" width="8.75" style="170" customWidth="1"/>
    <col min="9733" max="9733" width="7.625" style="170" customWidth="1"/>
    <col min="9734" max="9734" width="7.125" style="170" customWidth="1"/>
    <col min="9735" max="9735" width="7.625" style="170" customWidth="1"/>
    <col min="9736" max="9736" width="7.25" style="170" customWidth="1"/>
    <col min="9737" max="9737" width="6.75" style="170" customWidth="1"/>
    <col min="9738" max="9738" width="7.75" style="170" customWidth="1"/>
    <col min="9739" max="9739" width="7.625" style="170" customWidth="1"/>
    <col min="9740" max="9740" width="6.625" style="170" customWidth="1"/>
    <col min="9741" max="9985" width="9" style="170"/>
    <col min="9986" max="9986" width="5.125" style="170" customWidth="1"/>
    <col min="9987" max="9987" width="47.5" style="170" customWidth="1"/>
    <col min="9988" max="9988" width="8.75" style="170" customWidth="1"/>
    <col min="9989" max="9989" width="7.625" style="170" customWidth="1"/>
    <col min="9990" max="9990" width="7.125" style="170" customWidth="1"/>
    <col min="9991" max="9991" width="7.625" style="170" customWidth="1"/>
    <col min="9992" max="9992" width="7.25" style="170" customWidth="1"/>
    <col min="9993" max="9993" width="6.75" style="170" customWidth="1"/>
    <col min="9994" max="9994" width="7.75" style="170" customWidth="1"/>
    <col min="9995" max="9995" width="7.625" style="170" customWidth="1"/>
    <col min="9996" max="9996" width="6.625" style="170" customWidth="1"/>
    <col min="9997" max="10241" width="9" style="170"/>
    <col min="10242" max="10242" width="5.125" style="170" customWidth="1"/>
    <col min="10243" max="10243" width="47.5" style="170" customWidth="1"/>
    <col min="10244" max="10244" width="8.75" style="170" customWidth="1"/>
    <col min="10245" max="10245" width="7.625" style="170" customWidth="1"/>
    <col min="10246" max="10246" width="7.125" style="170" customWidth="1"/>
    <col min="10247" max="10247" width="7.625" style="170" customWidth="1"/>
    <col min="10248" max="10248" width="7.25" style="170" customWidth="1"/>
    <col min="10249" max="10249" width="6.75" style="170" customWidth="1"/>
    <col min="10250" max="10250" width="7.75" style="170" customWidth="1"/>
    <col min="10251" max="10251" width="7.625" style="170" customWidth="1"/>
    <col min="10252" max="10252" width="6.625" style="170" customWidth="1"/>
    <col min="10253" max="10497" width="9" style="170"/>
    <col min="10498" max="10498" width="5.125" style="170" customWidth="1"/>
    <col min="10499" max="10499" width="47.5" style="170" customWidth="1"/>
    <col min="10500" max="10500" width="8.75" style="170" customWidth="1"/>
    <col min="10501" max="10501" width="7.625" style="170" customWidth="1"/>
    <col min="10502" max="10502" width="7.125" style="170" customWidth="1"/>
    <col min="10503" max="10503" width="7.625" style="170" customWidth="1"/>
    <col min="10504" max="10504" width="7.25" style="170" customWidth="1"/>
    <col min="10505" max="10505" width="6.75" style="170" customWidth="1"/>
    <col min="10506" max="10506" width="7.75" style="170" customWidth="1"/>
    <col min="10507" max="10507" width="7.625" style="170" customWidth="1"/>
    <col min="10508" max="10508" width="6.625" style="170" customWidth="1"/>
    <col min="10509" max="10753" width="9" style="170"/>
    <col min="10754" max="10754" width="5.125" style="170" customWidth="1"/>
    <col min="10755" max="10755" width="47.5" style="170" customWidth="1"/>
    <col min="10756" max="10756" width="8.75" style="170" customWidth="1"/>
    <col min="10757" max="10757" width="7.625" style="170" customWidth="1"/>
    <col min="10758" max="10758" width="7.125" style="170" customWidth="1"/>
    <col min="10759" max="10759" width="7.625" style="170" customWidth="1"/>
    <col min="10760" max="10760" width="7.25" style="170" customWidth="1"/>
    <col min="10761" max="10761" width="6.75" style="170" customWidth="1"/>
    <col min="10762" max="10762" width="7.75" style="170" customWidth="1"/>
    <col min="10763" max="10763" width="7.625" style="170" customWidth="1"/>
    <col min="10764" max="10764" width="6.625" style="170" customWidth="1"/>
    <col min="10765" max="11009" width="9" style="170"/>
    <col min="11010" max="11010" width="5.125" style="170" customWidth="1"/>
    <col min="11011" max="11011" width="47.5" style="170" customWidth="1"/>
    <col min="11012" max="11012" width="8.75" style="170" customWidth="1"/>
    <col min="11013" max="11013" width="7.625" style="170" customWidth="1"/>
    <col min="11014" max="11014" width="7.125" style="170" customWidth="1"/>
    <col min="11015" max="11015" width="7.625" style="170" customWidth="1"/>
    <col min="11016" max="11016" width="7.25" style="170" customWidth="1"/>
    <col min="11017" max="11017" width="6.75" style="170" customWidth="1"/>
    <col min="11018" max="11018" width="7.75" style="170" customWidth="1"/>
    <col min="11019" max="11019" width="7.625" style="170" customWidth="1"/>
    <col min="11020" max="11020" width="6.625" style="170" customWidth="1"/>
    <col min="11021" max="11265" width="9" style="170"/>
    <col min="11266" max="11266" width="5.125" style="170" customWidth="1"/>
    <col min="11267" max="11267" width="47.5" style="170" customWidth="1"/>
    <col min="11268" max="11268" width="8.75" style="170" customWidth="1"/>
    <col min="11269" max="11269" width="7.625" style="170" customWidth="1"/>
    <col min="11270" max="11270" width="7.125" style="170" customWidth="1"/>
    <col min="11271" max="11271" width="7.625" style="170" customWidth="1"/>
    <col min="11272" max="11272" width="7.25" style="170" customWidth="1"/>
    <col min="11273" max="11273" width="6.75" style="170" customWidth="1"/>
    <col min="11274" max="11274" width="7.75" style="170" customWidth="1"/>
    <col min="11275" max="11275" width="7.625" style="170" customWidth="1"/>
    <col min="11276" max="11276" width="6.625" style="170" customWidth="1"/>
    <col min="11277" max="11521" width="9" style="170"/>
    <col min="11522" max="11522" width="5.125" style="170" customWidth="1"/>
    <col min="11523" max="11523" width="47.5" style="170" customWidth="1"/>
    <col min="11524" max="11524" width="8.75" style="170" customWidth="1"/>
    <col min="11525" max="11525" width="7.625" style="170" customWidth="1"/>
    <col min="11526" max="11526" width="7.125" style="170" customWidth="1"/>
    <col min="11527" max="11527" width="7.625" style="170" customWidth="1"/>
    <col min="11528" max="11528" width="7.25" style="170" customWidth="1"/>
    <col min="11529" max="11529" width="6.75" style="170" customWidth="1"/>
    <col min="11530" max="11530" width="7.75" style="170" customWidth="1"/>
    <col min="11531" max="11531" width="7.625" style="170" customWidth="1"/>
    <col min="11532" max="11532" width="6.625" style="170" customWidth="1"/>
    <col min="11533" max="11777" width="9" style="170"/>
    <col min="11778" max="11778" width="5.125" style="170" customWidth="1"/>
    <col min="11779" max="11779" width="47.5" style="170" customWidth="1"/>
    <col min="11780" max="11780" width="8.75" style="170" customWidth="1"/>
    <col min="11781" max="11781" width="7.625" style="170" customWidth="1"/>
    <col min="11782" max="11782" width="7.125" style="170" customWidth="1"/>
    <col min="11783" max="11783" width="7.625" style="170" customWidth="1"/>
    <col min="11784" max="11784" width="7.25" style="170" customWidth="1"/>
    <col min="11785" max="11785" width="6.75" style="170" customWidth="1"/>
    <col min="11786" max="11786" width="7.75" style="170" customWidth="1"/>
    <col min="11787" max="11787" width="7.625" style="170" customWidth="1"/>
    <col min="11788" max="11788" width="6.625" style="170" customWidth="1"/>
    <col min="11789" max="12033" width="9" style="170"/>
    <col min="12034" max="12034" width="5.125" style="170" customWidth="1"/>
    <col min="12035" max="12035" width="47.5" style="170" customWidth="1"/>
    <col min="12036" max="12036" width="8.75" style="170" customWidth="1"/>
    <col min="12037" max="12037" width="7.625" style="170" customWidth="1"/>
    <col min="12038" max="12038" width="7.125" style="170" customWidth="1"/>
    <col min="12039" max="12039" width="7.625" style="170" customWidth="1"/>
    <col min="12040" max="12040" width="7.25" style="170" customWidth="1"/>
    <col min="12041" max="12041" width="6.75" style="170" customWidth="1"/>
    <col min="12042" max="12042" width="7.75" style="170" customWidth="1"/>
    <col min="12043" max="12043" width="7.625" style="170" customWidth="1"/>
    <col min="12044" max="12044" width="6.625" style="170" customWidth="1"/>
    <col min="12045" max="12289" width="9" style="170"/>
    <col min="12290" max="12290" width="5.125" style="170" customWidth="1"/>
    <col min="12291" max="12291" width="47.5" style="170" customWidth="1"/>
    <col min="12292" max="12292" width="8.75" style="170" customWidth="1"/>
    <col min="12293" max="12293" width="7.625" style="170" customWidth="1"/>
    <col min="12294" max="12294" width="7.125" style="170" customWidth="1"/>
    <col min="12295" max="12295" width="7.625" style="170" customWidth="1"/>
    <col min="12296" max="12296" width="7.25" style="170" customWidth="1"/>
    <col min="12297" max="12297" width="6.75" style="170" customWidth="1"/>
    <col min="12298" max="12298" width="7.75" style="170" customWidth="1"/>
    <col min="12299" max="12299" width="7.625" style="170" customWidth="1"/>
    <col min="12300" max="12300" width="6.625" style="170" customWidth="1"/>
    <col min="12301" max="12545" width="9" style="170"/>
    <col min="12546" max="12546" width="5.125" style="170" customWidth="1"/>
    <col min="12547" max="12547" width="47.5" style="170" customWidth="1"/>
    <col min="12548" max="12548" width="8.75" style="170" customWidth="1"/>
    <col min="12549" max="12549" width="7.625" style="170" customWidth="1"/>
    <col min="12550" max="12550" width="7.125" style="170" customWidth="1"/>
    <col min="12551" max="12551" width="7.625" style="170" customWidth="1"/>
    <col min="12552" max="12552" width="7.25" style="170" customWidth="1"/>
    <col min="12553" max="12553" width="6.75" style="170" customWidth="1"/>
    <col min="12554" max="12554" width="7.75" style="170" customWidth="1"/>
    <col min="12555" max="12555" width="7.625" style="170" customWidth="1"/>
    <col min="12556" max="12556" width="6.625" style="170" customWidth="1"/>
    <col min="12557" max="12801" width="9" style="170"/>
    <col min="12802" max="12802" width="5.125" style="170" customWidth="1"/>
    <col min="12803" max="12803" width="47.5" style="170" customWidth="1"/>
    <col min="12804" max="12804" width="8.75" style="170" customWidth="1"/>
    <col min="12805" max="12805" width="7.625" style="170" customWidth="1"/>
    <col min="12806" max="12806" width="7.125" style="170" customWidth="1"/>
    <col min="12807" max="12807" width="7.625" style="170" customWidth="1"/>
    <col min="12808" max="12808" width="7.25" style="170" customWidth="1"/>
    <col min="12809" max="12809" width="6.75" style="170" customWidth="1"/>
    <col min="12810" max="12810" width="7.75" style="170" customWidth="1"/>
    <col min="12811" max="12811" width="7.625" style="170" customWidth="1"/>
    <col min="12812" max="12812" width="6.625" style="170" customWidth="1"/>
    <col min="12813" max="13057" width="9" style="170"/>
    <col min="13058" max="13058" width="5.125" style="170" customWidth="1"/>
    <col min="13059" max="13059" width="47.5" style="170" customWidth="1"/>
    <col min="13060" max="13060" width="8.75" style="170" customWidth="1"/>
    <col min="13061" max="13061" width="7.625" style="170" customWidth="1"/>
    <col min="13062" max="13062" width="7.125" style="170" customWidth="1"/>
    <col min="13063" max="13063" width="7.625" style="170" customWidth="1"/>
    <col min="13064" max="13064" width="7.25" style="170" customWidth="1"/>
    <col min="13065" max="13065" width="6.75" style="170" customWidth="1"/>
    <col min="13066" max="13066" width="7.75" style="170" customWidth="1"/>
    <col min="13067" max="13067" width="7.625" style="170" customWidth="1"/>
    <col min="13068" max="13068" width="6.625" style="170" customWidth="1"/>
    <col min="13069" max="13313" width="9" style="170"/>
    <col min="13314" max="13314" width="5.125" style="170" customWidth="1"/>
    <col min="13315" max="13315" width="47.5" style="170" customWidth="1"/>
    <col min="13316" max="13316" width="8.75" style="170" customWidth="1"/>
    <col min="13317" max="13317" width="7.625" style="170" customWidth="1"/>
    <col min="13318" max="13318" width="7.125" style="170" customWidth="1"/>
    <col min="13319" max="13319" width="7.625" style="170" customWidth="1"/>
    <col min="13320" max="13320" width="7.25" style="170" customWidth="1"/>
    <col min="13321" max="13321" width="6.75" style="170" customWidth="1"/>
    <col min="13322" max="13322" width="7.75" style="170" customWidth="1"/>
    <col min="13323" max="13323" width="7.625" style="170" customWidth="1"/>
    <col min="13324" max="13324" width="6.625" style="170" customWidth="1"/>
    <col min="13325" max="13569" width="9" style="170"/>
    <col min="13570" max="13570" width="5.125" style="170" customWidth="1"/>
    <col min="13571" max="13571" width="47.5" style="170" customWidth="1"/>
    <col min="13572" max="13572" width="8.75" style="170" customWidth="1"/>
    <col min="13573" max="13573" width="7.625" style="170" customWidth="1"/>
    <col min="13574" max="13574" width="7.125" style="170" customWidth="1"/>
    <col min="13575" max="13575" width="7.625" style="170" customWidth="1"/>
    <col min="13576" max="13576" width="7.25" style="170" customWidth="1"/>
    <col min="13577" max="13577" width="6.75" style="170" customWidth="1"/>
    <col min="13578" max="13578" width="7.75" style="170" customWidth="1"/>
    <col min="13579" max="13579" width="7.625" style="170" customWidth="1"/>
    <col min="13580" max="13580" width="6.625" style="170" customWidth="1"/>
    <col min="13581" max="13825" width="9" style="170"/>
    <col min="13826" max="13826" width="5.125" style="170" customWidth="1"/>
    <col min="13827" max="13827" width="47.5" style="170" customWidth="1"/>
    <col min="13828" max="13828" width="8.75" style="170" customWidth="1"/>
    <col min="13829" max="13829" width="7.625" style="170" customWidth="1"/>
    <col min="13830" max="13830" width="7.125" style="170" customWidth="1"/>
    <col min="13831" max="13831" width="7.625" style="170" customWidth="1"/>
    <col min="13832" max="13832" width="7.25" style="170" customWidth="1"/>
    <col min="13833" max="13833" width="6.75" style="170" customWidth="1"/>
    <col min="13834" max="13834" width="7.75" style="170" customWidth="1"/>
    <col min="13835" max="13835" width="7.625" style="170" customWidth="1"/>
    <col min="13836" max="13836" width="6.625" style="170" customWidth="1"/>
    <col min="13837" max="14081" width="9" style="170"/>
    <col min="14082" max="14082" width="5.125" style="170" customWidth="1"/>
    <col min="14083" max="14083" width="47.5" style="170" customWidth="1"/>
    <col min="14084" max="14084" width="8.75" style="170" customWidth="1"/>
    <col min="14085" max="14085" width="7.625" style="170" customWidth="1"/>
    <col min="14086" max="14086" width="7.125" style="170" customWidth="1"/>
    <col min="14087" max="14087" width="7.625" style="170" customWidth="1"/>
    <col min="14088" max="14088" width="7.25" style="170" customWidth="1"/>
    <col min="14089" max="14089" width="6.75" style="170" customWidth="1"/>
    <col min="14090" max="14090" width="7.75" style="170" customWidth="1"/>
    <col min="14091" max="14091" width="7.625" style="170" customWidth="1"/>
    <col min="14092" max="14092" width="6.625" style="170" customWidth="1"/>
    <col min="14093" max="14337" width="9" style="170"/>
    <col min="14338" max="14338" width="5.125" style="170" customWidth="1"/>
    <col min="14339" max="14339" width="47.5" style="170" customWidth="1"/>
    <col min="14340" max="14340" width="8.75" style="170" customWidth="1"/>
    <col min="14341" max="14341" width="7.625" style="170" customWidth="1"/>
    <col min="14342" max="14342" width="7.125" style="170" customWidth="1"/>
    <col min="14343" max="14343" width="7.625" style="170" customWidth="1"/>
    <col min="14344" max="14344" width="7.25" style="170" customWidth="1"/>
    <col min="14345" max="14345" width="6.75" style="170" customWidth="1"/>
    <col min="14346" max="14346" width="7.75" style="170" customWidth="1"/>
    <col min="14347" max="14347" width="7.625" style="170" customWidth="1"/>
    <col min="14348" max="14348" width="6.625" style="170" customWidth="1"/>
    <col min="14349" max="14593" width="9" style="170"/>
    <col min="14594" max="14594" width="5.125" style="170" customWidth="1"/>
    <col min="14595" max="14595" width="47.5" style="170" customWidth="1"/>
    <col min="14596" max="14596" width="8.75" style="170" customWidth="1"/>
    <col min="14597" max="14597" width="7.625" style="170" customWidth="1"/>
    <col min="14598" max="14598" width="7.125" style="170" customWidth="1"/>
    <col min="14599" max="14599" width="7.625" style="170" customWidth="1"/>
    <col min="14600" max="14600" width="7.25" style="170" customWidth="1"/>
    <col min="14601" max="14601" width="6.75" style="170" customWidth="1"/>
    <col min="14602" max="14602" width="7.75" style="170" customWidth="1"/>
    <col min="14603" max="14603" width="7.625" style="170" customWidth="1"/>
    <col min="14604" max="14604" width="6.625" style="170" customWidth="1"/>
    <col min="14605" max="14849" width="9" style="170"/>
    <col min="14850" max="14850" width="5.125" style="170" customWidth="1"/>
    <col min="14851" max="14851" width="47.5" style="170" customWidth="1"/>
    <col min="14852" max="14852" width="8.75" style="170" customWidth="1"/>
    <col min="14853" max="14853" width="7.625" style="170" customWidth="1"/>
    <col min="14854" max="14854" width="7.125" style="170" customWidth="1"/>
    <col min="14855" max="14855" width="7.625" style="170" customWidth="1"/>
    <col min="14856" max="14856" width="7.25" style="170" customWidth="1"/>
    <col min="14857" max="14857" width="6.75" style="170" customWidth="1"/>
    <col min="14858" max="14858" width="7.75" style="170" customWidth="1"/>
    <col min="14859" max="14859" width="7.625" style="170" customWidth="1"/>
    <col min="14860" max="14860" width="6.625" style="170" customWidth="1"/>
    <col min="14861" max="15105" width="9" style="170"/>
    <col min="15106" max="15106" width="5.125" style="170" customWidth="1"/>
    <col min="15107" max="15107" width="47.5" style="170" customWidth="1"/>
    <col min="15108" max="15108" width="8.75" style="170" customWidth="1"/>
    <col min="15109" max="15109" width="7.625" style="170" customWidth="1"/>
    <col min="15110" max="15110" width="7.125" style="170" customWidth="1"/>
    <col min="15111" max="15111" width="7.625" style="170" customWidth="1"/>
    <col min="15112" max="15112" width="7.25" style="170" customWidth="1"/>
    <col min="15113" max="15113" width="6.75" style="170" customWidth="1"/>
    <col min="15114" max="15114" width="7.75" style="170" customWidth="1"/>
    <col min="15115" max="15115" width="7.625" style="170" customWidth="1"/>
    <col min="15116" max="15116" width="6.625" style="170" customWidth="1"/>
    <col min="15117" max="15361" width="9" style="170"/>
    <col min="15362" max="15362" width="5.125" style="170" customWidth="1"/>
    <col min="15363" max="15363" width="47.5" style="170" customWidth="1"/>
    <col min="15364" max="15364" width="8.75" style="170" customWidth="1"/>
    <col min="15365" max="15365" width="7.625" style="170" customWidth="1"/>
    <col min="15366" max="15366" width="7.125" style="170" customWidth="1"/>
    <col min="15367" max="15367" width="7.625" style="170" customWidth="1"/>
    <col min="15368" max="15368" width="7.25" style="170" customWidth="1"/>
    <col min="15369" max="15369" width="6.75" style="170" customWidth="1"/>
    <col min="15370" max="15370" width="7.75" style="170" customWidth="1"/>
    <col min="15371" max="15371" width="7.625" style="170" customWidth="1"/>
    <col min="15372" max="15372" width="6.625" style="170" customWidth="1"/>
    <col min="15373" max="15617" width="9" style="170"/>
    <col min="15618" max="15618" width="5.125" style="170" customWidth="1"/>
    <col min="15619" max="15619" width="47.5" style="170" customWidth="1"/>
    <col min="15620" max="15620" width="8.75" style="170" customWidth="1"/>
    <col min="15621" max="15621" width="7.625" style="170" customWidth="1"/>
    <col min="15622" max="15622" width="7.125" style="170" customWidth="1"/>
    <col min="15623" max="15623" width="7.625" style="170" customWidth="1"/>
    <col min="15624" max="15624" width="7.25" style="170" customWidth="1"/>
    <col min="15625" max="15625" width="6.75" style="170" customWidth="1"/>
    <col min="15626" max="15626" width="7.75" style="170" customWidth="1"/>
    <col min="15627" max="15627" width="7.625" style="170" customWidth="1"/>
    <col min="15628" max="15628" width="6.625" style="170" customWidth="1"/>
    <col min="15629" max="15873" width="9" style="170"/>
    <col min="15874" max="15874" width="5.125" style="170" customWidth="1"/>
    <col min="15875" max="15875" width="47.5" style="170" customWidth="1"/>
    <col min="15876" max="15876" width="8.75" style="170" customWidth="1"/>
    <col min="15877" max="15877" width="7.625" style="170" customWidth="1"/>
    <col min="15878" max="15878" width="7.125" style="170" customWidth="1"/>
    <col min="15879" max="15879" width="7.625" style="170" customWidth="1"/>
    <col min="15880" max="15880" width="7.25" style="170" customWidth="1"/>
    <col min="15881" max="15881" width="6.75" style="170" customWidth="1"/>
    <col min="15882" max="15882" width="7.75" style="170" customWidth="1"/>
    <col min="15883" max="15883" width="7.625" style="170" customWidth="1"/>
    <col min="15884" max="15884" width="6.625" style="170" customWidth="1"/>
    <col min="15885" max="16129" width="9" style="170"/>
    <col min="16130" max="16130" width="5.125" style="170" customWidth="1"/>
    <col min="16131" max="16131" width="47.5" style="170" customWidth="1"/>
    <col min="16132" max="16132" width="8.75" style="170" customWidth="1"/>
    <col min="16133" max="16133" width="7.625" style="170" customWidth="1"/>
    <col min="16134" max="16134" width="7.125" style="170" customWidth="1"/>
    <col min="16135" max="16135" width="7.625" style="170" customWidth="1"/>
    <col min="16136" max="16136" width="7.25" style="170" customWidth="1"/>
    <col min="16137" max="16137" width="6.75" style="170" customWidth="1"/>
    <col min="16138" max="16138" width="7.75" style="170" customWidth="1"/>
    <col min="16139" max="16139" width="7.625" style="170" customWidth="1"/>
    <col min="16140" max="16140" width="6.625" style="170" customWidth="1"/>
    <col min="16141" max="16384" width="9" style="170"/>
  </cols>
  <sheetData>
    <row r="1" spans="1:12" ht="42" customHeight="1" x14ac:dyDescent="0.25">
      <c r="A1" s="2155" t="s">
        <v>1452</v>
      </c>
      <c r="B1" s="2155"/>
      <c r="C1" s="2155"/>
      <c r="D1" s="2155"/>
      <c r="E1" s="2155"/>
      <c r="F1" s="2155"/>
      <c r="G1" s="2155"/>
      <c r="H1" s="2155"/>
      <c r="I1" s="2155"/>
      <c r="J1" s="2155"/>
      <c r="K1" s="2155"/>
      <c r="L1" s="2155"/>
    </row>
    <row r="2" spans="1:12" ht="15.75" x14ac:dyDescent="0.25">
      <c r="A2" s="2156" t="e">
        <f>'Biểu 09DT'!A3:K3</f>
        <v>#REF!</v>
      </c>
      <c r="B2" s="2156"/>
      <c r="C2" s="2156"/>
      <c r="D2" s="2156"/>
      <c r="E2" s="2156"/>
      <c r="F2" s="2156"/>
      <c r="G2" s="2156"/>
      <c r="H2" s="2156"/>
      <c r="I2" s="2156"/>
      <c r="J2" s="2156"/>
      <c r="K2" s="2156"/>
      <c r="L2" s="2156"/>
    </row>
    <row r="3" spans="1:12" x14ac:dyDescent="0.25">
      <c r="A3" s="171"/>
      <c r="B3" s="172"/>
      <c r="C3" s="172"/>
      <c r="D3" s="172"/>
      <c r="E3" s="2157"/>
      <c r="F3" s="2157"/>
      <c r="G3" s="2157"/>
      <c r="H3" s="2157"/>
      <c r="I3" s="2157"/>
      <c r="J3" s="173" t="s">
        <v>861</v>
      </c>
      <c r="K3" s="174"/>
    </row>
    <row r="4" spans="1:12" ht="45" customHeight="1" x14ac:dyDescent="0.25">
      <c r="A4" s="175" t="s">
        <v>0</v>
      </c>
      <c r="B4" s="175" t="s">
        <v>1</v>
      </c>
      <c r="C4" s="175" t="s">
        <v>61</v>
      </c>
      <c r="D4" s="175" t="s">
        <v>512</v>
      </c>
      <c r="E4" s="175" t="s">
        <v>148</v>
      </c>
      <c r="F4" s="175" t="s">
        <v>149</v>
      </c>
      <c r="G4" s="175" t="s">
        <v>385</v>
      </c>
      <c r="H4" s="175" t="s">
        <v>151</v>
      </c>
      <c r="I4" s="175" t="s">
        <v>152</v>
      </c>
      <c r="J4" s="175" t="s">
        <v>153</v>
      </c>
      <c r="K4" s="175" t="s">
        <v>154</v>
      </c>
      <c r="L4" s="175" t="s">
        <v>155</v>
      </c>
    </row>
    <row r="5" spans="1:12" ht="17.25" customHeight="1" x14ac:dyDescent="0.25">
      <c r="A5" s="176">
        <v>1</v>
      </c>
      <c r="B5" s="177" t="s">
        <v>1268</v>
      </c>
      <c r="C5" s="178"/>
      <c r="D5" s="178"/>
      <c r="E5" s="178"/>
      <c r="F5" s="178"/>
      <c r="G5" s="178"/>
      <c r="H5" s="178"/>
      <c r="I5" s="178"/>
      <c r="J5" s="178"/>
      <c r="K5" s="178"/>
      <c r="L5" s="178"/>
    </row>
    <row r="6" spans="1:12" s="182" customFormat="1" ht="18.75" customHeight="1" x14ac:dyDescent="0.25">
      <c r="A6" s="179" t="s">
        <v>23</v>
      </c>
      <c r="B6" s="180" t="s">
        <v>1224</v>
      </c>
      <c r="C6" s="181">
        <f>SUM(D6:L6)</f>
        <v>700000</v>
      </c>
      <c r="D6" s="181">
        <f>'Biểu số 48'!W8+3000</f>
        <v>357600</v>
      </c>
      <c r="E6" s="181">
        <f>'Biểu số 48'!G8</f>
        <v>114000</v>
      </c>
      <c r="F6" s="181">
        <f>'Biểu số 48'!I8</f>
        <v>13330</v>
      </c>
      <c r="G6" s="181">
        <f>'Biểu số 48'!K8</f>
        <v>14600</v>
      </c>
      <c r="H6" s="181">
        <f>'Biểu số 48'!M8</f>
        <v>124600</v>
      </c>
      <c r="I6" s="181">
        <f>'Biểu số 48'!O8</f>
        <v>18350</v>
      </c>
      <c r="J6" s="181">
        <f>'Biểu số 48'!Q8</f>
        <v>15220</v>
      </c>
      <c r="K6" s="181">
        <f>'Biểu số 48'!S8</f>
        <v>32500</v>
      </c>
      <c r="L6" s="181">
        <f>'Biểu số 48'!U8</f>
        <v>9800</v>
      </c>
    </row>
    <row r="7" spans="1:12" s="182" customFormat="1" x14ac:dyDescent="0.25">
      <c r="A7" s="179" t="s">
        <v>23</v>
      </c>
      <c r="B7" s="180" t="s">
        <v>1453</v>
      </c>
      <c r="C7" s="181">
        <f>SUM(D7:L7)</f>
        <v>606528</v>
      </c>
      <c r="D7" s="181">
        <f>'Biểu số 48'!X8</f>
        <v>279923</v>
      </c>
      <c r="E7" s="181">
        <f>'Biểu số 48'!H8</f>
        <v>108080</v>
      </c>
      <c r="F7" s="181">
        <f>'Biểu số 48'!J8</f>
        <v>12070</v>
      </c>
      <c r="G7" s="181">
        <f>'Biểu số 48'!L8</f>
        <v>13375</v>
      </c>
      <c r="H7" s="181">
        <f>'Biểu số 48'!N8</f>
        <v>123140</v>
      </c>
      <c r="I7" s="181">
        <f>'Biểu số 48'!P8</f>
        <v>17300</v>
      </c>
      <c r="J7" s="181">
        <f>'Biểu số 48'!R8</f>
        <v>13660</v>
      </c>
      <c r="K7" s="181">
        <f>'Biểu số 48'!T8</f>
        <v>30180</v>
      </c>
      <c r="L7" s="181">
        <f>'Biểu số 48'!V8</f>
        <v>8800</v>
      </c>
    </row>
    <row r="8" spans="1:12" s="182" customFormat="1" ht="32.25" customHeight="1" x14ac:dyDescent="0.25">
      <c r="A8" s="179"/>
      <c r="B8" s="183" t="s">
        <v>1226</v>
      </c>
      <c r="C8" s="736">
        <f t="shared" ref="C8:C9" si="0">SUM(D8:L8)</f>
        <v>93000</v>
      </c>
      <c r="D8" s="736">
        <f>'Biểu số 48'!X32+15000</f>
        <v>22800</v>
      </c>
      <c r="E8" s="736">
        <f>'Biểu số 48'!H32</f>
        <v>47250</v>
      </c>
      <c r="F8" s="736">
        <f>'Biểu số 48'!J32</f>
        <v>1530</v>
      </c>
      <c r="G8" s="736">
        <f>'Biểu số 48'!L32</f>
        <v>2070</v>
      </c>
      <c r="H8" s="736">
        <f>'Biểu số 48'!N32</f>
        <v>4500</v>
      </c>
      <c r="I8" s="736">
        <f>'Biểu số 48'!P32</f>
        <v>2700</v>
      </c>
      <c r="J8" s="736">
        <f>'Biểu số 48'!R32</f>
        <v>450</v>
      </c>
      <c r="K8" s="736">
        <f>'Biểu số 48'!T32</f>
        <v>9000</v>
      </c>
      <c r="L8" s="736">
        <f>'Biểu số 48'!V32</f>
        <v>2700</v>
      </c>
    </row>
    <row r="9" spans="1:12" s="182" customFormat="1" ht="30" x14ac:dyDescent="0.25">
      <c r="A9" s="179" t="s">
        <v>23</v>
      </c>
      <c r="B9" s="180" t="s">
        <v>863</v>
      </c>
      <c r="C9" s="181">
        <f t="shared" si="0"/>
        <v>513528</v>
      </c>
      <c r="D9" s="181">
        <f>D7-D8</f>
        <v>257123</v>
      </c>
      <c r="E9" s="181">
        <f>E7-E8</f>
        <v>60830</v>
      </c>
      <c r="F9" s="181">
        <f>F7-F8</f>
        <v>10540</v>
      </c>
      <c r="G9" s="181">
        <f>G7-G8</f>
        <v>11305</v>
      </c>
      <c r="H9" s="181">
        <f>H7-H8</f>
        <v>118640</v>
      </c>
      <c r="I9" s="181">
        <f t="shared" ref="I9:K9" si="1">I7-I8</f>
        <v>14600</v>
      </c>
      <c r="J9" s="181">
        <f>J7-J8</f>
        <v>13210</v>
      </c>
      <c r="K9" s="181">
        <f t="shared" si="1"/>
        <v>21180</v>
      </c>
      <c r="L9" s="181">
        <f>L7-L8</f>
        <v>6100</v>
      </c>
    </row>
    <row r="10" spans="1:12" s="182" customFormat="1" ht="18.75" customHeight="1" x14ac:dyDescent="0.25">
      <c r="A10" s="179">
        <v>2</v>
      </c>
      <c r="B10" s="180" t="s">
        <v>30</v>
      </c>
      <c r="C10" s="184"/>
      <c r="D10" s="184"/>
      <c r="E10" s="184"/>
      <c r="F10" s="184"/>
      <c r="G10" s="184"/>
      <c r="H10" s="184"/>
      <c r="I10" s="184"/>
      <c r="J10" s="184"/>
      <c r="K10" s="184"/>
      <c r="L10" s="184"/>
    </row>
    <row r="11" spans="1:12" x14ac:dyDescent="0.25">
      <c r="A11" s="284" t="s">
        <v>23</v>
      </c>
      <c r="B11" s="285" t="s">
        <v>862</v>
      </c>
      <c r="C11" s="286">
        <f>SUM(D11:L11)</f>
        <v>600000</v>
      </c>
      <c r="D11" s="286">
        <v>291100</v>
      </c>
      <c r="E11" s="287">
        <v>111500</v>
      </c>
      <c r="F11" s="287">
        <v>15800</v>
      </c>
      <c r="G11" s="287">
        <v>18450</v>
      </c>
      <c r="H11" s="287">
        <v>98150</v>
      </c>
      <c r="I11" s="287">
        <v>18300</v>
      </c>
      <c r="J11" s="287">
        <v>12380</v>
      </c>
      <c r="K11" s="287">
        <v>26500</v>
      </c>
      <c r="L11" s="287">
        <v>7820</v>
      </c>
    </row>
    <row r="12" spans="1:12" ht="20.25" customHeight="1" x14ac:dyDescent="0.25">
      <c r="A12" s="284" t="s">
        <v>23</v>
      </c>
      <c r="B12" s="285" t="str">
        <f>B7</f>
        <v>Phần thu ngân sách địa phương được hưởng</v>
      </c>
      <c r="C12" s="286">
        <f>SUM(D12:L12)</f>
        <v>535330</v>
      </c>
      <c r="D12" s="286">
        <v>236943</v>
      </c>
      <c r="E12" s="287">
        <v>107311</v>
      </c>
      <c r="F12" s="287">
        <v>14915</v>
      </c>
      <c r="G12" s="287">
        <v>16648</v>
      </c>
      <c r="H12" s="287">
        <v>97092</v>
      </c>
      <c r="I12" s="287">
        <v>17518</v>
      </c>
      <c r="J12" s="287">
        <v>11911</v>
      </c>
      <c r="K12" s="287">
        <v>25532</v>
      </c>
      <c r="L12" s="287">
        <v>7460</v>
      </c>
    </row>
    <row r="13" spans="1:12" s="182" customFormat="1" ht="34.5" customHeight="1" x14ac:dyDescent="0.25">
      <c r="A13" s="179"/>
      <c r="B13" s="183" t="s">
        <v>1226</v>
      </c>
      <c r="C13" s="736">
        <f>SUM(D13:L13)</f>
        <v>69000</v>
      </c>
      <c r="D13" s="736">
        <v>19500</v>
      </c>
      <c r="E13" s="737">
        <v>32400</v>
      </c>
      <c r="F13" s="737">
        <v>900</v>
      </c>
      <c r="G13" s="737">
        <v>1890</v>
      </c>
      <c r="H13" s="737">
        <v>4500</v>
      </c>
      <c r="I13" s="737">
        <v>3780</v>
      </c>
      <c r="J13" s="737">
        <v>900</v>
      </c>
      <c r="K13" s="737">
        <v>3780</v>
      </c>
      <c r="L13" s="737">
        <v>1350</v>
      </c>
    </row>
    <row r="14" spans="1:12" s="182" customFormat="1" ht="42" customHeight="1" x14ac:dyDescent="0.25">
      <c r="A14" s="179" t="s">
        <v>23</v>
      </c>
      <c r="B14" s="180" t="str">
        <f>B9</f>
        <v>Phần thu ngân sách huyện, thành phố làm cơ sở tính nguồn thực hiện cải cách tiền lương</v>
      </c>
      <c r="C14" s="286">
        <f>SUM(D14:L14)</f>
        <v>466330</v>
      </c>
      <c r="D14" s="181">
        <f>D12-D13</f>
        <v>217443</v>
      </c>
      <c r="E14" s="181">
        <f t="shared" ref="E14:L14" si="2">E12-E13</f>
        <v>74911</v>
      </c>
      <c r="F14" s="181">
        <f t="shared" si="2"/>
        <v>14015</v>
      </c>
      <c r="G14" s="181">
        <f t="shared" si="2"/>
        <v>14758</v>
      </c>
      <c r="H14" s="181">
        <f t="shared" si="2"/>
        <v>92592</v>
      </c>
      <c r="I14" s="181">
        <f t="shared" si="2"/>
        <v>13738</v>
      </c>
      <c r="J14" s="181">
        <f t="shared" si="2"/>
        <v>11011</v>
      </c>
      <c r="K14" s="181">
        <f t="shared" si="2"/>
        <v>21752</v>
      </c>
      <c r="L14" s="181">
        <f t="shared" si="2"/>
        <v>6110</v>
      </c>
    </row>
    <row r="15" spans="1:12" s="182" customFormat="1" ht="30" x14ac:dyDescent="0.25">
      <c r="A15" s="179">
        <v>3</v>
      </c>
      <c r="B15" s="383" t="s">
        <v>864</v>
      </c>
      <c r="C15" s="181">
        <f>SUM(D15:L15)</f>
        <v>47198</v>
      </c>
      <c r="D15" s="185">
        <f>D9-D14</f>
        <v>39680</v>
      </c>
      <c r="E15" s="185">
        <f t="shared" ref="E15:I15" si="3">E9-E14</f>
        <v>-14081</v>
      </c>
      <c r="F15" s="185">
        <f t="shared" si="3"/>
        <v>-3475</v>
      </c>
      <c r="G15" s="185">
        <f t="shared" si="3"/>
        <v>-3453</v>
      </c>
      <c r="H15" s="185">
        <f t="shared" si="3"/>
        <v>26048</v>
      </c>
      <c r="I15" s="185">
        <f t="shared" si="3"/>
        <v>862</v>
      </c>
      <c r="J15" s="185">
        <f t="shared" ref="J15:L15" si="4">J9-J14</f>
        <v>2199</v>
      </c>
      <c r="K15" s="185">
        <f>K9-K14</f>
        <v>-572</v>
      </c>
      <c r="L15" s="185">
        <f t="shared" si="4"/>
        <v>-10</v>
      </c>
    </row>
    <row r="16" spans="1:12" s="182" customFormat="1" x14ac:dyDescent="0.25">
      <c r="A16" s="186"/>
      <c r="B16" s="187" t="s">
        <v>5</v>
      </c>
      <c r="C16" s="181"/>
      <c r="D16" s="181"/>
      <c r="E16" s="188"/>
      <c r="F16" s="188"/>
      <c r="G16" s="188"/>
      <c r="H16" s="188"/>
      <c r="I16" s="188"/>
      <c r="J16" s="188"/>
      <c r="K16" s="188"/>
      <c r="L16" s="188"/>
    </row>
    <row r="17" spans="1:12" s="182" customFormat="1" x14ac:dyDescent="0.25">
      <c r="A17" s="186"/>
      <c r="B17" s="186" t="s">
        <v>865</v>
      </c>
      <c r="C17" s="181">
        <f>SUM(D17:L17)</f>
        <v>34394</v>
      </c>
      <c r="D17" s="181">
        <f>D15*0.5</f>
        <v>19840</v>
      </c>
      <c r="E17" s="185"/>
      <c r="F17" s="185"/>
      <c r="G17" s="185"/>
      <c r="H17" s="185">
        <f>H15/2</f>
        <v>13024</v>
      </c>
      <c r="I17" s="185">
        <f>I15/2</f>
        <v>431</v>
      </c>
      <c r="J17" s="185">
        <v>1099</v>
      </c>
      <c r="K17" s="185"/>
      <c r="L17" s="185"/>
    </row>
    <row r="18" spans="1:12" s="182" customFormat="1" x14ac:dyDescent="0.25">
      <c r="A18" s="189"/>
      <c r="B18" s="189" t="s">
        <v>866</v>
      </c>
      <c r="C18" s="190">
        <f>SUM(D18:L18)</f>
        <v>34395</v>
      </c>
      <c r="D18" s="191">
        <f>D17</f>
        <v>19840</v>
      </c>
      <c r="E18" s="738">
        <f t="shared" ref="E18:I18" si="5">E17</f>
        <v>0</v>
      </c>
      <c r="F18" s="738">
        <f t="shared" si="5"/>
        <v>0</v>
      </c>
      <c r="G18" s="738">
        <f t="shared" si="5"/>
        <v>0</v>
      </c>
      <c r="H18" s="191">
        <f>H17</f>
        <v>13024</v>
      </c>
      <c r="I18" s="191">
        <f t="shared" si="5"/>
        <v>431</v>
      </c>
      <c r="J18" s="191">
        <v>1100</v>
      </c>
      <c r="K18" s="191"/>
      <c r="L18" s="191"/>
    </row>
    <row r="19" spans="1:12" s="182" customFormat="1" x14ac:dyDescent="0.25"/>
    <row r="20" spans="1:12" s="182" customFormat="1" hidden="1" x14ac:dyDescent="0.25">
      <c r="A20" s="182">
        <v>2</v>
      </c>
      <c r="B20" s="182" t="s">
        <v>30</v>
      </c>
    </row>
    <row r="21" spans="1:12" s="182" customFormat="1" hidden="1" x14ac:dyDescent="0.25">
      <c r="A21" s="182" t="s">
        <v>23</v>
      </c>
      <c r="B21" s="182" t="s">
        <v>862</v>
      </c>
      <c r="C21" s="182">
        <v>600000</v>
      </c>
      <c r="D21" s="182">
        <v>291100</v>
      </c>
      <c r="E21" s="182">
        <v>111500</v>
      </c>
      <c r="F21" s="182">
        <v>15800</v>
      </c>
      <c r="G21" s="182">
        <v>18450</v>
      </c>
      <c r="H21" s="182">
        <v>98150</v>
      </c>
      <c r="I21" s="182">
        <v>18300</v>
      </c>
      <c r="J21" s="182">
        <v>12380</v>
      </c>
      <c r="K21" s="182">
        <v>26500</v>
      </c>
      <c r="L21" s="182">
        <v>7820</v>
      </c>
    </row>
    <row r="22" spans="1:12" s="182" customFormat="1" hidden="1" x14ac:dyDescent="0.25">
      <c r="A22" s="182" t="s">
        <v>23</v>
      </c>
      <c r="B22" s="182" t="s">
        <v>1474</v>
      </c>
      <c r="C22" s="182">
        <v>535330</v>
      </c>
      <c r="D22" s="182">
        <v>236943</v>
      </c>
      <c r="E22" s="182">
        <v>107311</v>
      </c>
      <c r="F22" s="182">
        <v>14915</v>
      </c>
      <c r="G22" s="182">
        <v>16648</v>
      </c>
      <c r="H22" s="182">
        <v>97092</v>
      </c>
      <c r="I22" s="182">
        <v>17518</v>
      </c>
      <c r="J22" s="182">
        <v>11911</v>
      </c>
      <c r="K22" s="182">
        <v>25532</v>
      </c>
      <c r="L22" s="182">
        <v>7460</v>
      </c>
    </row>
    <row r="23" spans="1:12" s="182" customFormat="1" hidden="1" x14ac:dyDescent="0.25">
      <c r="B23" s="182" t="s">
        <v>1226</v>
      </c>
      <c r="C23" s="182">
        <v>69000</v>
      </c>
      <c r="D23" s="182">
        <v>19500</v>
      </c>
      <c r="E23" s="182">
        <v>32400</v>
      </c>
      <c r="F23" s="182">
        <v>900</v>
      </c>
      <c r="G23" s="182">
        <v>1890</v>
      </c>
      <c r="H23" s="182">
        <v>4500</v>
      </c>
      <c r="I23" s="182">
        <v>3780</v>
      </c>
      <c r="J23" s="182">
        <v>900</v>
      </c>
      <c r="K23" s="182">
        <v>3780</v>
      </c>
      <c r="L23" s="182">
        <v>1350</v>
      </c>
    </row>
    <row r="24" spans="1:12" s="182" customFormat="1" hidden="1" x14ac:dyDescent="0.25">
      <c r="A24" s="182" t="s">
        <v>23</v>
      </c>
      <c r="B24" s="182" t="s">
        <v>1475</v>
      </c>
      <c r="C24" s="182">
        <v>466330</v>
      </c>
      <c r="D24" s="182">
        <v>217443</v>
      </c>
      <c r="E24" s="182">
        <v>74911</v>
      </c>
      <c r="F24" s="182">
        <v>14015</v>
      </c>
      <c r="G24" s="182">
        <v>14758</v>
      </c>
      <c r="H24" s="182">
        <v>92592</v>
      </c>
      <c r="I24" s="182">
        <v>13738</v>
      </c>
      <c r="J24" s="182">
        <v>11011</v>
      </c>
      <c r="K24" s="182">
        <v>21752</v>
      </c>
      <c r="L24" s="182">
        <v>6110</v>
      </c>
    </row>
    <row r="25" spans="1:12" s="735" customFormat="1" hidden="1" x14ac:dyDescent="0.25">
      <c r="E25" s="735">
        <f>E9-E24</f>
        <v>-14081</v>
      </c>
      <c r="F25" s="735">
        <f>F9-F24</f>
        <v>-3475</v>
      </c>
      <c r="G25" s="735">
        <f t="shared" ref="G25:L25" si="6">G9-G24</f>
        <v>-3453</v>
      </c>
      <c r="H25" s="735">
        <f t="shared" si="6"/>
        <v>26048</v>
      </c>
      <c r="I25" s="735">
        <f t="shared" si="6"/>
        <v>862</v>
      </c>
      <c r="J25" s="735">
        <f t="shared" si="6"/>
        <v>2199</v>
      </c>
      <c r="K25" s="735">
        <f t="shared" si="6"/>
        <v>-572</v>
      </c>
      <c r="L25" s="735">
        <f t="shared" si="6"/>
        <v>-10</v>
      </c>
    </row>
    <row r="26" spans="1:12" s="182" customFormat="1" hidden="1" x14ac:dyDescent="0.25"/>
    <row r="27" spans="1:12" s="182" customFormat="1" hidden="1" x14ac:dyDescent="0.25"/>
    <row r="28" spans="1:12" s="182" customFormat="1" hidden="1" x14ac:dyDescent="0.25"/>
    <row r="29" spans="1:12" s="182" customFormat="1" hidden="1" x14ac:dyDescent="0.25"/>
    <row r="30" spans="1:12" s="182" customFormat="1" hidden="1" x14ac:dyDescent="0.25"/>
    <row r="31" spans="1:12" s="182" customFormat="1" hidden="1" x14ac:dyDescent="0.25"/>
    <row r="32" spans="1:12" s="182" customFormat="1" hidden="1" x14ac:dyDescent="0.25">
      <c r="D32" s="439"/>
      <c r="E32" s="439">
        <v>-5061</v>
      </c>
      <c r="F32" s="439">
        <v>-2135</v>
      </c>
      <c r="G32" s="439">
        <v>-988</v>
      </c>
    </row>
    <row r="33" spans="3:12" s="182" customFormat="1" hidden="1" x14ac:dyDescent="0.25">
      <c r="C33" s="182">
        <f>SUM(D33:L33)</f>
        <v>-13407</v>
      </c>
      <c r="D33" s="772"/>
      <c r="E33" s="772">
        <f>E25-E32</f>
        <v>-9020</v>
      </c>
      <c r="F33" s="772">
        <f t="shared" ref="F33:L33" si="7">F25-F32</f>
        <v>-1340</v>
      </c>
      <c r="G33" s="772">
        <f t="shared" si="7"/>
        <v>-2465</v>
      </c>
      <c r="H33" s="772"/>
      <c r="I33" s="772"/>
      <c r="J33" s="772"/>
      <c r="K33" s="772">
        <f t="shared" si="7"/>
        <v>-572</v>
      </c>
      <c r="L33" s="772">
        <f t="shared" si="7"/>
        <v>-10</v>
      </c>
    </row>
    <row r="34" spans="3:12" s="182" customFormat="1" hidden="1" x14ac:dyDescent="0.25"/>
    <row r="35" spans="3:12" s="182" customFormat="1" hidden="1" x14ac:dyDescent="0.25"/>
    <row r="36" spans="3:12" s="182" customFormat="1" hidden="1" x14ac:dyDescent="0.25"/>
    <row r="37" spans="3:12" s="182" customFormat="1" hidden="1" x14ac:dyDescent="0.25">
      <c r="E37" s="182" t="s">
        <v>1520</v>
      </c>
    </row>
    <row r="38" spans="3:12" s="182" customFormat="1" hidden="1" x14ac:dyDescent="0.25">
      <c r="E38" s="182">
        <v>583178</v>
      </c>
      <c r="G38" s="182">
        <v>525501</v>
      </c>
    </row>
    <row r="39" spans="3:12" s="182" customFormat="1" hidden="1" x14ac:dyDescent="0.25">
      <c r="E39" s="182">
        <v>65000</v>
      </c>
      <c r="G39" s="182">
        <v>55000</v>
      </c>
    </row>
    <row r="40" spans="3:12" s="182" customFormat="1" hidden="1" x14ac:dyDescent="0.25">
      <c r="E40" s="182">
        <f>E38-E39</f>
        <v>518178</v>
      </c>
      <c r="G40" s="182">
        <f>G38-G39</f>
        <v>470501</v>
      </c>
    </row>
    <row r="41" spans="3:12" s="182" customFormat="1" hidden="1" x14ac:dyDescent="0.25">
      <c r="E41" s="182" t="s">
        <v>1521</v>
      </c>
      <c r="G41" s="182">
        <f>G40-E44</f>
        <v>4171</v>
      </c>
    </row>
    <row r="42" spans="3:12" s="182" customFormat="1" hidden="1" x14ac:dyDescent="0.25">
      <c r="E42" s="182">
        <v>521330</v>
      </c>
      <c r="G42" s="182">
        <f>G41*50%</f>
        <v>2085.5</v>
      </c>
    </row>
    <row r="43" spans="3:12" s="182" customFormat="1" hidden="1" x14ac:dyDescent="0.25">
      <c r="E43" s="182">
        <v>55000</v>
      </c>
    </row>
    <row r="44" spans="3:12" s="182" customFormat="1" hidden="1" x14ac:dyDescent="0.25">
      <c r="E44" s="182">
        <f>E42-E43</f>
        <v>466330</v>
      </c>
    </row>
    <row r="45" spans="3:12" s="182" customFormat="1" hidden="1" x14ac:dyDescent="0.25">
      <c r="E45" s="182">
        <f>E40-E44</f>
        <v>51848</v>
      </c>
    </row>
    <row r="46" spans="3:12" s="182" customFormat="1" hidden="1" x14ac:dyDescent="0.25">
      <c r="E46" s="735">
        <f>E45*50%</f>
        <v>25924</v>
      </c>
    </row>
    <row r="47" spans="3:12" s="182" customFormat="1" x14ac:dyDescent="0.25"/>
    <row r="48" spans="3:12" s="182" customFormat="1" x14ac:dyDescent="0.25"/>
    <row r="49" s="182" customFormat="1" x14ac:dyDescent="0.25"/>
    <row r="50" s="182" customFormat="1" x14ac:dyDescent="0.25"/>
    <row r="51" s="182" customFormat="1" x14ac:dyDescent="0.25"/>
    <row r="52" s="182" customFormat="1" x14ac:dyDescent="0.25"/>
    <row r="53" s="182" customFormat="1" x14ac:dyDescent="0.25"/>
    <row r="54" s="182" customFormat="1" x14ac:dyDescent="0.25"/>
    <row r="55" s="182" customFormat="1" x14ac:dyDescent="0.25"/>
    <row r="56" s="182" customFormat="1" x14ac:dyDescent="0.25"/>
    <row r="57" s="182" customFormat="1" x14ac:dyDescent="0.25"/>
    <row r="58" s="182" customFormat="1" x14ac:dyDescent="0.25"/>
    <row r="59" s="182" customFormat="1" x14ac:dyDescent="0.25"/>
    <row r="60" s="182" customFormat="1" x14ac:dyDescent="0.25"/>
    <row r="61" s="182" customFormat="1" x14ac:dyDescent="0.25"/>
    <row r="62" s="182" customFormat="1" x14ac:dyDescent="0.25"/>
    <row r="63" s="182" customFormat="1" x14ac:dyDescent="0.25"/>
    <row r="64" s="182" customFormat="1" x14ac:dyDescent="0.25"/>
    <row r="65" s="182" customFormat="1" x14ac:dyDescent="0.25"/>
    <row r="66" s="182" customFormat="1" x14ac:dyDescent="0.25"/>
    <row r="67" s="182" customFormat="1" x14ac:dyDescent="0.25"/>
    <row r="68" s="182" customFormat="1" x14ac:dyDescent="0.25"/>
    <row r="69" s="182" customFormat="1" x14ac:dyDescent="0.25"/>
    <row r="70" s="182" customFormat="1" x14ac:dyDescent="0.25"/>
    <row r="71" s="182" customFormat="1" x14ac:dyDescent="0.25"/>
    <row r="72" s="182" customFormat="1" x14ac:dyDescent="0.25"/>
    <row r="73" s="182" customFormat="1" x14ac:dyDescent="0.25"/>
    <row r="74" s="182" customFormat="1" x14ac:dyDescent="0.25"/>
    <row r="75" s="182" customFormat="1" x14ac:dyDescent="0.25"/>
    <row r="76" s="182" customFormat="1" x14ac:dyDescent="0.25"/>
    <row r="77" s="182" customFormat="1" x14ac:dyDescent="0.25"/>
    <row r="78" s="182" customFormat="1" x14ac:dyDescent="0.25"/>
    <row r="79" s="182" customFormat="1" x14ac:dyDescent="0.25"/>
    <row r="80" s="182" customFormat="1" x14ac:dyDescent="0.25"/>
    <row r="81" s="182" customFormat="1" x14ac:dyDescent="0.25"/>
    <row r="82" s="182" customFormat="1" x14ac:dyDescent="0.25"/>
    <row r="83" s="182" customFormat="1" x14ac:dyDescent="0.25"/>
    <row r="84" s="182" customFormat="1" x14ac:dyDescent="0.25"/>
    <row r="85" s="182" customFormat="1" x14ac:dyDescent="0.25"/>
    <row r="86" s="182" customFormat="1" x14ac:dyDescent="0.25"/>
    <row r="87" s="182" customFormat="1" x14ac:dyDescent="0.25"/>
    <row r="88" s="182" customFormat="1" x14ac:dyDescent="0.25"/>
    <row r="89" s="182" customFormat="1" x14ac:dyDescent="0.25"/>
    <row r="90" s="182" customFormat="1" x14ac:dyDescent="0.25"/>
    <row r="91" s="182" customFormat="1" x14ac:dyDescent="0.25"/>
    <row r="92" s="182" customFormat="1" x14ac:dyDescent="0.25"/>
    <row r="93" s="182" customFormat="1" x14ac:dyDescent="0.25"/>
    <row r="94" s="182" customFormat="1" x14ac:dyDescent="0.25"/>
    <row r="95" s="182" customFormat="1" x14ac:dyDescent="0.25"/>
    <row r="96" s="182" customFormat="1" x14ac:dyDescent="0.25"/>
    <row r="97" spans="5:12" s="182" customFormat="1" x14ac:dyDescent="0.25"/>
    <row r="98" spans="5:12" s="182" customFormat="1" x14ac:dyDescent="0.25"/>
    <row r="99" spans="5:12" s="182" customFormat="1" x14ac:dyDescent="0.25">
      <c r="E99" s="182">
        <v>41230</v>
      </c>
      <c r="F99" s="182">
        <v>9121</v>
      </c>
      <c r="G99" s="182">
        <v>11824</v>
      </c>
      <c r="H99" s="182">
        <v>56838</v>
      </c>
      <c r="I99" s="182">
        <v>9953</v>
      </c>
      <c r="J99" s="182">
        <v>8953</v>
      </c>
      <c r="K99" s="182">
        <v>13766</v>
      </c>
      <c r="L99" s="182">
        <v>4001</v>
      </c>
    </row>
    <row r="100" spans="5:12" s="182" customFormat="1" x14ac:dyDescent="0.25"/>
    <row r="101" spans="5:12" s="182" customFormat="1" x14ac:dyDescent="0.25">
      <c r="E101" s="182">
        <f t="shared" ref="E101:L101" si="8">E9-E99</f>
        <v>19600</v>
      </c>
      <c r="F101" s="182">
        <f t="shared" si="8"/>
        <v>1419</v>
      </c>
      <c r="G101" s="182">
        <f t="shared" si="8"/>
        <v>-519</v>
      </c>
      <c r="H101" s="182">
        <f t="shared" si="8"/>
        <v>61802</v>
      </c>
      <c r="I101" s="182">
        <f>I9-I99</f>
        <v>4647</v>
      </c>
      <c r="J101" s="182">
        <f t="shared" si="8"/>
        <v>4257</v>
      </c>
      <c r="K101" s="182">
        <f t="shared" si="8"/>
        <v>7414</v>
      </c>
      <c r="L101" s="182">
        <f t="shared" si="8"/>
        <v>2099</v>
      </c>
    </row>
    <row r="102" spans="5:12" s="182" customFormat="1" x14ac:dyDescent="0.25">
      <c r="E102" s="182">
        <f>E101*50%</f>
        <v>9800</v>
      </c>
      <c r="F102" s="182">
        <f t="shared" ref="F102:L102" si="9">F101*50%</f>
        <v>709.5</v>
      </c>
      <c r="G102" s="182">
        <f t="shared" si="9"/>
        <v>-259.5</v>
      </c>
      <c r="H102" s="182">
        <f t="shared" si="9"/>
        <v>30901</v>
      </c>
      <c r="I102" s="182">
        <f>I101*50%</f>
        <v>2323.5</v>
      </c>
      <c r="J102" s="182">
        <f t="shared" si="9"/>
        <v>2128.5</v>
      </c>
      <c r="K102" s="182">
        <f t="shared" si="9"/>
        <v>3707</v>
      </c>
      <c r="L102" s="182">
        <f t="shared" si="9"/>
        <v>1049.5</v>
      </c>
    </row>
    <row r="103" spans="5:12" s="182" customFormat="1" x14ac:dyDescent="0.25"/>
    <row r="104" spans="5:12" s="182" customFormat="1" x14ac:dyDescent="0.25"/>
  </sheetData>
  <mergeCells count="3">
    <mergeCell ref="A1:L1"/>
    <mergeCell ref="A2:L2"/>
    <mergeCell ref="E3:I3"/>
  </mergeCells>
  <pageMargins left="0.89" right="0.25" top="0.75" bottom="0.75" header="0.3" footer="0.3"/>
  <pageSetup paperSize="9" firstPageNumber="14" orientation="landscape" useFirstPageNumber="1" r:id="rId1"/>
  <headerFooter>
    <oddHeader>&amp;RBiểu số 10 DT</oddHeader>
    <oddFooter>&amp;C&amp;P</oddFooter>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pageSetUpPr fitToPage="1"/>
  </sheetPr>
  <dimension ref="A1:AJ53"/>
  <sheetViews>
    <sheetView zoomScaleNormal="100" workbookViewId="0">
      <selection activeCell="W8" sqref="W8:W9"/>
    </sheetView>
  </sheetViews>
  <sheetFormatPr defaultRowHeight="18.75" x14ac:dyDescent="0.25"/>
  <cols>
    <col min="1" max="1" width="3.5" style="1797" customWidth="1"/>
    <col min="2" max="2" width="29.5" style="1761" customWidth="1"/>
    <col min="3" max="3" width="8.5" style="1797" customWidth="1"/>
    <col min="4" max="5" width="7" style="1798" customWidth="1"/>
    <col min="6" max="19" width="11" style="1798" hidden="1" customWidth="1"/>
    <col min="20" max="23" width="7.25" style="1798" customWidth="1"/>
    <col min="24" max="24" width="12.25" style="1798" hidden="1" customWidth="1"/>
    <col min="25" max="28" width="6.125" style="1798" customWidth="1"/>
    <col min="29" max="29" width="11" style="1798" hidden="1" customWidth="1"/>
    <col min="30" max="31" width="6.25" style="1798" customWidth="1"/>
    <col min="32" max="32" width="14.875" style="1798" hidden="1" customWidth="1"/>
    <col min="33" max="33" width="6.125" style="1798" customWidth="1"/>
    <col min="34" max="34" width="13.875" style="1798" customWidth="1"/>
    <col min="35" max="35" width="13.25" style="1797" customWidth="1"/>
    <col min="36" max="42" width="0" style="1761" hidden="1" customWidth="1"/>
    <col min="43" max="205" width="9" style="1761"/>
    <col min="206" max="206" width="5.125" style="1761" customWidth="1"/>
    <col min="207" max="207" width="32.375" style="1761" customWidth="1"/>
    <col min="208" max="210" width="10.25" style="1761" customWidth="1"/>
    <col min="211" max="212" width="12.375" style="1761" customWidth="1"/>
    <col min="213" max="213" width="11.25" style="1761" customWidth="1"/>
    <col min="214" max="214" width="12.375" style="1761" customWidth="1"/>
    <col min="215" max="215" width="11.25" style="1761" customWidth="1"/>
    <col min="216" max="216" width="12.375" style="1761" customWidth="1"/>
    <col min="217" max="217" width="11.25" style="1761" customWidth="1"/>
    <col min="218" max="218" width="12.375" style="1761" customWidth="1"/>
    <col min="219" max="219" width="11.25" style="1761" customWidth="1"/>
    <col min="220" max="220" width="12.375" style="1761" customWidth="1"/>
    <col min="221" max="221" width="11.25" style="1761" customWidth="1"/>
    <col min="222" max="222" width="14.125" style="1761" customWidth="1"/>
    <col min="223" max="223" width="10.25" style="1761" customWidth="1"/>
    <col min="224" max="224" width="17.125" style="1761" customWidth="1"/>
    <col min="225" max="225" width="12" style="1761" customWidth="1"/>
    <col min="226" max="226" width="14.125" style="1761" customWidth="1"/>
    <col min="227" max="227" width="10.25" style="1761" customWidth="1"/>
    <col min="228" max="228" width="17.125" style="1761" customWidth="1"/>
    <col min="229" max="229" width="12" style="1761" customWidth="1"/>
    <col min="230" max="230" width="10.75" style="1761" customWidth="1"/>
    <col min="231" max="233" width="9" style="1761" customWidth="1"/>
    <col min="234" max="461" width="9" style="1761"/>
    <col min="462" max="462" width="5.125" style="1761" customWidth="1"/>
    <col min="463" max="463" width="32.375" style="1761" customWidth="1"/>
    <col min="464" max="466" width="10.25" style="1761" customWidth="1"/>
    <col min="467" max="468" width="12.375" style="1761" customWidth="1"/>
    <col min="469" max="469" width="11.25" style="1761" customWidth="1"/>
    <col min="470" max="470" width="12.375" style="1761" customWidth="1"/>
    <col min="471" max="471" width="11.25" style="1761" customWidth="1"/>
    <col min="472" max="472" width="12.375" style="1761" customWidth="1"/>
    <col min="473" max="473" width="11.25" style="1761" customWidth="1"/>
    <col min="474" max="474" width="12.375" style="1761" customWidth="1"/>
    <col min="475" max="475" width="11.25" style="1761" customWidth="1"/>
    <col min="476" max="476" width="12.375" style="1761" customWidth="1"/>
    <col min="477" max="477" width="11.25" style="1761" customWidth="1"/>
    <col min="478" max="478" width="14.125" style="1761" customWidth="1"/>
    <col min="479" max="479" width="10.25" style="1761" customWidth="1"/>
    <col min="480" max="480" width="17.125" style="1761" customWidth="1"/>
    <col min="481" max="481" width="12" style="1761" customWidth="1"/>
    <col min="482" max="482" width="14.125" style="1761" customWidth="1"/>
    <col min="483" max="483" width="10.25" style="1761" customWidth="1"/>
    <col min="484" max="484" width="17.125" style="1761" customWidth="1"/>
    <col min="485" max="485" width="12" style="1761" customWidth="1"/>
    <col min="486" max="486" width="10.75" style="1761" customWidth="1"/>
    <col min="487" max="489" width="9" style="1761" customWidth="1"/>
    <col min="490" max="717" width="9" style="1761"/>
    <col min="718" max="718" width="5.125" style="1761" customWidth="1"/>
    <col min="719" max="719" width="32.375" style="1761" customWidth="1"/>
    <col min="720" max="722" width="10.25" style="1761" customWidth="1"/>
    <col min="723" max="724" width="12.375" style="1761" customWidth="1"/>
    <col min="725" max="725" width="11.25" style="1761" customWidth="1"/>
    <col min="726" max="726" width="12.375" style="1761" customWidth="1"/>
    <col min="727" max="727" width="11.25" style="1761" customWidth="1"/>
    <col min="728" max="728" width="12.375" style="1761" customWidth="1"/>
    <col min="729" max="729" width="11.25" style="1761" customWidth="1"/>
    <col min="730" max="730" width="12.375" style="1761" customWidth="1"/>
    <col min="731" max="731" width="11.25" style="1761" customWidth="1"/>
    <col min="732" max="732" width="12.375" style="1761" customWidth="1"/>
    <col min="733" max="733" width="11.25" style="1761" customWidth="1"/>
    <col min="734" max="734" width="14.125" style="1761" customWidth="1"/>
    <col min="735" max="735" width="10.25" style="1761" customWidth="1"/>
    <col min="736" max="736" width="17.125" style="1761" customWidth="1"/>
    <col min="737" max="737" width="12" style="1761" customWidth="1"/>
    <col min="738" max="738" width="14.125" style="1761" customWidth="1"/>
    <col min="739" max="739" width="10.25" style="1761" customWidth="1"/>
    <col min="740" max="740" width="17.125" style="1761" customWidth="1"/>
    <col min="741" max="741" width="12" style="1761" customWidth="1"/>
    <col min="742" max="742" width="10.75" style="1761" customWidth="1"/>
    <col min="743" max="745" width="9" style="1761" customWidth="1"/>
    <col min="746" max="973" width="9" style="1761"/>
    <col min="974" max="974" width="5.125" style="1761" customWidth="1"/>
    <col min="975" max="975" width="32.375" style="1761" customWidth="1"/>
    <col min="976" max="978" width="10.25" style="1761" customWidth="1"/>
    <col min="979" max="980" width="12.375" style="1761" customWidth="1"/>
    <col min="981" max="981" width="11.25" style="1761" customWidth="1"/>
    <col min="982" max="982" width="12.375" style="1761" customWidth="1"/>
    <col min="983" max="983" width="11.25" style="1761" customWidth="1"/>
    <col min="984" max="984" width="12.375" style="1761" customWidth="1"/>
    <col min="985" max="985" width="11.25" style="1761" customWidth="1"/>
    <col min="986" max="986" width="12.375" style="1761" customWidth="1"/>
    <col min="987" max="987" width="11.25" style="1761" customWidth="1"/>
    <col min="988" max="988" width="12.375" style="1761" customWidth="1"/>
    <col min="989" max="989" width="11.25" style="1761" customWidth="1"/>
    <col min="990" max="990" width="14.125" style="1761" customWidth="1"/>
    <col min="991" max="991" width="10.25" style="1761" customWidth="1"/>
    <col min="992" max="992" width="17.125" style="1761" customWidth="1"/>
    <col min="993" max="993" width="12" style="1761" customWidth="1"/>
    <col min="994" max="994" width="14.125" style="1761" customWidth="1"/>
    <col min="995" max="995" width="10.25" style="1761" customWidth="1"/>
    <col min="996" max="996" width="17.125" style="1761" customWidth="1"/>
    <col min="997" max="997" width="12" style="1761" customWidth="1"/>
    <col min="998" max="998" width="10.75" style="1761" customWidth="1"/>
    <col min="999" max="1001" width="9" style="1761" customWidth="1"/>
    <col min="1002" max="1229" width="9" style="1761"/>
    <col min="1230" max="1230" width="5.125" style="1761" customWidth="1"/>
    <col min="1231" max="1231" width="32.375" style="1761" customWidth="1"/>
    <col min="1232" max="1234" width="10.25" style="1761" customWidth="1"/>
    <col min="1235" max="1236" width="12.375" style="1761" customWidth="1"/>
    <col min="1237" max="1237" width="11.25" style="1761" customWidth="1"/>
    <col min="1238" max="1238" width="12.375" style="1761" customWidth="1"/>
    <col min="1239" max="1239" width="11.25" style="1761" customWidth="1"/>
    <col min="1240" max="1240" width="12.375" style="1761" customWidth="1"/>
    <col min="1241" max="1241" width="11.25" style="1761" customWidth="1"/>
    <col min="1242" max="1242" width="12.375" style="1761" customWidth="1"/>
    <col min="1243" max="1243" width="11.25" style="1761" customWidth="1"/>
    <col min="1244" max="1244" width="12.375" style="1761" customWidth="1"/>
    <col min="1245" max="1245" width="11.25" style="1761" customWidth="1"/>
    <col min="1246" max="1246" width="14.125" style="1761" customWidth="1"/>
    <col min="1247" max="1247" width="10.25" style="1761" customWidth="1"/>
    <col min="1248" max="1248" width="17.125" style="1761" customWidth="1"/>
    <col min="1249" max="1249" width="12" style="1761" customWidth="1"/>
    <col min="1250" max="1250" width="14.125" style="1761" customWidth="1"/>
    <col min="1251" max="1251" width="10.25" style="1761" customWidth="1"/>
    <col min="1252" max="1252" width="17.125" style="1761" customWidth="1"/>
    <col min="1253" max="1253" width="12" style="1761" customWidth="1"/>
    <col min="1254" max="1254" width="10.75" style="1761" customWidth="1"/>
    <col min="1255" max="1257" width="9" style="1761" customWidth="1"/>
    <col min="1258" max="1485" width="9" style="1761"/>
    <col min="1486" max="1486" width="5.125" style="1761" customWidth="1"/>
    <col min="1487" max="1487" width="32.375" style="1761" customWidth="1"/>
    <col min="1488" max="1490" width="10.25" style="1761" customWidth="1"/>
    <col min="1491" max="1492" width="12.375" style="1761" customWidth="1"/>
    <col min="1493" max="1493" width="11.25" style="1761" customWidth="1"/>
    <col min="1494" max="1494" width="12.375" style="1761" customWidth="1"/>
    <col min="1495" max="1495" width="11.25" style="1761" customWidth="1"/>
    <col min="1496" max="1496" width="12.375" style="1761" customWidth="1"/>
    <col min="1497" max="1497" width="11.25" style="1761" customWidth="1"/>
    <col min="1498" max="1498" width="12.375" style="1761" customWidth="1"/>
    <col min="1499" max="1499" width="11.25" style="1761" customWidth="1"/>
    <col min="1500" max="1500" width="12.375" style="1761" customWidth="1"/>
    <col min="1501" max="1501" width="11.25" style="1761" customWidth="1"/>
    <col min="1502" max="1502" width="14.125" style="1761" customWidth="1"/>
    <col min="1503" max="1503" width="10.25" style="1761" customWidth="1"/>
    <col min="1504" max="1504" width="17.125" style="1761" customWidth="1"/>
    <col min="1505" max="1505" width="12" style="1761" customWidth="1"/>
    <col min="1506" max="1506" width="14.125" style="1761" customWidth="1"/>
    <col min="1507" max="1507" width="10.25" style="1761" customWidth="1"/>
    <col min="1508" max="1508" width="17.125" style="1761" customWidth="1"/>
    <col min="1509" max="1509" width="12" style="1761" customWidth="1"/>
    <col min="1510" max="1510" width="10.75" style="1761" customWidth="1"/>
    <col min="1511" max="1513" width="9" style="1761" customWidth="1"/>
    <col min="1514" max="1741" width="9" style="1761"/>
    <col min="1742" max="1742" width="5.125" style="1761" customWidth="1"/>
    <col min="1743" max="1743" width="32.375" style="1761" customWidth="1"/>
    <col min="1744" max="1746" width="10.25" style="1761" customWidth="1"/>
    <col min="1747" max="1748" width="12.375" style="1761" customWidth="1"/>
    <col min="1749" max="1749" width="11.25" style="1761" customWidth="1"/>
    <col min="1750" max="1750" width="12.375" style="1761" customWidth="1"/>
    <col min="1751" max="1751" width="11.25" style="1761" customWidth="1"/>
    <col min="1752" max="1752" width="12.375" style="1761" customWidth="1"/>
    <col min="1753" max="1753" width="11.25" style="1761" customWidth="1"/>
    <col min="1754" max="1754" width="12.375" style="1761" customWidth="1"/>
    <col min="1755" max="1755" width="11.25" style="1761" customWidth="1"/>
    <col min="1756" max="1756" width="12.375" style="1761" customWidth="1"/>
    <col min="1757" max="1757" width="11.25" style="1761" customWidth="1"/>
    <col min="1758" max="1758" width="14.125" style="1761" customWidth="1"/>
    <col min="1759" max="1759" width="10.25" style="1761" customWidth="1"/>
    <col min="1760" max="1760" width="17.125" style="1761" customWidth="1"/>
    <col min="1761" max="1761" width="12" style="1761" customWidth="1"/>
    <col min="1762" max="1762" width="14.125" style="1761" customWidth="1"/>
    <col min="1763" max="1763" width="10.25" style="1761" customWidth="1"/>
    <col min="1764" max="1764" width="17.125" style="1761" customWidth="1"/>
    <col min="1765" max="1765" width="12" style="1761" customWidth="1"/>
    <col min="1766" max="1766" width="10.75" style="1761" customWidth="1"/>
    <col min="1767" max="1769" width="9" style="1761" customWidth="1"/>
    <col min="1770" max="1997" width="9" style="1761"/>
    <col min="1998" max="1998" width="5.125" style="1761" customWidth="1"/>
    <col min="1999" max="1999" width="32.375" style="1761" customWidth="1"/>
    <col min="2000" max="2002" width="10.25" style="1761" customWidth="1"/>
    <col min="2003" max="2004" width="12.375" style="1761" customWidth="1"/>
    <col min="2005" max="2005" width="11.25" style="1761" customWidth="1"/>
    <col min="2006" max="2006" width="12.375" style="1761" customWidth="1"/>
    <col min="2007" max="2007" width="11.25" style="1761" customWidth="1"/>
    <col min="2008" max="2008" width="12.375" style="1761" customWidth="1"/>
    <col min="2009" max="2009" width="11.25" style="1761" customWidth="1"/>
    <col min="2010" max="2010" width="12.375" style="1761" customWidth="1"/>
    <col min="2011" max="2011" width="11.25" style="1761" customWidth="1"/>
    <col min="2012" max="2012" width="12.375" style="1761" customWidth="1"/>
    <col min="2013" max="2013" width="11.25" style="1761" customWidth="1"/>
    <col min="2014" max="2014" width="14.125" style="1761" customWidth="1"/>
    <col min="2015" max="2015" width="10.25" style="1761" customWidth="1"/>
    <col min="2016" max="2016" width="17.125" style="1761" customWidth="1"/>
    <col min="2017" max="2017" width="12" style="1761" customWidth="1"/>
    <col min="2018" max="2018" width="14.125" style="1761" customWidth="1"/>
    <col min="2019" max="2019" width="10.25" style="1761" customWidth="1"/>
    <col min="2020" max="2020" width="17.125" style="1761" customWidth="1"/>
    <col min="2021" max="2021" width="12" style="1761" customWidth="1"/>
    <col min="2022" max="2022" width="10.75" style="1761" customWidth="1"/>
    <col min="2023" max="2025" width="9" style="1761" customWidth="1"/>
    <col min="2026" max="2253" width="9" style="1761"/>
    <col min="2254" max="2254" width="5.125" style="1761" customWidth="1"/>
    <col min="2255" max="2255" width="32.375" style="1761" customWidth="1"/>
    <col min="2256" max="2258" width="10.25" style="1761" customWidth="1"/>
    <col min="2259" max="2260" width="12.375" style="1761" customWidth="1"/>
    <col min="2261" max="2261" width="11.25" style="1761" customWidth="1"/>
    <col min="2262" max="2262" width="12.375" style="1761" customWidth="1"/>
    <col min="2263" max="2263" width="11.25" style="1761" customWidth="1"/>
    <col min="2264" max="2264" width="12.375" style="1761" customWidth="1"/>
    <col min="2265" max="2265" width="11.25" style="1761" customWidth="1"/>
    <col min="2266" max="2266" width="12.375" style="1761" customWidth="1"/>
    <col min="2267" max="2267" width="11.25" style="1761" customWidth="1"/>
    <col min="2268" max="2268" width="12.375" style="1761" customWidth="1"/>
    <col min="2269" max="2269" width="11.25" style="1761" customWidth="1"/>
    <col min="2270" max="2270" width="14.125" style="1761" customWidth="1"/>
    <col min="2271" max="2271" width="10.25" style="1761" customWidth="1"/>
    <col min="2272" max="2272" width="17.125" style="1761" customWidth="1"/>
    <col min="2273" max="2273" width="12" style="1761" customWidth="1"/>
    <col min="2274" max="2274" width="14.125" style="1761" customWidth="1"/>
    <col min="2275" max="2275" width="10.25" style="1761" customWidth="1"/>
    <col min="2276" max="2276" width="17.125" style="1761" customWidth="1"/>
    <col min="2277" max="2277" width="12" style="1761" customWidth="1"/>
    <col min="2278" max="2278" width="10.75" style="1761" customWidth="1"/>
    <col min="2279" max="2281" width="9" style="1761" customWidth="1"/>
    <col min="2282" max="2509" width="9" style="1761"/>
    <col min="2510" max="2510" width="5.125" style="1761" customWidth="1"/>
    <col min="2511" max="2511" width="32.375" style="1761" customWidth="1"/>
    <col min="2512" max="2514" width="10.25" style="1761" customWidth="1"/>
    <col min="2515" max="2516" width="12.375" style="1761" customWidth="1"/>
    <col min="2517" max="2517" width="11.25" style="1761" customWidth="1"/>
    <col min="2518" max="2518" width="12.375" style="1761" customWidth="1"/>
    <col min="2519" max="2519" width="11.25" style="1761" customWidth="1"/>
    <col min="2520" max="2520" width="12.375" style="1761" customWidth="1"/>
    <col min="2521" max="2521" width="11.25" style="1761" customWidth="1"/>
    <col min="2522" max="2522" width="12.375" style="1761" customWidth="1"/>
    <col min="2523" max="2523" width="11.25" style="1761" customWidth="1"/>
    <col min="2524" max="2524" width="12.375" style="1761" customWidth="1"/>
    <col min="2525" max="2525" width="11.25" style="1761" customWidth="1"/>
    <col min="2526" max="2526" width="14.125" style="1761" customWidth="1"/>
    <col min="2527" max="2527" width="10.25" style="1761" customWidth="1"/>
    <col min="2528" max="2528" width="17.125" style="1761" customWidth="1"/>
    <col min="2529" max="2529" width="12" style="1761" customWidth="1"/>
    <col min="2530" max="2530" width="14.125" style="1761" customWidth="1"/>
    <col min="2531" max="2531" width="10.25" style="1761" customWidth="1"/>
    <col min="2532" max="2532" width="17.125" style="1761" customWidth="1"/>
    <col min="2533" max="2533" width="12" style="1761" customWidth="1"/>
    <col min="2534" max="2534" width="10.75" style="1761" customWidth="1"/>
    <col min="2535" max="2537" width="9" style="1761" customWidth="1"/>
    <col min="2538" max="2765" width="9" style="1761"/>
    <col min="2766" max="2766" width="5.125" style="1761" customWidth="1"/>
    <col min="2767" max="2767" width="32.375" style="1761" customWidth="1"/>
    <col min="2768" max="2770" width="10.25" style="1761" customWidth="1"/>
    <col min="2771" max="2772" width="12.375" style="1761" customWidth="1"/>
    <col min="2773" max="2773" width="11.25" style="1761" customWidth="1"/>
    <col min="2774" max="2774" width="12.375" style="1761" customWidth="1"/>
    <col min="2775" max="2775" width="11.25" style="1761" customWidth="1"/>
    <col min="2776" max="2776" width="12.375" style="1761" customWidth="1"/>
    <col min="2777" max="2777" width="11.25" style="1761" customWidth="1"/>
    <col min="2778" max="2778" width="12.375" style="1761" customWidth="1"/>
    <col min="2779" max="2779" width="11.25" style="1761" customWidth="1"/>
    <col min="2780" max="2780" width="12.375" style="1761" customWidth="1"/>
    <col min="2781" max="2781" width="11.25" style="1761" customWidth="1"/>
    <col min="2782" max="2782" width="14.125" style="1761" customWidth="1"/>
    <col min="2783" max="2783" width="10.25" style="1761" customWidth="1"/>
    <col min="2784" max="2784" width="17.125" style="1761" customWidth="1"/>
    <col min="2785" max="2785" width="12" style="1761" customWidth="1"/>
    <col min="2786" max="2786" width="14.125" style="1761" customWidth="1"/>
    <col min="2787" max="2787" width="10.25" style="1761" customWidth="1"/>
    <col min="2788" max="2788" width="17.125" style="1761" customWidth="1"/>
    <col min="2789" max="2789" width="12" style="1761" customWidth="1"/>
    <col min="2790" max="2790" width="10.75" style="1761" customWidth="1"/>
    <col min="2791" max="2793" width="9" style="1761" customWidth="1"/>
    <col min="2794" max="3021" width="9" style="1761"/>
    <col min="3022" max="3022" width="5.125" style="1761" customWidth="1"/>
    <col min="3023" max="3023" width="32.375" style="1761" customWidth="1"/>
    <col min="3024" max="3026" width="10.25" style="1761" customWidth="1"/>
    <col min="3027" max="3028" width="12.375" style="1761" customWidth="1"/>
    <col min="3029" max="3029" width="11.25" style="1761" customWidth="1"/>
    <col min="3030" max="3030" width="12.375" style="1761" customWidth="1"/>
    <col min="3031" max="3031" width="11.25" style="1761" customWidth="1"/>
    <col min="3032" max="3032" width="12.375" style="1761" customWidth="1"/>
    <col min="3033" max="3033" width="11.25" style="1761" customWidth="1"/>
    <col min="3034" max="3034" width="12.375" style="1761" customWidth="1"/>
    <col min="3035" max="3035" width="11.25" style="1761" customWidth="1"/>
    <col min="3036" max="3036" width="12.375" style="1761" customWidth="1"/>
    <col min="3037" max="3037" width="11.25" style="1761" customWidth="1"/>
    <col min="3038" max="3038" width="14.125" style="1761" customWidth="1"/>
    <col min="3039" max="3039" width="10.25" style="1761" customWidth="1"/>
    <col min="3040" max="3040" width="17.125" style="1761" customWidth="1"/>
    <col min="3041" max="3041" width="12" style="1761" customWidth="1"/>
    <col min="3042" max="3042" width="14.125" style="1761" customWidth="1"/>
    <col min="3043" max="3043" width="10.25" style="1761" customWidth="1"/>
    <col min="3044" max="3044" width="17.125" style="1761" customWidth="1"/>
    <col min="3045" max="3045" width="12" style="1761" customWidth="1"/>
    <col min="3046" max="3046" width="10.75" style="1761" customWidth="1"/>
    <col min="3047" max="3049" width="9" style="1761" customWidth="1"/>
    <col min="3050" max="3277" width="9" style="1761"/>
    <col min="3278" max="3278" width="5.125" style="1761" customWidth="1"/>
    <col min="3279" max="3279" width="32.375" style="1761" customWidth="1"/>
    <col min="3280" max="3282" width="10.25" style="1761" customWidth="1"/>
    <col min="3283" max="3284" width="12.375" style="1761" customWidth="1"/>
    <col min="3285" max="3285" width="11.25" style="1761" customWidth="1"/>
    <col min="3286" max="3286" width="12.375" style="1761" customWidth="1"/>
    <col min="3287" max="3287" width="11.25" style="1761" customWidth="1"/>
    <col min="3288" max="3288" width="12.375" style="1761" customWidth="1"/>
    <col min="3289" max="3289" width="11.25" style="1761" customWidth="1"/>
    <col min="3290" max="3290" width="12.375" style="1761" customWidth="1"/>
    <col min="3291" max="3291" width="11.25" style="1761" customWidth="1"/>
    <col min="3292" max="3292" width="12.375" style="1761" customWidth="1"/>
    <col min="3293" max="3293" width="11.25" style="1761" customWidth="1"/>
    <col min="3294" max="3294" width="14.125" style="1761" customWidth="1"/>
    <col min="3295" max="3295" width="10.25" style="1761" customWidth="1"/>
    <col min="3296" max="3296" width="17.125" style="1761" customWidth="1"/>
    <col min="3297" max="3297" width="12" style="1761" customWidth="1"/>
    <col min="3298" max="3298" width="14.125" style="1761" customWidth="1"/>
    <col min="3299" max="3299" width="10.25" style="1761" customWidth="1"/>
    <col min="3300" max="3300" width="17.125" style="1761" customWidth="1"/>
    <col min="3301" max="3301" width="12" style="1761" customWidth="1"/>
    <col min="3302" max="3302" width="10.75" style="1761" customWidth="1"/>
    <col min="3303" max="3305" width="9" style="1761" customWidth="1"/>
    <col min="3306" max="3533" width="9" style="1761"/>
    <col min="3534" max="3534" width="5.125" style="1761" customWidth="1"/>
    <col min="3535" max="3535" width="32.375" style="1761" customWidth="1"/>
    <col min="3536" max="3538" width="10.25" style="1761" customWidth="1"/>
    <col min="3539" max="3540" width="12.375" style="1761" customWidth="1"/>
    <col min="3541" max="3541" width="11.25" style="1761" customWidth="1"/>
    <col min="3542" max="3542" width="12.375" style="1761" customWidth="1"/>
    <col min="3543" max="3543" width="11.25" style="1761" customWidth="1"/>
    <col min="3544" max="3544" width="12.375" style="1761" customWidth="1"/>
    <col min="3545" max="3545" width="11.25" style="1761" customWidth="1"/>
    <col min="3546" max="3546" width="12.375" style="1761" customWidth="1"/>
    <col min="3547" max="3547" width="11.25" style="1761" customWidth="1"/>
    <col min="3548" max="3548" width="12.375" style="1761" customWidth="1"/>
    <col min="3549" max="3549" width="11.25" style="1761" customWidth="1"/>
    <col min="3550" max="3550" width="14.125" style="1761" customWidth="1"/>
    <col min="3551" max="3551" width="10.25" style="1761" customWidth="1"/>
    <col min="3552" max="3552" width="17.125" style="1761" customWidth="1"/>
    <col min="3553" max="3553" width="12" style="1761" customWidth="1"/>
    <col min="3554" max="3554" width="14.125" style="1761" customWidth="1"/>
    <col min="3555" max="3555" width="10.25" style="1761" customWidth="1"/>
    <col min="3556" max="3556" width="17.125" style="1761" customWidth="1"/>
    <col min="3557" max="3557" width="12" style="1761" customWidth="1"/>
    <col min="3558" max="3558" width="10.75" style="1761" customWidth="1"/>
    <col min="3559" max="3561" width="9" style="1761" customWidth="1"/>
    <col min="3562" max="3789" width="9" style="1761"/>
    <col min="3790" max="3790" width="5.125" style="1761" customWidth="1"/>
    <col min="3791" max="3791" width="32.375" style="1761" customWidth="1"/>
    <col min="3792" max="3794" width="10.25" style="1761" customWidth="1"/>
    <col min="3795" max="3796" width="12.375" style="1761" customWidth="1"/>
    <col min="3797" max="3797" width="11.25" style="1761" customWidth="1"/>
    <col min="3798" max="3798" width="12.375" style="1761" customWidth="1"/>
    <col min="3799" max="3799" width="11.25" style="1761" customWidth="1"/>
    <col min="3800" max="3800" width="12.375" style="1761" customWidth="1"/>
    <col min="3801" max="3801" width="11.25" style="1761" customWidth="1"/>
    <col min="3802" max="3802" width="12.375" style="1761" customWidth="1"/>
    <col min="3803" max="3803" width="11.25" style="1761" customWidth="1"/>
    <col min="3804" max="3804" width="12.375" style="1761" customWidth="1"/>
    <col min="3805" max="3805" width="11.25" style="1761" customWidth="1"/>
    <col min="3806" max="3806" width="14.125" style="1761" customWidth="1"/>
    <col min="3807" max="3807" width="10.25" style="1761" customWidth="1"/>
    <col min="3808" max="3808" width="17.125" style="1761" customWidth="1"/>
    <col min="3809" max="3809" width="12" style="1761" customWidth="1"/>
    <col min="3810" max="3810" width="14.125" style="1761" customWidth="1"/>
    <col min="3811" max="3811" width="10.25" style="1761" customWidth="1"/>
    <col min="3812" max="3812" width="17.125" style="1761" customWidth="1"/>
    <col min="3813" max="3813" width="12" style="1761" customWidth="1"/>
    <col min="3814" max="3814" width="10.75" style="1761" customWidth="1"/>
    <col min="3815" max="3817" width="9" style="1761" customWidth="1"/>
    <col min="3818" max="4045" width="9" style="1761"/>
    <col min="4046" max="4046" width="5.125" style="1761" customWidth="1"/>
    <col min="4047" max="4047" width="32.375" style="1761" customWidth="1"/>
    <col min="4048" max="4050" width="10.25" style="1761" customWidth="1"/>
    <col min="4051" max="4052" width="12.375" style="1761" customWidth="1"/>
    <col min="4053" max="4053" width="11.25" style="1761" customWidth="1"/>
    <col min="4054" max="4054" width="12.375" style="1761" customWidth="1"/>
    <col min="4055" max="4055" width="11.25" style="1761" customWidth="1"/>
    <col min="4056" max="4056" width="12.375" style="1761" customWidth="1"/>
    <col min="4057" max="4057" width="11.25" style="1761" customWidth="1"/>
    <col min="4058" max="4058" width="12.375" style="1761" customWidth="1"/>
    <col min="4059" max="4059" width="11.25" style="1761" customWidth="1"/>
    <col min="4060" max="4060" width="12.375" style="1761" customWidth="1"/>
    <col min="4061" max="4061" width="11.25" style="1761" customWidth="1"/>
    <col min="4062" max="4062" width="14.125" style="1761" customWidth="1"/>
    <col min="4063" max="4063" width="10.25" style="1761" customWidth="1"/>
    <col min="4064" max="4064" width="17.125" style="1761" customWidth="1"/>
    <col min="4065" max="4065" width="12" style="1761" customWidth="1"/>
    <col min="4066" max="4066" width="14.125" style="1761" customWidth="1"/>
    <col min="4067" max="4067" width="10.25" style="1761" customWidth="1"/>
    <col min="4068" max="4068" width="17.125" style="1761" customWidth="1"/>
    <col min="4069" max="4069" width="12" style="1761" customWidth="1"/>
    <col min="4070" max="4070" width="10.75" style="1761" customWidth="1"/>
    <col min="4071" max="4073" width="9" style="1761" customWidth="1"/>
    <col min="4074" max="4301" width="9" style="1761"/>
    <col min="4302" max="4302" width="5.125" style="1761" customWidth="1"/>
    <col min="4303" max="4303" width="32.375" style="1761" customWidth="1"/>
    <col min="4304" max="4306" width="10.25" style="1761" customWidth="1"/>
    <col min="4307" max="4308" width="12.375" style="1761" customWidth="1"/>
    <col min="4309" max="4309" width="11.25" style="1761" customWidth="1"/>
    <col min="4310" max="4310" width="12.375" style="1761" customWidth="1"/>
    <col min="4311" max="4311" width="11.25" style="1761" customWidth="1"/>
    <col min="4312" max="4312" width="12.375" style="1761" customWidth="1"/>
    <col min="4313" max="4313" width="11.25" style="1761" customWidth="1"/>
    <col min="4314" max="4314" width="12.375" style="1761" customWidth="1"/>
    <col min="4315" max="4315" width="11.25" style="1761" customWidth="1"/>
    <col min="4316" max="4316" width="12.375" style="1761" customWidth="1"/>
    <col min="4317" max="4317" width="11.25" style="1761" customWidth="1"/>
    <col min="4318" max="4318" width="14.125" style="1761" customWidth="1"/>
    <col min="4319" max="4319" width="10.25" style="1761" customWidth="1"/>
    <col min="4320" max="4320" width="17.125" style="1761" customWidth="1"/>
    <col min="4321" max="4321" width="12" style="1761" customWidth="1"/>
    <col min="4322" max="4322" width="14.125" style="1761" customWidth="1"/>
    <col min="4323" max="4323" width="10.25" style="1761" customWidth="1"/>
    <col min="4324" max="4324" width="17.125" style="1761" customWidth="1"/>
    <col min="4325" max="4325" width="12" style="1761" customWidth="1"/>
    <col min="4326" max="4326" width="10.75" style="1761" customWidth="1"/>
    <col min="4327" max="4329" width="9" style="1761" customWidth="1"/>
    <col min="4330" max="4557" width="9" style="1761"/>
    <col min="4558" max="4558" width="5.125" style="1761" customWidth="1"/>
    <col min="4559" max="4559" width="32.375" style="1761" customWidth="1"/>
    <col min="4560" max="4562" width="10.25" style="1761" customWidth="1"/>
    <col min="4563" max="4564" width="12.375" style="1761" customWidth="1"/>
    <col min="4565" max="4565" width="11.25" style="1761" customWidth="1"/>
    <col min="4566" max="4566" width="12.375" style="1761" customWidth="1"/>
    <col min="4567" max="4567" width="11.25" style="1761" customWidth="1"/>
    <col min="4568" max="4568" width="12.375" style="1761" customWidth="1"/>
    <col min="4569" max="4569" width="11.25" style="1761" customWidth="1"/>
    <col min="4570" max="4570" width="12.375" style="1761" customWidth="1"/>
    <col min="4571" max="4571" width="11.25" style="1761" customWidth="1"/>
    <col min="4572" max="4572" width="12.375" style="1761" customWidth="1"/>
    <col min="4573" max="4573" width="11.25" style="1761" customWidth="1"/>
    <col min="4574" max="4574" width="14.125" style="1761" customWidth="1"/>
    <col min="4575" max="4575" width="10.25" style="1761" customWidth="1"/>
    <col min="4576" max="4576" width="17.125" style="1761" customWidth="1"/>
    <col min="4577" max="4577" width="12" style="1761" customWidth="1"/>
    <col min="4578" max="4578" width="14.125" style="1761" customWidth="1"/>
    <col min="4579" max="4579" width="10.25" style="1761" customWidth="1"/>
    <col min="4580" max="4580" width="17.125" style="1761" customWidth="1"/>
    <col min="4581" max="4581" width="12" style="1761" customWidth="1"/>
    <col min="4582" max="4582" width="10.75" style="1761" customWidth="1"/>
    <col min="4583" max="4585" width="9" style="1761" customWidth="1"/>
    <col min="4586" max="4813" width="9" style="1761"/>
    <col min="4814" max="4814" width="5.125" style="1761" customWidth="1"/>
    <col min="4815" max="4815" width="32.375" style="1761" customWidth="1"/>
    <col min="4816" max="4818" width="10.25" style="1761" customWidth="1"/>
    <col min="4819" max="4820" width="12.375" style="1761" customWidth="1"/>
    <col min="4821" max="4821" width="11.25" style="1761" customWidth="1"/>
    <col min="4822" max="4822" width="12.375" style="1761" customWidth="1"/>
    <col min="4823" max="4823" width="11.25" style="1761" customWidth="1"/>
    <col min="4824" max="4824" width="12.375" style="1761" customWidth="1"/>
    <col min="4825" max="4825" width="11.25" style="1761" customWidth="1"/>
    <col min="4826" max="4826" width="12.375" style="1761" customWidth="1"/>
    <col min="4827" max="4827" width="11.25" style="1761" customWidth="1"/>
    <col min="4828" max="4828" width="12.375" style="1761" customWidth="1"/>
    <col min="4829" max="4829" width="11.25" style="1761" customWidth="1"/>
    <col min="4830" max="4830" width="14.125" style="1761" customWidth="1"/>
    <col min="4831" max="4831" width="10.25" style="1761" customWidth="1"/>
    <col min="4832" max="4832" width="17.125" style="1761" customWidth="1"/>
    <col min="4833" max="4833" width="12" style="1761" customWidth="1"/>
    <col min="4834" max="4834" width="14.125" style="1761" customWidth="1"/>
    <col min="4835" max="4835" width="10.25" style="1761" customWidth="1"/>
    <col min="4836" max="4836" width="17.125" style="1761" customWidth="1"/>
    <col min="4837" max="4837" width="12" style="1761" customWidth="1"/>
    <col min="4838" max="4838" width="10.75" style="1761" customWidth="1"/>
    <col min="4839" max="4841" width="9" style="1761" customWidth="1"/>
    <col min="4842" max="5069" width="9" style="1761"/>
    <col min="5070" max="5070" width="5.125" style="1761" customWidth="1"/>
    <col min="5071" max="5071" width="32.375" style="1761" customWidth="1"/>
    <col min="5072" max="5074" width="10.25" style="1761" customWidth="1"/>
    <col min="5075" max="5076" width="12.375" style="1761" customWidth="1"/>
    <col min="5077" max="5077" width="11.25" style="1761" customWidth="1"/>
    <col min="5078" max="5078" width="12.375" style="1761" customWidth="1"/>
    <col min="5079" max="5079" width="11.25" style="1761" customWidth="1"/>
    <col min="5080" max="5080" width="12.375" style="1761" customWidth="1"/>
    <col min="5081" max="5081" width="11.25" style="1761" customWidth="1"/>
    <col min="5082" max="5082" width="12.375" style="1761" customWidth="1"/>
    <col min="5083" max="5083" width="11.25" style="1761" customWidth="1"/>
    <col min="5084" max="5084" width="12.375" style="1761" customWidth="1"/>
    <col min="5085" max="5085" width="11.25" style="1761" customWidth="1"/>
    <col min="5086" max="5086" width="14.125" style="1761" customWidth="1"/>
    <col min="5087" max="5087" width="10.25" style="1761" customWidth="1"/>
    <col min="5088" max="5088" width="17.125" style="1761" customWidth="1"/>
    <col min="5089" max="5089" width="12" style="1761" customWidth="1"/>
    <col min="5090" max="5090" width="14.125" style="1761" customWidth="1"/>
    <col min="5091" max="5091" width="10.25" style="1761" customWidth="1"/>
    <col min="5092" max="5092" width="17.125" style="1761" customWidth="1"/>
    <col min="5093" max="5093" width="12" style="1761" customWidth="1"/>
    <col min="5094" max="5094" width="10.75" style="1761" customWidth="1"/>
    <col min="5095" max="5097" width="9" style="1761" customWidth="1"/>
    <col min="5098" max="5325" width="9" style="1761"/>
    <col min="5326" max="5326" width="5.125" style="1761" customWidth="1"/>
    <col min="5327" max="5327" width="32.375" style="1761" customWidth="1"/>
    <col min="5328" max="5330" width="10.25" style="1761" customWidth="1"/>
    <col min="5331" max="5332" width="12.375" style="1761" customWidth="1"/>
    <col min="5333" max="5333" width="11.25" style="1761" customWidth="1"/>
    <col min="5334" max="5334" width="12.375" style="1761" customWidth="1"/>
    <col min="5335" max="5335" width="11.25" style="1761" customWidth="1"/>
    <col min="5336" max="5336" width="12.375" style="1761" customWidth="1"/>
    <col min="5337" max="5337" width="11.25" style="1761" customWidth="1"/>
    <col min="5338" max="5338" width="12.375" style="1761" customWidth="1"/>
    <col min="5339" max="5339" width="11.25" style="1761" customWidth="1"/>
    <col min="5340" max="5340" width="12.375" style="1761" customWidth="1"/>
    <col min="5341" max="5341" width="11.25" style="1761" customWidth="1"/>
    <col min="5342" max="5342" width="14.125" style="1761" customWidth="1"/>
    <col min="5343" max="5343" width="10.25" style="1761" customWidth="1"/>
    <col min="5344" max="5344" width="17.125" style="1761" customWidth="1"/>
    <col min="5345" max="5345" width="12" style="1761" customWidth="1"/>
    <col min="5346" max="5346" width="14.125" style="1761" customWidth="1"/>
    <col min="5347" max="5347" width="10.25" style="1761" customWidth="1"/>
    <col min="5348" max="5348" width="17.125" style="1761" customWidth="1"/>
    <col min="5349" max="5349" width="12" style="1761" customWidth="1"/>
    <col min="5350" max="5350" width="10.75" style="1761" customWidth="1"/>
    <col min="5351" max="5353" width="9" style="1761" customWidth="1"/>
    <col min="5354" max="5581" width="9" style="1761"/>
    <col min="5582" max="5582" width="5.125" style="1761" customWidth="1"/>
    <col min="5583" max="5583" width="32.375" style="1761" customWidth="1"/>
    <col min="5584" max="5586" width="10.25" style="1761" customWidth="1"/>
    <col min="5587" max="5588" width="12.375" style="1761" customWidth="1"/>
    <col min="5589" max="5589" width="11.25" style="1761" customWidth="1"/>
    <col min="5590" max="5590" width="12.375" style="1761" customWidth="1"/>
    <col min="5591" max="5591" width="11.25" style="1761" customWidth="1"/>
    <col min="5592" max="5592" width="12.375" style="1761" customWidth="1"/>
    <col min="5593" max="5593" width="11.25" style="1761" customWidth="1"/>
    <col min="5594" max="5594" width="12.375" style="1761" customWidth="1"/>
    <col min="5595" max="5595" width="11.25" style="1761" customWidth="1"/>
    <col min="5596" max="5596" width="12.375" style="1761" customWidth="1"/>
    <col min="5597" max="5597" width="11.25" style="1761" customWidth="1"/>
    <col min="5598" max="5598" width="14.125" style="1761" customWidth="1"/>
    <col min="5599" max="5599" width="10.25" style="1761" customWidth="1"/>
    <col min="5600" max="5600" width="17.125" style="1761" customWidth="1"/>
    <col min="5601" max="5601" width="12" style="1761" customWidth="1"/>
    <col min="5602" max="5602" width="14.125" style="1761" customWidth="1"/>
    <col min="5603" max="5603" width="10.25" style="1761" customWidth="1"/>
    <col min="5604" max="5604" width="17.125" style="1761" customWidth="1"/>
    <col min="5605" max="5605" width="12" style="1761" customWidth="1"/>
    <col min="5606" max="5606" width="10.75" style="1761" customWidth="1"/>
    <col min="5607" max="5609" width="9" style="1761" customWidth="1"/>
    <col min="5610" max="5837" width="9" style="1761"/>
    <col min="5838" max="5838" width="5.125" style="1761" customWidth="1"/>
    <col min="5839" max="5839" width="32.375" style="1761" customWidth="1"/>
    <col min="5840" max="5842" width="10.25" style="1761" customWidth="1"/>
    <col min="5843" max="5844" width="12.375" style="1761" customWidth="1"/>
    <col min="5845" max="5845" width="11.25" style="1761" customWidth="1"/>
    <col min="5846" max="5846" width="12.375" style="1761" customWidth="1"/>
    <col min="5847" max="5847" width="11.25" style="1761" customWidth="1"/>
    <col min="5848" max="5848" width="12.375" style="1761" customWidth="1"/>
    <col min="5849" max="5849" width="11.25" style="1761" customWidth="1"/>
    <col min="5850" max="5850" width="12.375" style="1761" customWidth="1"/>
    <col min="5851" max="5851" width="11.25" style="1761" customWidth="1"/>
    <col min="5852" max="5852" width="12.375" style="1761" customWidth="1"/>
    <col min="5853" max="5853" width="11.25" style="1761" customWidth="1"/>
    <col min="5854" max="5854" width="14.125" style="1761" customWidth="1"/>
    <col min="5855" max="5855" width="10.25" style="1761" customWidth="1"/>
    <col min="5856" max="5856" width="17.125" style="1761" customWidth="1"/>
    <col min="5857" max="5857" width="12" style="1761" customWidth="1"/>
    <col min="5858" max="5858" width="14.125" style="1761" customWidth="1"/>
    <col min="5859" max="5859" width="10.25" style="1761" customWidth="1"/>
    <col min="5860" max="5860" width="17.125" style="1761" customWidth="1"/>
    <col min="5861" max="5861" width="12" style="1761" customWidth="1"/>
    <col min="5862" max="5862" width="10.75" style="1761" customWidth="1"/>
    <col min="5863" max="5865" width="9" style="1761" customWidth="1"/>
    <col min="5866" max="6093" width="9" style="1761"/>
    <col min="6094" max="6094" width="5.125" style="1761" customWidth="1"/>
    <col min="6095" max="6095" width="32.375" style="1761" customWidth="1"/>
    <col min="6096" max="6098" width="10.25" style="1761" customWidth="1"/>
    <col min="6099" max="6100" width="12.375" style="1761" customWidth="1"/>
    <col min="6101" max="6101" width="11.25" style="1761" customWidth="1"/>
    <col min="6102" max="6102" width="12.375" style="1761" customWidth="1"/>
    <col min="6103" max="6103" width="11.25" style="1761" customWidth="1"/>
    <col min="6104" max="6104" width="12.375" style="1761" customWidth="1"/>
    <col min="6105" max="6105" width="11.25" style="1761" customWidth="1"/>
    <col min="6106" max="6106" width="12.375" style="1761" customWidth="1"/>
    <col min="6107" max="6107" width="11.25" style="1761" customWidth="1"/>
    <col min="6108" max="6108" width="12.375" style="1761" customWidth="1"/>
    <col min="6109" max="6109" width="11.25" style="1761" customWidth="1"/>
    <col min="6110" max="6110" width="14.125" style="1761" customWidth="1"/>
    <col min="6111" max="6111" width="10.25" style="1761" customWidth="1"/>
    <col min="6112" max="6112" width="17.125" style="1761" customWidth="1"/>
    <col min="6113" max="6113" width="12" style="1761" customWidth="1"/>
    <col min="6114" max="6114" width="14.125" style="1761" customWidth="1"/>
    <col min="6115" max="6115" width="10.25" style="1761" customWidth="1"/>
    <col min="6116" max="6116" width="17.125" style="1761" customWidth="1"/>
    <col min="6117" max="6117" width="12" style="1761" customWidth="1"/>
    <col min="6118" max="6118" width="10.75" style="1761" customWidth="1"/>
    <col min="6119" max="6121" width="9" style="1761" customWidth="1"/>
    <col min="6122" max="6349" width="9" style="1761"/>
    <col min="6350" max="6350" width="5.125" style="1761" customWidth="1"/>
    <col min="6351" max="6351" width="32.375" style="1761" customWidth="1"/>
    <col min="6352" max="6354" width="10.25" style="1761" customWidth="1"/>
    <col min="6355" max="6356" width="12.375" style="1761" customWidth="1"/>
    <col min="6357" max="6357" width="11.25" style="1761" customWidth="1"/>
    <col min="6358" max="6358" width="12.375" style="1761" customWidth="1"/>
    <col min="6359" max="6359" width="11.25" style="1761" customWidth="1"/>
    <col min="6360" max="6360" width="12.375" style="1761" customWidth="1"/>
    <col min="6361" max="6361" width="11.25" style="1761" customWidth="1"/>
    <col min="6362" max="6362" width="12.375" style="1761" customWidth="1"/>
    <col min="6363" max="6363" width="11.25" style="1761" customWidth="1"/>
    <col min="6364" max="6364" width="12.375" style="1761" customWidth="1"/>
    <col min="6365" max="6365" width="11.25" style="1761" customWidth="1"/>
    <col min="6366" max="6366" width="14.125" style="1761" customWidth="1"/>
    <col min="6367" max="6367" width="10.25" style="1761" customWidth="1"/>
    <col min="6368" max="6368" width="17.125" style="1761" customWidth="1"/>
    <col min="6369" max="6369" width="12" style="1761" customWidth="1"/>
    <col min="6370" max="6370" width="14.125" style="1761" customWidth="1"/>
    <col min="6371" max="6371" width="10.25" style="1761" customWidth="1"/>
    <col min="6372" max="6372" width="17.125" style="1761" customWidth="1"/>
    <col min="6373" max="6373" width="12" style="1761" customWidth="1"/>
    <col min="6374" max="6374" width="10.75" style="1761" customWidth="1"/>
    <col min="6375" max="6377" width="9" style="1761" customWidth="1"/>
    <col min="6378" max="6605" width="9" style="1761"/>
    <col min="6606" max="6606" width="5.125" style="1761" customWidth="1"/>
    <col min="6607" max="6607" width="32.375" style="1761" customWidth="1"/>
    <col min="6608" max="6610" width="10.25" style="1761" customWidth="1"/>
    <col min="6611" max="6612" width="12.375" style="1761" customWidth="1"/>
    <col min="6613" max="6613" width="11.25" style="1761" customWidth="1"/>
    <col min="6614" max="6614" width="12.375" style="1761" customWidth="1"/>
    <col min="6615" max="6615" width="11.25" style="1761" customWidth="1"/>
    <col min="6616" max="6616" width="12.375" style="1761" customWidth="1"/>
    <col min="6617" max="6617" width="11.25" style="1761" customWidth="1"/>
    <col min="6618" max="6618" width="12.375" style="1761" customWidth="1"/>
    <col min="6619" max="6619" width="11.25" style="1761" customWidth="1"/>
    <col min="6620" max="6620" width="12.375" style="1761" customWidth="1"/>
    <col min="6621" max="6621" width="11.25" style="1761" customWidth="1"/>
    <col min="6622" max="6622" width="14.125" style="1761" customWidth="1"/>
    <col min="6623" max="6623" width="10.25" style="1761" customWidth="1"/>
    <col min="6624" max="6624" width="17.125" style="1761" customWidth="1"/>
    <col min="6625" max="6625" width="12" style="1761" customWidth="1"/>
    <col min="6626" max="6626" width="14.125" style="1761" customWidth="1"/>
    <col min="6627" max="6627" width="10.25" style="1761" customWidth="1"/>
    <col min="6628" max="6628" width="17.125" style="1761" customWidth="1"/>
    <col min="6629" max="6629" width="12" style="1761" customWidth="1"/>
    <col min="6630" max="6630" width="10.75" style="1761" customWidth="1"/>
    <col min="6631" max="6633" width="9" style="1761" customWidth="1"/>
    <col min="6634" max="6861" width="9" style="1761"/>
    <col min="6862" max="6862" width="5.125" style="1761" customWidth="1"/>
    <col min="6863" max="6863" width="32.375" style="1761" customWidth="1"/>
    <col min="6864" max="6866" width="10.25" style="1761" customWidth="1"/>
    <col min="6867" max="6868" width="12.375" style="1761" customWidth="1"/>
    <col min="6869" max="6869" width="11.25" style="1761" customWidth="1"/>
    <col min="6870" max="6870" width="12.375" style="1761" customWidth="1"/>
    <col min="6871" max="6871" width="11.25" style="1761" customWidth="1"/>
    <col min="6872" max="6872" width="12.375" style="1761" customWidth="1"/>
    <col min="6873" max="6873" width="11.25" style="1761" customWidth="1"/>
    <col min="6874" max="6874" width="12.375" style="1761" customWidth="1"/>
    <col min="6875" max="6875" width="11.25" style="1761" customWidth="1"/>
    <col min="6876" max="6876" width="12.375" style="1761" customWidth="1"/>
    <col min="6877" max="6877" width="11.25" style="1761" customWidth="1"/>
    <col min="6878" max="6878" width="14.125" style="1761" customWidth="1"/>
    <col min="6879" max="6879" width="10.25" style="1761" customWidth="1"/>
    <col min="6880" max="6880" width="17.125" style="1761" customWidth="1"/>
    <col min="6881" max="6881" width="12" style="1761" customWidth="1"/>
    <col min="6882" max="6882" width="14.125" style="1761" customWidth="1"/>
    <col min="6883" max="6883" width="10.25" style="1761" customWidth="1"/>
    <col min="6884" max="6884" width="17.125" style="1761" customWidth="1"/>
    <col min="6885" max="6885" width="12" style="1761" customWidth="1"/>
    <col min="6886" max="6886" width="10.75" style="1761" customWidth="1"/>
    <col min="6887" max="6889" width="9" style="1761" customWidth="1"/>
    <col min="6890" max="7117" width="9" style="1761"/>
    <col min="7118" max="7118" width="5.125" style="1761" customWidth="1"/>
    <col min="7119" max="7119" width="32.375" style="1761" customWidth="1"/>
    <col min="7120" max="7122" width="10.25" style="1761" customWidth="1"/>
    <col min="7123" max="7124" width="12.375" style="1761" customWidth="1"/>
    <col min="7125" max="7125" width="11.25" style="1761" customWidth="1"/>
    <col min="7126" max="7126" width="12.375" style="1761" customWidth="1"/>
    <col min="7127" max="7127" width="11.25" style="1761" customWidth="1"/>
    <col min="7128" max="7128" width="12.375" style="1761" customWidth="1"/>
    <col min="7129" max="7129" width="11.25" style="1761" customWidth="1"/>
    <col min="7130" max="7130" width="12.375" style="1761" customWidth="1"/>
    <col min="7131" max="7131" width="11.25" style="1761" customWidth="1"/>
    <col min="7132" max="7132" width="12.375" style="1761" customWidth="1"/>
    <col min="7133" max="7133" width="11.25" style="1761" customWidth="1"/>
    <col min="7134" max="7134" width="14.125" style="1761" customWidth="1"/>
    <col min="7135" max="7135" width="10.25" style="1761" customWidth="1"/>
    <col min="7136" max="7136" width="17.125" style="1761" customWidth="1"/>
    <col min="7137" max="7137" width="12" style="1761" customWidth="1"/>
    <col min="7138" max="7138" width="14.125" style="1761" customWidth="1"/>
    <col min="7139" max="7139" width="10.25" style="1761" customWidth="1"/>
    <col min="7140" max="7140" width="17.125" style="1761" customWidth="1"/>
    <col min="7141" max="7141" width="12" style="1761" customWidth="1"/>
    <col min="7142" max="7142" width="10.75" style="1761" customWidth="1"/>
    <col min="7143" max="7145" width="9" style="1761" customWidth="1"/>
    <col min="7146" max="7373" width="9" style="1761"/>
    <col min="7374" max="7374" width="5.125" style="1761" customWidth="1"/>
    <col min="7375" max="7375" width="32.375" style="1761" customWidth="1"/>
    <col min="7376" max="7378" width="10.25" style="1761" customWidth="1"/>
    <col min="7379" max="7380" width="12.375" style="1761" customWidth="1"/>
    <col min="7381" max="7381" width="11.25" style="1761" customWidth="1"/>
    <col min="7382" max="7382" width="12.375" style="1761" customWidth="1"/>
    <col min="7383" max="7383" width="11.25" style="1761" customWidth="1"/>
    <col min="7384" max="7384" width="12.375" style="1761" customWidth="1"/>
    <col min="7385" max="7385" width="11.25" style="1761" customWidth="1"/>
    <col min="7386" max="7386" width="12.375" style="1761" customWidth="1"/>
    <col min="7387" max="7387" width="11.25" style="1761" customWidth="1"/>
    <col min="7388" max="7388" width="12.375" style="1761" customWidth="1"/>
    <col min="7389" max="7389" width="11.25" style="1761" customWidth="1"/>
    <col min="7390" max="7390" width="14.125" style="1761" customWidth="1"/>
    <col min="7391" max="7391" width="10.25" style="1761" customWidth="1"/>
    <col min="7392" max="7392" width="17.125" style="1761" customWidth="1"/>
    <col min="7393" max="7393" width="12" style="1761" customWidth="1"/>
    <col min="7394" max="7394" width="14.125" style="1761" customWidth="1"/>
    <col min="7395" max="7395" width="10.25" style="1761" customWidth="1"/>
    <col min="7396" max="7396" width="17.125" style="1761" customWidth="1"/>
    <col min="7397" max="7397" width="12" style="1761" customWidth="1"/>
    <col min="7398" max="7398" width="10.75" style="1761" customWidth="1"/>
    <col min="7399" max="7401" width="9" style="1761" customWidth="1"/>
    <col min="7402" max="7629" width="9" style="1761"/>
    <col min="7630" max="7630" width="5.125" style="1761" customWidth="1"/>
    <col min="7631" max="7631" width="32.375" style="1761" customWidth="1"/>
    <col min="7632" max="7634" width="10.25" style="1761" customWidth="1"/>
    <col min="7635" max="7636" width="12.375" style="1761" customWidth="1"/>
    <col min="7637" max="7637" width="11.25" style="1761" customWidth="1"/>
    <col min="7638" max="7638" width="12.375" style="1761" customWidth="1"/>
    <col min="7639" max="7639" width="11.25" style="1761" customWidth="1"/>
    <col min="7640" max="7640" width="12.375" style="1761" customWidth="1"/>
    <col min="7641" max="7641" width="11.25" style="1761" customWidth="1"/>
    <col min="7642" max="7642" width="12.375" style="1761" customWidth="1"/>
    <col min="7643" max="7643" width="11.25" style="1761" customWidth="1"/>
    <col min="7644" max="7644" width="12.375" style="1761" customWidth="1"/>
    <col min="7645" max="7645" width="11.25" style="1761" customWidth="1"/>
    <col min="7646" max="7646" width="14.125" style="1761" customWidth="1"/>
    <col min="7647" max="7647" width="10.25" style="1761" customWidth="1"/>
    <col min="7648" max="7648" width="17.125" style="1761" customWidth="1"/>
    <col min="7649" max="7649" width="12" style="1761" customWidth="1"/>
    <col min="7650" max="7650" width="14.125" style="1761" customWidth="1"/>
    <col min="7651" max="7651" width="10.25" style="1761" customWidth="1"/>
    <col min="7652" max="7652" width="17.125" style="1761" customWidth="1"/>
    <col min="7653" max="7653" width="12" style="1761" customWidth="1"/>
    <col min="7654" max="7654" width="10.75" style="1761" customWidth="1"/>
    <col min="7655" max="7657" width="9" style="1761" customWidth="1"/>
    <col min="7658" max="7885" width="9" style="1761"/>
    <col min="7886" max="7886" width="5.125" style="1761" customWidth="1"/>
    <col min="7887" max="7887" width="32.375" style="1761" customWidth="1"/>
    <col min="7888" max="7890" width="10.25" style="1761" customWidth="1"/>
    <col min="7891" max="7892" width="12.375" style="1761" customWidth="1"/>
    <col min="7893" max="7893" width="11.25" style="1761" customWidth="1"/>
    <col min="7894" max="7894" width="12.375" style="1761" customWidth="1"/>
    <col min="7895" max="7895" width="11.25" style="1761" customWidth="1"/>
    <col min="7896" max="7896" width="12.375" style="1761" customWidth="1"/>
    <col min="7897" max="7897" width="11.25" style="1761" customWidth="1"/>
    <col min="7898" max="7898" width="12.375" style="1761" customWidth="1"/>
    <col min="7899" max="7899" width="11.25" style="1761" customWidth="1"/>
    <col min="7900" max="7900" width="12.375" style="1761" customWidth="1"/>
    <col min="7901" max="7901" width="11.25" style="1761" customWidth="1"/>
    <col min="7902" max="7902" width="14.125" style="1761" customWidth="1"/>
    <col min="7903" max="7903" width="10.25" style="1761" customWidth="1"/>
    <col min="7904" max="7904" width="17.125" style="1761" customWidth="1"/>
    <col min="7905" max="7905" width="12" style="1761" customWidth="1"/>
    <col min="7906" max="7906" width="14.125" style="1761" customWidth="1"/>
    <col min="7907" max="7907" width="10.25" style="1761" customWidth="1"/>
    <col min="7908" max="7908" width="17.125" style="1761" customWidth="1"/>
    <col min="7909" max="7909" width="12" style="1761" customWidth="1"/>
    <col min="7910" max="7910" width="10.75" style="1761" customWidth="1"/>
    <col min="7911" max="7913" width="9" style="1761" customWidth="1"/>
    <col min="7914" max="8141" width="9" style="1761"/>
    <col min="8142" max="8142" width="5.125" style="1761" customWidth="1"/>
    <col min="8143" max="8143" width="32.375" style="1761" customWidth="1"/>
    <col min="8144" max="8146" width="10.25" style="1761" customWidth="1"/>
    <col min="8147" max="8148" width="12.375" style="1761" customWidth="1"/>
    <col min="8149" max="8149" width="11.25" style="1761" customWidth="1"/>
    <col min="8150" max="8150" width="12.375" style="1761" customWidth="1"/>
    <col min="8151" max="8151" width="11.25" style="1761" customWidth="1"/>
    <col min="8152" max="8152" width="12.375" style="1761" customWidth="1"/>
    <col min="8153" max="8153" width="11.25" style="1761" customWidth="1"/>
    <col min="8154" max="8154" width="12.375" style="1761" customWidth="1"/>
    <col min="8155" max="8155" width="11.25" style="1761" customWidth="1"/>
    <col min="8156" max="8156" width="12.375" style="1761" customWidth="1"/>
    <col min="8157" max="8157" width="11.25" style="1761" customWidth="1"/>
    <col min="8158" max="8158" width="14.125" style="1761" customWidth="1"/>
    <col min="8159" max="8159" width="10.25" style="1761" customWidth="1"/>
    <col min="8160" max="8160" width="17.125" style="1761" customWidth="1"/>
    <col min="8161" max="8161" width="12" style="1761" customWidth="1"/>
    <col min="8162" max="8162" width="14.125" style="1761" customWidth="1"/>
    <col min="8163" max="8163" width="10.25" style="1761" customWidth="1"/>
    <col min="8164" max="8164" width="17.125" style="1761" customWidth="1"/>
    <col min="8165" max="8165" width="12" style="1761" customWidth="1"/>
    <col min="8166" max="8166" width="10.75" style="1761" customWidth="1"/>
    <col min="8167" max="8169" width="9" style="1761" customWidth="1"/>
    <col min="8170" max="8397" width="9" style="1761"/>
    <col min="8398" max="8398" width="5.125" style="1761" customWidth="1"/>
    <col min="8399" max="8399" width="32.375" style="1761" customWidth="1"/>
    <col min="8400" max="8402" width="10.25" style="1761" customWidth="1"/>
    <col min="8403" max="8404" width="12.375" style="1761" customWidth="1"/>
    <col min="8405" max="8405" width="11.25" style="1761" customWidth="1"/>
    <col min="8406" max="8406" width="12.375" style="1761" customWidth="1"/>
    <col min="8407" max="8407" width="11.25" style="1761" customWidth="1"/>
    <col min="8408" max="8408" width="12.375" style="1761" customWidth="1"/>
    <col min="8409" max="8409" width="11.25" style="1761" customWidth="1"/>
    <col min="8410" max="8410" width="12.375" style="1761" customWidth="1"/>
    <col min="8411" max="8411" width="11.25" style="1761" customWidth="1"/>
    <col min="8412" max="8412" width="12.375" style="1761" customWidth="1"/>
    <col min="8413" max="8413" width="11.25" style="1761" customWidth="1"/>
    <col min="8414" max="8414" width="14.125" style="1761" customWidth="1"/>
    <col min="8415" max="8415" width="10.25" style="1761" customWidth="1"/>
    <col min="8416" max="8416" width="17.125" style="1761" customWidth="1"/>
    <col min="8417" max="8417" width="12" style="1761" customWidth="1"/>
    <col min="8418" max="8418" width="14.125" style="1761" customWidth="1"/>
    <col min="8419" max="8419" width="10.25" style="1761" customWidth="1"/>
    <col min="8420" max="8420" width="17.125" style="1761" customWidth="1"/>
    <col min="8421" max="8421" width="12" style="1761" customWidth="1"/>
    <col min="8422" max="8422" width="10.75" style="1761" customWidth="1"/>
    <col min="8423" max="8425" width="9" style="1761" customWidth="1"/>
    <col min="8426" max="8653" width="9" style="1761"/>
    <col min="8654" max="8654" width="5.125" style="1761" customWidth="1"/>
    <col min="8655" max="8655" width="32.375" style="1761" customWidth="1"/>
    <col min="8656" max="8658" width="10.25" style="1761" customWidth="1"/>
    <col min="8659" max="8660" width="12.375" style="1761" customWidth="1"/>
    <col min="8661" max="8661" width="11.25" style="1761" customWidth="1"/>
    <col min="8662" max="8662" width="12.375" style="1761" customWidth="1"/>
    <col min="8663" max="8663" width="11.25" style="1761" customWidth="1"/>
    <col min="8664" max="8664" width="12.375" style="1761" customWidth="1"/>
    <col min="8665" max="8665" width="11.25" style="1761" customWidth="1"/>
    <col min="8666" max="8666" width="12.375" style="1761" customWidth="1"/>
    <col min="8667" max="8667" width="11.25" style="1761" customWidth="1"/>
    <col min="8668" max="8668" width="12.375" style="1761" customWidth="1"/>
    <col min="8669" max="8669" width="11.25" style="1761" customWidth="1"/>
    <col min="8670" max="8670" width="14.125" style="1761" customWidth="1"/>
    <col min="8671" max="8671" width="10.25" style="1761" customWidth="1"/>
    <col min="8672" max="8672" width="17.125" style="1761" customWidth="1"/>
    <col min="8673" max="8673" width="12" style="1761" customWidth="1"/>
    <col min="8674" max="8674" width="14.125" style="1761" customWidth="1"/>
    <col min="8675" max="8675" width="10.25" style="1761" customWidth="1"/>
    <col min="8676" max="8676" width="17.125" style="1761" customWidth="1"/>
    <col min="8677" max="8677" width="12" style="1761" customWidth="1"/>
    <col min="8678" max="8678" width="10.75" style="1761" customWidth="1"/>
    <col min="8679" max="8681" width="9" style="1761" customWidth="1"/>
    <col min="8682" max="8909" width="9" style="1761"/>
    <col min="8910" max="8910" width="5.125" style="1761" customWidth="1"/>
    <col min="8911" max="8911" width="32.375" style="1761" customWidth="1"/>
    <col min="8912" max="8914" width="10.25" style="1761" customWidth="1"/>
    <col min="8915" max="8916" width="12.375" style="1761" customWidth="1"/>
    <col min="8917" max="8917" width="11.25" style="1761" customWidth="1"/>
    <col min="8918" max="8918" width="12.375" style="1761" customWidth="1"/>
    <col min="8919" max="8919" width="11.25" style="1761" customWidth="1"/>
    <col min="8920" max="8920" width="12.375" style="1761" customWidth="1"/>
    <col min="8921" max="8921" width="11.25" style="1761" customWidth="1"/>
    <col min="8922" max="8922" width="12.375" style="1761" customWidth="1"/>
    <col min="8923" max="8923" width="11.25" style="1761" customWidth="1"/>
    <col min="8924" max="8924" width="12.375" style="1761" customWidth="1"/>
    <col min="8925" max="8925" width="11.25" style="1761" customWidth="1"/>
    <col min="8926" max="8926" width="14.125" style="1761" customWidth="1"/>
    <col min="8927" max="8927" width="10.25" style="1761" customWidth="1"/>
    <col min="8928" max="8928" width="17.125" style="1761" customWidth="1"/>
    <col min="8929" max="8929" width="12" style="1761" customWidth="1"/>
    <col min="8930" max="8930" width="14.125" style="1761" customWidth="1"/>
    <col min="8931" max="8931" width="10.25" style="1761" customWidth="1"/>
    <col min="8932" max="8932" width="17.125" style="1761" customWidth="1"/>
    <col min="8933" max="8933" width="12" style="1761" customWidth="1"/>
    <col min="8934" max="8934" width="10.75" style="1761" customWidth="1"/>
    <col min="8935" max="8937" width="9" style="1761" customWidth="1"/>
    <col min="8938" max="9165" width="9" style="1761"/>
    <col min="9166" max="9166" width="5.125" style="1761" customWidth="1"/>
    <col min="9167" max="9167" width="32.375" style="1761" customWidth="1"/>
    <col min="9168" max="9170" width="10.25" style="1761" customWidth="1"/>
    <col min="9171" max="9172" width="12.375" style="1761" customWidth="1"/>
    <col min="9173" max="9173" width="11.25" style="1761" customWidth="1"/>
    <col min="9174" max="9174" width="12.375" style="1761" customWidth="1"/>
    <col min="9175" max="9175" width="11.25" style="1761" customWidth="1"/>
    <col min="9176" max="9176" width="12.375" style="1761" customWidth="1"/>
    <col min="9177" max="9177" width="11.25" style="1761" customWidth="1"/>
    <col min="9178" max="9178" width="12.375" style="1761" customWidth="1"/>
    <col min="9179" max="9179" width="11.25" style="1761" customWidth="1"/>
    <col min="9180" max="9180" width="12.375" style="1761" customWidth="1"/>
    <col min="9181" max="9181" width="11.25" style="1761" customWidth="1"/>
    <col min="9182" max="9182" width="14.125" style="1761" customWidth="1"/>
    <col min="9183" max="9183" width="10.25" style="1761" customWidth="1"/>
    <col min="9184" max="9184" width="17.125" style="1761" customWidth="1"/>
    <col min="9185" max="9185" width="12" style="1761" customWidth="1"/>
    <col min="9186" max="9186" width="14.125" style="1761" customWidth="1"/>
    <col min="9187" max="9187" width="10.25" style="1761" customWidth="1"/>
    <col min="9188" max="9188" width="17.125" style="1761" customWidth="1"/>
    <col min="9189" max="9189" width="12" style="1761" customWidth="1"/>
    <col min="9190" max="9190" width="10.75" style="1761" customWidth="1"/>
    <col min="9191" max="9193" width="9" style="1761" customWidth="1"/>
    <col min="9194" max="9421" width="9" style="1761"/>
    <col min="9422" max="9422" width="5.125" style="1761" customWidth="1"/>
    <col min="9423" max="9423" width="32.375" style="1761" customWidth="1"/>
    <col min="9424" max="9426" width="10.25" style="1761" customWidth="1"/>
    <col min="9427" max="9428" width="12.375" style="1761" customWidth="1"/>
    <col min="9429" max="9429" width="11.25" style="1761" customWidth="1"/>
    <col min="9430" max="9430" width="12.375" style="1761" customWidth="1"/>
    <col min="9431" max="9431" width="11.25" style="1761" customWidth="1"/>
    <col min="9432" max="9432" width="12.375" style="1761" customWidth="1"/>
    <col min="9433" max="9433" width="11.25" style="1761" customWidth="1"/>
    <col min="9434" max="9434" width="12.375" style="1761" customWidth="1"/>
    <col min="9435" max="9435" width="11.25" style="1761" customWidth="1"/>
    <col min="9436" max="9436" width="12.375" style="1761" customWidth="1"/>
    <col min="9437" max="9437" width="11.25" style="1761" customWidth="1"/>
    <col min="9438" max="9438" width="14.125" style="1761" customWidth="1"/>
    <col min="9439" max="9439" width="10.25" style="1761" customWidth="1"/>
    <col min="9440" max="9440" width="17.125" style="1761" customWidth="1"/>
    <col min="9441" max="9441" width="12" style="1761" customWidth="1"/>
    <col min="9442" max="9442" width="14.125" style="1761" customWidth="1"/>
    <col min="9443" max="9443" width="10.25" style="1761" customWidth="1"/>
    <col min="9444" max="9444" width="17.125" style="1761" customWidth="1"/>
    <col min="9445" max="9445" width="12" style="1761" customWidth="1"/>
    <col min="9446" max="9446" width="10.75" style="1761" customWidth="1"/>
    <col min="9447" max="9449" width="9" style="1761" customWidth="1"/>
    <col min="9450" max="9677" width="9" style="1761"/>
    <col min="9678" max="9678" width="5.125" style="1761" customWidth="1"/>
    <col min="9679" max="9679" width="32.375" style="1761" customWidth="1"/>
    <col min="9680" max="9682" width="10.25" style="1761" customWidth="1"/>
    <col min="9683" max="9684" width="12.375" style="1761" customWidth="1"/>
    <col min="9685" max="9685" width="11.25" style="1761" customWidth="1"/>
    <col min="9686" max="9686" width="12.375" style="1761" customWidth="1"/>
    <col min="9687" max="9687" width="11.25" style="1761" customWidth="1"/>
    <col min="9688" max="9688" width="12.375" style="1761" customWidth="1"/>
    <col min="9689" max="9689" width="11.25" style="1761" customWidth="1"/>
    <col min="9690" max="9690" width="12.375" style="1761" customWidth="1"/>
    <col min="9691" max="9691" width="11.25" style="1761" customWidth="1"/>
    <col min="9692" max="9692" width="12.375" style="1761" customWidth="1"/>
    <col min="9693" max="9693" width="11.25" style="1761" customWidth="1"/>
    <col min="9694" max="9694" width="14.125" style="1761" customWidth="1"/>
    <col min="9695" max="9695" width="10.25" style="1761" customWidth="1"/>
    <col min="9696" max="9696" width="17.125" style="1761" customWidth="1"/>
    <col min="9697" max="9697" width="12" style="1761" customWidth="1"/>
    <col min="9698" max="9698" width="14.125" style="1761" customWidth="1"/>
    <col min="9699" max="9699" width="10.25" style="1761" customWidth="1"/>
    <col min="9700" max="9700" width="17.125" style="1761" customWidth="1"/>
    <col min="9701" max="9701" width="12" style="1761" customWidth="1"/>
    <col min="9702" max="9702" width="10.75" style="1761" customWidth="1"/>
    <col min="9703" max="9705" width="9" style="1761" customWidth="1"/>
    <col min="9706" max="9933" width="9" style="1761"/>
    <col min="9934" max="9934" width="5.125" style="1761" customWidth="1"/>
    <col min="9935" max="9935" width="32.375" style="1761" customWidth="1"/>
    <col min="9936" max="9938" width="10.25" style="1761" customWidth="1"/>
    <col min="9939" max="9940" width="12.375" style="1761" customWidth="1"/>
    <col min="9941" max="9941" width="11.25" style="1761" customWidth="1"/>
    <col min="9942" max="9942" width="12.375" style="1761" customWidth="1"/>
    <col min="9943" max="9943" width="11.25" style="1761" customWidth="1"/>
    <col min="9944" max="9944" width="12.375" style="1761" customWidth="1"/>
    <col min="9945" max="9945" width="11.25" style="1761" customWidth="1"/>
    <col min="9946" max="9946" width="12.375" style="1761" customWidth="1"/>
    <col min="9947" max="9947" width="11.25" style="1761" customWidth="1"/>
    <col min="9948" max="9948" width="12.375" style="1761" customWidth="1"/>
    <col min="9949" max="9949" width="11.25" style="1761" customWidth="1"/>
    <col min="9950" max="9950" width="14.125" style="1761" customWidth="1"/>
    <col min="9951" max="9951" width="10.25" style="1761" customWidth="1"/>
    <col min="9952" max="9952" width="17.125" style="1761" customWidth="1"/>
    <col min="9953" max="9953" width="12" style="1761" customWidth="1"/>
    <col min="9954" max="9954" width="14.125" style="1761" customWidth="1"/>
    <col min="9955" max="9955" width="10.25" style="1761" customWidth="1"/>
    <col min="9956" max="9956" width="17.125" style="1761" customWidth="1"/>
    <col min="9957" max="9957" width="12" style="1761" customWidth="1"/>
    <col min="9958" max="9958" width="10.75" style="1761" customWidth="1"/>
    <col min="9959" max="9961" width="9" style="1761" customWidth="1"/>
    <col min="9962" max="10189" width="9" style="1761"/>
    <col min="10190" max="10190" width="5.125" style="1761" customWidth="1"/>
    <col min="10191" max="10191" width="32.375" style="1761" customWidth="1"/>
    <col min="10192" max="10194" width="10.25" style="1761" customWidth="1"/>
    <col min="10195" max="10196" width="12.375" style="1761" customWidth="1"/>
    <col min="10197" max="10197" width="11.25" style="1761" customWidth="1"/>
    <col min="10198" max="10198" width="12.375" style="1761" customWidth="1"/>
    <col min="10199" max="10199" width="11.25" style="1761" customWidth="1"/>
    <col min="10200" max="10200" width="12.375" style="1761" customWidth="1"/>
    <col min="10201" max="10201" width="11.25" style="1761" customWidth="1"/>
    <col min="10202" max="10202" width="12.375" style="1761" customWidth="1"/>
    <col min="10203" max="10203" width="11.25" style="1761" customWidth="1"/>
    <col min="10204" max="10204" width="12.375" style="1761" customWidth="1"/>
    <col min="10205" max="10205" width="11.25" style="1761" customWidth="1"/>
    <col min="10206" max="10206" width="14.125" style="1761" customWidth="1"/>
    <col min="10207" max="10207" width="10.25" style="1761" customWidth="1"/>
    <col min="10208" max="10208" width="17.125" style="1761" customWidth="1"/>
    <col min="10209" max="10209" width="12" style="1761" customWidth="1"/>
    <col min="10210" max="10210" width="14.125" style="1761" customWidth="1"/>
    <col min="10211" max="10211" width="10.25" style="1761" customWidth="1"/>
    <col min="10212" max="10212" width="17.125" style="1761" customWidth="1"/>
    <col min="10213" max="10213" width="12" style="1761" customWidth="1"/>
    <col min="10214" max="10214" width="10.75" style="1761" customWidth="1"/>
    <col min="10215" max="10217" width="9" style="1761" customWidth="1"/>
    <col min="10218" max="10445" width="9" style="1761"/>
    <col min="10446" max="10446" width="5.125" style="1761" customWidth="1"/>
    <col min="10447" max="10447" width="32.375" style="1761" customWidth="1"/>
    <col min="10448" max="10450" width="10.25" style="1761" customWidth="1"/>
    <col min="10451" max="10452" width="12.375" style="1761" customWidth="1"/>
    <col min="10453" max="10453" width="11.25" style="1761" customWidth="1"/>
    <col min="10454" max="10454" width="12.375" style="1761" customWidth="1"/>
    <col min="10455" max="10455" width="11.25" style="1761" customWidth="1"/>
    <col min="10456" max="10456" width="12.375" style="1761" customWidth="1"/>
    <col min="10457" max="10457" width="11.25" style="1761" customWidth="1"/>
    <col min="10458" max="10458" width="12.375" style="1761" customWidth="1"/>
    <col min="10459" max="10459" width="11.25" style="1761" customWidth="1"/>
    <col min="10460" max="10460" width="12.375" style="1761" customWidth="1"/>
    <col min="10461" max="10461" width="11.25" style="1761" customWidth="1"/>
    <col min="10462" max="10462" width="14.125" style="1761" customWidth="1"/>
    <col min="10463" max="10463" width="10.25" style="1761" customWidth="1"/>
    <col min="10464" max="10464" width="17.125" style="1761" customWidth="1"/>
    <col min="10465" max="10465" width="12" style="1761" customWidth="1"/>
    <col min="10466" max="10466" width="14.125" style="1761" customWidth="1"/>
    <col min="10467" max="10467" width="10.25" style="1761" customWidth="1"/>
    <col min="10468" max="10468" width="17.125" style="1761" customWidth="1"/>
    <col min="10469" max="10469" width="12" style="1761" customWidth="1"/>
    <col min="10470" max="10470" width="10.75" style="1761" customWidth="1"/>
    <col min="10471" max="10473" width="9" style="1761" customWidth="1"/>
    <col min="10474" max="10701" width="9" style="1761"/>
    <col min="10702" max="10702" width="5.125" style="1761" customWidth="1"/>
    <col min="10703" max="10703" width="32.375" style="1761" customWidth="1"/>
    <col min="10704" max="10706" width="10.25" style="1761" customWidth="1"/>
    <col min="10707" max="10708" width="12.375" style="1761" customWidth="1"/>
    <col min="10709" max="10709" width="11.25" style="1761" customWidth="1"/>
    <col min="10710" max="10710" width="12.375" style="1761" customWidth="1"/>
    <col min="10711" max="10711" width="11.25" style="1761" customWidth="1"/>
    <col min="10712" max="10712" width="12.375" style="1761" customWidth="1"/>
    <col min="10713" max="10713" width="11.25" style="1761" customWidth="1"/>
    <col min="10714" max="10714" width="12.375" style="1761" customWidth="1"/>
    <col min="10715" max="10715" width="11.25" style="1761" customWidth="1"/>
    <col min="10716" max="10716" width="12.375" style="1761" customWidth="1"/>
    <col min="10717" max="10717" width="11.25" style="1761" customWidth="1"/>
    <col min="10718" max="10718" width="14.125" style="1761" customWidth="1"/>
    <col min="10719" max="10719" width="10.25" style="1761" customWidth="1"/>
    <col min="10720" max="10720" width="17.125" style="1761" customWidth="1"/>
    <col min="10721" max="10721" width="12" style="1761" customWidth="1"/>
    <col min="10722" max="10722" width="14.125" style="1761" customWidth="1"/>
    <col min="10723" max="10723" width="10.25" style="1761" customWidth="1"/>
    <col min="10724" max="10724" width="17.125" style="1761" customWidth="1"/>
    <col min="10725" max="10725" width="12" style="1761" customWidth="1"/>
    <col min="10726" max="10726" width="10.75" style="1761" customWidth="1"/>
    <col min="10727" max="10729" width="9" style="1761" customWidth="1"/>
    <col min="10730" max="10957" width="9" style="1761"/>
    <col min="10958" max="10958" width="5.125" style="1761" customWidth="1"/>
    <col min="10959" max="10959" width="32.375" style="1761" customWidth="1"/>
    <col min="10960" max="10962" width="10.25" style="1761" customWidth="1"/>
    <col min="10963" max="10964" width="12.375" style="1761" customWidth="1"/>
    <col min="10965" max="10965" width="11.25" style="1761" customWidth="1"/>
    <col min="10966" max="10966" width="12.375" style="1761" customWidth="1"/>
    <col min="10967" max="10967" width="11.25" style="1761" customWidth="1"/>
    <col min="10968" max="10968" width="12.375" style="1761" customWidth="1"/>
    <col min="10969" max="10969" width="11.25" style="1761" customWidth="1"/>
    <col min="10970" max="10970" width="12.375" style="1761" customWidth="1"/>
    <col min="10971" max="10971" width="11.25" style="1761" customWidth="1"/>
    <col min="10972" max="10972" width="12.375" style="1761" customWidth="1"/>
    <col min="10973" max="10973" width="11.25" style="1761" customWidth="1"/>
    <col min="10974" max="10974" width="14.125" style="1761" customWidth="1"/>
    <col min="10975" max="10975" width="10.25" style="1761" customWidth="1"/>
    <col min="10976" max="10976" width="17.125" style="1761" customWidth="1"/>
    <col min="10977" max="10977" width="12" style="1761" customWidth="1"/>
    <col min="10978" max="10978" width="14.125" style="1761" customWidth="1"/>
    <col min="10979" max="10979" width="10.25" style="1761" customWidth="1"/>
    <col min="10980" max="10980" width="17.125" style="1761" customWidth="1"/>
    <col min="10981" max="10981" width="12" style="1761" customWidth="1"/>
    <col min="10982" max="10982" width="10.75" style="1761" customWidth="1"/>
    <col min="10983" max="10985" width="9" style="1761" customWidth="1"/>
    <col min="10986" max="11213" width="9" style="1761"/>
    <col min="11214" max="11214" width="5.125" style="1761" customWidth="1"/>
    <col min="11215" max="11215" width="32.375" style="1761" customWidth="1"/>
    <col min="11216" max="11218" width="10.25" style="1761" customWidth="1"/>
    <col min="11219" max="11220" width="12.375" style="1761" customWidth="1"/>
    <col min="11221" max="11221" width="11.25" style="1761" customWidth="1"/>
    <col min="11222" max="11222" width="12.375" style="1761" customWidth="1"/>
    <col min="11223" max="11223" width="11.25" style="1761" customWidth="1"/>
    <col min="11224" max="11224" width="12.375" style="1761" customWidth="1"/>
    <col min="11225" max="11225" width="11.25" style="1761" customWidth="1"/>
    <col min="11226" max="11226" width="12.375" style="1761" customWidth="1"/>
    <col min="11227" max="11227" width="11.25" style="1761" customWidth="1"/>
    <col min="11228" max="11228" width="12.375" style="1761" customWidth="1"/>
    <col min="11229" max="11229" width="11.25" style="1761" customWidth="1"/>
    <col min="11230" max="11230" width="14.125" style="1761" customWidth="1"/>
    <col min="11231" max="11231" width="10.25" style="1761" customWidth="1"/>
    <col min="11232" max="11232" width="17.125" style="1761" customWidth="1"/>
    <col min="11233" max="11233" width="12" style="1761" customWidth="1"/>
    <col min="11234" max="11234" width="14.125" style="1761" customWidth="1"/>
    <col min="11235" max="11235" width="10.25" style="1761" customWidth="1"/>
    <col min="11236" max="11236" width="17.125" style="1761" customWidth="1"/>
    <col min="11237" max="11237" width="12" style="1761" customWidth="1"/>
    <col min="11238" max="11238" width="10.75" style="1761" customWidth="1"/>
    <col min="11239" max="11241" width="9" style="1761" customWidth="1"/>
    <col min="11242" max="11469" width="9" style="1761"/>
    <col min="11470" max="11470" width="5.125" style="1761" customWidth="1"/>
    <col min="11471" max="11471" width="32.375" style="1761" customWidth="1"/>
    <col min="11472" max="11474" width="10.25" style="1761" customWidth="1"/>
    <col min="11475" max="11476" width="12.375" style="1761" customWidth="1"/>
    <col min="11477" max="11477" width="11.25" style="1761" customWidth="1"/>
    <col min="11478" max="11478" width="12.375" style="1761" customWidth="1"/>
    <col min="11479" max="11479" width="11.25" style="1761" customWidth="1"/>
    <col min="11480" max="11480" width="12.375" style="1761" customWidth="1"/>
    <col min="11481" max="11481" width="11.25" style="1761" customWidth="1"/>
    <col min="11482" max="11482" width="12.375" style="1761" customWidth="1"/>
    <col min="11483" max="11483" width="11.25" style="1761" customWidth="1"/>
    <col min="11484" max="11484" width="12.375" style="1761" customWidth="1"/>
    <col min="11485" max="11485" width="11.25" style="1761" customWidth="1"/>
    <col min="11486" max="11486" width="14.125" style="1761" customWidth="1"/>
    <col min="11487" max="11487" width="10.25" style="1761" customWidth="1"/>
    <col min="11488" max="11488" width="17.125" style="1761" customWidth="1"/>
    <col min="11489" max="11489" width="12" style="1761" customWidth="1"/>
    <col min="11490" max="11490" width="14.125" style="1761" customWidth="1"/>
    <col min="11491" max="11491" width="10.25" style="1761" customWidth="1"/>
    <col min="11492" max="11492" width="17.125" style="1761" customWidth="1"/>
    <col min="11493" max="11493" width="12" style="1761" customWidth="1"/>
    <col min="11494" max="11494" width="10.75" style="1761" customWidth="1"/>
    <col min="11495" max="11497" width="9" style="1761" customWidth="1"/>
    <col min="11498" max="11725" width="9" style="1761"/>
    <col min="11726" max="11726" width="5.125" style="1761" customWidth="1"/>
    <col min="11727" max="11727" width="32.375" style="1761" customWidth="1"/>
    <col min="11728" max="11730" width="10.25" style="1761" customWidth="1"/>
    <col min="11731" max="11732" width="12.375" style="1761" customWidth="1"/>
    <col min="11733" max="11733" width="11.25" style="1761" customWidth="1"/>
    <col min="11734" max="11734" width="12.375" style="1761" customWidth="1"/>
    <col min="11735" max="11735" width="11.25" style="1761" customWidth="1"/>
    <col min="11736" max="11736" width="12.375" style="1761" customWidth="1"/>
    <col min="11737" max="11737" width="11.25" style="1761" customWidth="1"/>
    <col min="11738" max="11738" width="12.375" style="1761" customWidth="1"/>
    <col min="11739" max="11739" width="11.25" style="1761" customWidth="1"/>
    <col min="11740" max="11740" width="12.375" style="1761" customWidth="1"/>
    <col min="11741" max="11741" width="11.25" style="1761" customWidth="1"/>
    <col min="11742" max="11742" width="14.125" style="1761" customWidth="1"/>
    <col min="11743" max="11743" width="10.25" style="1761" customWidth="1"/>
    <col min="11744" max="11744" width="17.125" style="1761" customWidth="1"/>
    <col min="11745" max="11745" width="12" style="1761" customWidth="1"/>
    <col min="11746" max="11746" width="14.125" style="1761" customWidth="1"/>
    <col min="11747" max="11747" width="10.25" style="1761" customWidth="1"/>
    <col min="11748" max="11748" width="17.125" style="1761" customWidth="1"/>
    <col min="11749" max="11749" width="12" style="1761" customWidth="1"/>
    <col min="11750" max="11750" width="10.75" style="1761" customWidth="1"/>
    <col min="11751" max="11753" width="9" style="1761" customWidth="1"/>
    <col min="11754" max="11981" width="9" style="1761"/>
    <col min="11982" max="11982" width="5.125" style="1761" customWidth="1"/>
    <col min="11983" max="11983" width="32.375" style="1761" customWidth="1"/>
    <col min="11984" max="11986" width="10.25" style="1761" customWidth="1"/>
    <col min="11987" max="11988" width="12.375" style="1761" customWidth="1"/>
    <col min="11989" max="11989" width="11.25" style="1761" customWidth="1"/>
    <col min="11990" max="11990" width="12.375" style="1761" customWidth="1"/>
    <col min="11991" max="11991" width="11.25" style="1761" customWidth="1"/>
    <col min="11992" max="11992" width="12.375" style="1761" customWidth="1"/>
    <col min="11993" max="11993" width="11.25" style="1761" customWidth="1"/>
    <col min="11994" max="11994" width="12.375" style="1761" customWidth="1"/>
    <col min="11995" max="11995" width="11.25" style="1761" customWidth="1"/>
    <col min="11996" max="11996" width="12.375" style="1761" customWidth="1"/>
    <col min="11997" max="11997" width="11.25" style="1761" customWidth="1"/>
    <col min="11998" max="11998" width="14.125" style="1761" customWidth="1"/>
    <col min="11999" max="11999" width="10.25" style="1761" customWidth="1"/>
    <col min="12000" max="12000" width="17.125" style="1761" customWidth="1"/>
    <col min="12001" max="12001" width="12" style="1761" customWidth="1"/>
    <col min="12002" max="12002" width="14.125" style="1761" customWidth="1"/>
    <col min="12003" max="12003" width="10.25" style="1761" customWidth="1"/>
    <col min="12004" max="12004" width="17.125" style="1761" customWidth="1"/>
    <col min="12005" max="12005" width="12" style="1761" customWidth="1"/>
    <col min="12006" max="12006" width="10.75" style="1761" customWidth="1"/>
    <col min="12007" max="12009" width="9" style="1761" customWidth="1"/>
    <col min="12010" max="12237" width="9" style="1761"/>
    <col min="12238" max="12238" width="5.125" style="1761" customWidth="1"/>
    <col min="12239" max="12239" width="32.375" style="1761" customWidth="1"/>
    <col min="12240" max="12242" width="10.25" style="1761" customWidth="1"/>
    <col min="12243" max="12244" width="12.375" style="1761" customWidth="1"/>
    <col min="12245" max="12245" width="11.25" style="1761" customWidth="1"/>
    <col min="12246" max="12246" width="12.375" style="1761" customWidth="1"/>
    <col min="12247" max="12247" width="11.25" style="1761" customWidth="1"/>
    <col min="12248" max="12248" width="12.375" style="1761" customWidth="1"/>
    <col min="12249" max="12249" width="11.25" style="1761" customWidth="1"/>
    <col min="12250" max="12250" width="12.375" style="1761" customWidth="1"/>
    <col min="12251" max="12251" width="11.25" style="1761" customWidth="1"/>
    <col min="12252" max="12252" width="12.375" style="1761" customWidth="1"/>
    <col min="12253" max="12253" width="11.25" style="1761" customWidth="1"/>
    <col min="12254" max="12254" width="14.125" style="1761" customWidth="1"/>
    <col min="12255" max="12255" width="10.25" style="1761" customWidth="1"/>
    <col min="12256" max="12256" width="17.125" style="1761" customWidth="1"/>
    <col min="12257" max="12257" width="12" style="1761" customWidth="1"/>
    <col min="12258" max="12258" width="14.125" style="1761" customWidth="1"/>
    <col min="12259" max="12259" width="10.25" style="1761" customWidth="1"/>
    <col min="12260" max="12260" width="17.125" style="1761" customWidth="1"/>
    <col min="12261" max="12261" width="12" style="1761" customWidth="1"/>
    <col min="12262" max="12262" width="10.75" style="1761" customWidth="1"/>
    <col min="12263" max="12265" width="9" style="1761" customWidth="1"/>
    <col min="12266" max="12493" width="9" style="1761"/>
    <col min="12494" max="12494" width="5.125" style="1761" customWidth="1"/>
    <col min="12495" max="12495" width="32.375" style="1761" customWidth="1"/>
    <col min="12496" max="12498" width="10.25" style="1761" customWidth="1"/>
    <col min="12499" max="12500" width="12.375" style="1761" customWidth="1"/>
    <col min="12501" max="12501" width="11.25" style="1761" customWidth="1"/>
    <col min="12502" max="12502" width="12.375" style="1761" customWidth="1"/>
    <col min="12503" max="12503" width="11.25" style="1761" customWidth="1"/>
    <col min="12504" max="12504" width="12.375" style="1761" customWidth="1"/>
    <col min="12505" max="12505" width="11.25" style="1761" customWidth="1"/>
    <col min="12506" max="12506" width="12.375" style="1761" customWidth="1"/>
    <col min="12507" max="12507" width="11.25" style="1761" customWidth="1"/>
    <col min="12508" max="12508" width="12.375" style="1761" customWidth="1"/>
    <col min="12509" max="12509" width="11.25" style="1761" customWidth="1"/>
    <col min="12510" max="12510" width="14.125" style="1761" customWidth="1"/>
    <col min="12511" max="12511" width="10.25" style="1761" customWidth="1"/>
    <col min="12512" max="12512" width="17.125" style="1761" customWidth="1"/>
    <col min="12513" max="12513" width="12" style="1761" customWidth="1"/>
    <col min="12514" max="12514" width="14.125" style="1761" customWidth="1"/>
    <col min="12515" max="12515" width="10.25" style="1761" customWidth="1"/>
    <col min="12516" max="12516" width="17.125" style="1761" customWidth="1"/>
    <col min="12517" max="12517" width="12" style="1761" customWidth="1"/>
    <col min="12518" max="12518" width="10.75" style="1761" customWidth="1"/>
    <col min="12519" max="12521" width="9" style="1761" customWidth="1"/>
    <col min="12522" max="12749" width="9" style="1761"/>
    <col min="12750" max="12750" width="5.125" style="1761" customWidth="1"/>
    <col min="12751" max="12751" width="32.375" style="1761" customWidth="1"/>
    <col min="12752" max="12754" width="10.25" style="1761" customWidth="1"/>
    <col min="12755" max="12756" width="12.375" style="1761" customWidth="1"/>
    <col min="12757" max="12757" width="11.25" style="1761" customWidth="1"/>
    <col min="12758" max="12758" width="12.375" style="1761" customWidth="1"/>
    <col min="12759" max="12759" width="11.25" style="1761" customWidth="1"/>
    <col min="12760" max="12760" width="12.375" style="1761" customWidth="1"/>
    <col min="12761" max="12761" width="11.25" style="1761" customWidth="1"/>
    <col min="12762" max="12762" width="12.375" style="1761" customWidth="1"/>
    <col min="12763" max="12763" width="11.25" style="1761" customWidth="1"/>
    <col min="12764" max="12764" width="12.375" style="1761" customWidth="1"/>
    <col min="12765" max="12765" width="11.25" style="1761" customWidth="1"/>
    <col min="12766" max="12766" width="14.125" style="1761" customWidth="1"/>
    <col min="12767" max="12767" width="10.25" style="1761" customWidth="1"/>
    <col min="12768" max="12768" width="17.125" style="1761" customWidth="1"/>
    <col min="12769" max="12769" width="12" style="1761" customWidth="1"/>
    <col min="12770" max="12770" width="14.125" style="1761" customWidth="1"/>
    <col min="12771" max="12771" width="10.25" style="1761" customWidth="1"/>
    <col min="12772" max="12772" width="17.125" style="1761" customWidth="1"/>
    <col min="12773" max="12773" width="12" style="1761" customWidth="1"/>
    <col min="12774" max="12774" width="10.75" style="1761" customWidth="1"/>
    <col min="12775" max="12777" width="9" style="1761" customWidth="1"/>
    <col min="12778" max="13005" width="9" style="1761"/>
    <col min="13006" max="13006" width="5.125" style="1761" customWidth="1"/>
    <col min="13007" max="13007" width="32.375" style="1761" customWidth="1"/>
    <col min="13008" max="13010" width="10.25" style="1761" customWidth="1"/>
    <col min="13011" max="13012" width="12.375" style="1761" customWidth="1"/>
    <col min="13013" max="13013" width="11.25" style="1761" customWidth="1"/>
    <col min="13014" max="13014" width="12.375" style="1761" customWidth="1"/>
    <col min="13015" max="13015" width="11.25" style="1761" customWidth="1"/>
    <col min="13016" max="13016" width="12.375" style="1761" customWidth="1"/>
    <col min="13017" max="13017" width="11.25" style="1761" customWidth="1"/>
    <col min="13018" max="13018" width="12.375" style="1761" customWidth="1"/>
    <col min="13019" max="13019" width="11.25" style="1761" customWidth="1"/>
    <col min="13020" max="13020" width="12.375" style="1761" customWidth="1"/>
    <col min="13021" max="13021" width="11.25" style="1761" customWidth="1"/>
    <col min="13022" max="13022" width="14.125" style="1761" customWidth="1"/>
    <col min="13023" max="13023" width="10.25" style="1761" customWidth="1"/>
    <col min="13024" max="13024" width="17.125" style="1761" customWidth="1"/>
    <col min="13025" max="13025" width="12" style="1761" customWidth="1"/>
    <col min="13026" max="13026" width="14.125" style="1761" customWidth="1"/>
    <col min="13027" max="13027" width="10.25" style="1761" customWidth="1"/>
    <col min="13028" max="13028" width="17.125" style="1761" customWidth="1"/>
    <col min="13029" max="13029" width="12" style="1761" customWidth="1"/>
    <col min="13030" max="13030" width="10.75" style="1761" customWidth="1"/>
    <col min="13031" max="13033" width="9" style="1761" customWidth="1"/>
    <col min="13034" max="13261" width="9" style="1761"/>
    <col min="13262" max="13262" width="5.125" style="1761" customWidth="1"/>
    <col min="13263" max="13263" width="32.375" style="1761" customWidth="1"/>
    <col min="13264" max="13266" width="10.25" style="1761" customWidth="1"/>
    <col min="13267" max="13268" width="12.375" style="1761" customWidth="1"/>
    <col min="13269" max="13269" width="11.25" style="1761" customWidth="1"/>
    <col min="13270" max="13270" width="12.375" style="1761" customWidth="1"/>
    <col min="13271" max="13271" width="11.25" style="1761" customWidth="1"/>
    <col min="13272" max="13272" width="12.375" style="1761" customWidth="1"/>
    <col min="13273" max="13273" width="11.25" style="1761" customWidth="1"/>
    <col min="13274" max="13274" width="12.375" style="1761" customWidth="1"/>
    <col min="13275" max="13275" width="11.25" style="1761" customWidth="1"/>
    <col min="13276" max="13276" width="12.375" style="1761" customWidth="1"/>
    <col min="13277" max="13277" width="11.25" style="1761" customWidth="1"/>
    <col min="13278" max="13278" width="14.125" style="1761" customWidth="1"/>
    <col min="13279" max="13279" width="10.25" style="1761" customWidth="1"/>
    <col min="13280" max="13280" width="17.125" style="1761" customWidth="1"/>
    <col min="13281" max="13281" width="12" style="1761" customWidth="1"/>
    <col min="13282" max="13282" width="14.125" style="1761" customWidth="1"/>
    <col min="13283" max="13283" width="10.25" style="1761" customWidth="1"/>
    <col min="13284" max="13284" width="17.125" style="1761" customWidth="1"/>
    <col min="13285" max="13285" width="12" style="1761" customWidth="1"/>
    <col min="13286" max="13286" width="10.75" style="1761" customWidth="1"/>
    <col min="13287" max="13289" width="9" style="1761" customWidth="1"/>
    <col min="13290" max="13517" width="9" style="1761"/>
    <col min="13518" max="13518" width="5.125" style="1761" customWidth="1"/>
    <col min="13519" max="13519" width="32.375" style="1761" customWidth="1"/>
    <col min="13520" max="13522" width="10.25" style="1761" customWidth="1"/>
    <col min="13523" max="13524" width="12.375" style="1761" customWidth="1"/>
    <col min="13525" max="13525" width="11.25" style="1761" customWidth="1"/>
    <col min="13526" max="13526" width="12.375" style="1761" customWidth="1"/>
    <col min="13527" max="13527" width="11.25" style="1761" customWidth="1"/>
    <col min="13528" max="13528" width="12.375" style="1761" customWidth="1"/>
    <col min="13529" max="13529" width="11.25" style="1761" customWidth="1"/>
    <col min="13530" max="13530" width="12.375" style="1761" customWidth="1"/>
    <col min="13531" max="13531" width="11.25" style="1761" customWidth="1"/>
    <col min="13532" max="13532" width="12.375" style="1761" customWidth="1"/>
    <col min="13533" max="13533" width="11.25" style="1761" customWidth="1"/>
    <col min="13534" max="13534" width="14.125" style="1761" customWidth="1"/>
    <col min="13535" max="13535" width="10.25" style="1761" customWidth="1"/>
    <col min="13536" max="13536" width="17.125" style="1761" customWidth="1"/>
    <col min="13537" max="13537" width="12" style="1761" customWidth="1"/>
    <col min="13538" max="13538" width="14.125" style="1761" customWidth="1"/>
    <col min="13539" max="13539" width="10.25" style="1761" customWidth="1"/>
    <col min="13540" max="13540" width="17.125" style="1761" customWidth="1"/>
    <col min="13541" max="13541" width="12" style="1761" customWidth="1"/>
    <col min="13542" max="13542" width="10.75" style="1761" customWidth="1"/>
    <col min="13543" max="13545" width="9" style="1761" customWidth="1"/>
    <col min="13546" max="13773" width="9" style="1761"/>
    <col min="13774" max="13774" width="5.125" style="1761" customWidth="1"/>
    <col min="13775" max="13775" width="32.375" style="1761" customWidth="1"/>
    <col min="13776" max="13778" width="10.25" style="1761" customWidth="1"/>
    <col min="13779" max="13780" width="12.375" style="1761" customWidth="1"/>
    <col min="13781" max="13781" width="11.25" style="1761" customWidth="1"/>
    <col min="13782" max="13782" width="12.375" style="1761" customWidth="1"/>
    <col min="13783" max="13783" width="11.25" style="1761" customWidth="1"/>
    <col min="13784" max="13784" width="12.375" style="1761" customWidth="1"/>
    <col min="13785" max="13785" width="11.25" style="1761" customWidth="1"/>
    <col min="13786" max="13786" width="12.375" style="1761" customWidth="1"/>
    <col min="13787" max="13787" width="11.25" style="1761" customWidth="1"/>
    <col min="13788" max="13788" width="12.375" style="1761" customWidth="1"/>
    <col min="13789" max="13789" width="11.25" style="1761" customWidth="1"/>
    <col min="13790" max="13790" width="14.125" style="1761" customWidth="1"/>
    <col min="13791" max="13791" width="10.25" style="1761" customWidth="1"/>
    <col min="13792" max="13792" width="17.125" style="1761" customWidth="1"/>
    <col min="13793" max="13793" width="12" style="1761" customWidth="1"/>
    <col min="13794" max="13794" width="14.125" style="1761" customWidth="1"/>
    <col min="13795" max="13795" width="10.25" style="1761" customWidth="1"/>
    <col min="13796" max="13796" width="17.125" style="1761" customWidth="1"/>
    <col min="13797" max="13797" width="12" style="1761" customWidth="1"/>
    <col min="13798" max="13798" width="10.75" style="1761" customWidth="1"/>
    <col min="13799" max="13801" width="9" style="1761" customWidth="1"/>
    <col min="13802" max="14029" width="9" style="1761"/>
    <col min="14030" max="14030" width="5.125" style="1761" customWidth="1"/>
    <col min="14031" max="14031" width="32.375" style="1761" customWidth="1"/>
    <col min="14032" max="14034" width="10.25" style="1761" customWidth="1"/>
    <col min="14035" max="14036" width="12.375" style="1761" customWidth="1"/>
    <col min="14037" max="14037" width="11.25" style="1761" customWidth="1"/>
    <col min="14038" max="14038" width="12.375" style="1761" customWidth="1"/>
    <col min="14039" max="14039" width="11.25" style="1761" customWidth="1"/>
    <col min="14040" max="14040" width="12.375" style="1761" customWidth="1"/>
    <col min="14041" max="14041" width="11.25" style="1761" customWidth="1"/>
    <col min="14042" max="14042" width="12.375" style="1761" customWidth="1"/>
    <col min="14043" max="14043" width="11.25" style="1761" customWidth="1"/>
    <col min="14044" max="14044" width="12.375" style="1761" customWidth="1"/>
    <col min="14045" max="14045" width="11.25" style="1761" customWidth="1"/>
    <col min="14046" max="14046" width="14.125" style="1761" customWidth="1"/>
    <col min="14047" max="14047" width="10.25" style="1761" customWidth="1"/>
    <col min="14048" max="14048" width="17.125" style="1761" customWidth="1"/>
    <col min="14049" max="14049" width="12" style="1761" customWidth="1"/>
    <col min="14050" max="14050" width="14.125" style="1761" customWidth="1"/>
    <col min="14051" max="14051" width="10.25" style="1761" customWidth="1"/>
    <col min="14052" max="14052" width="17.125" style="1761" customWidth="1"/>
    <col min="14053" max="14053" width="12" style="1761" customWidth="1"/>
    <col min="14054" max="14054" width="10.75" style="1761" customWidth="1"/>
    <col min="14055" max="14057" width="9" style="1761" customWidth="1"/>
    <col min="14058" max="14285" width="9" style="1761"/>
    <col min="14286" max="14286" width="5.125" style="1761" customWidth="1"/>
    <col min="14287" max="14287" width="32.375" style="1761" customWidth="1"/>
    <col min="14288" max="14290" width="10.25" style="1761" customWidth="1"/>
    <col min="14291" max="14292" width="12.375" style="1761" customWidth="1"/>
    <col min="14293" max="14293" width="11.25" style="1761" customWidth="1"/>
    <col min="14294" max="14294" width="12.375" style="1761" customWidth="1"/>
    <col min="14295" max="14295" width="11.25" style="1761" customWidth="1"/>
    <col min="14296" max="14296" width="12.375" style="1761" customWidth="1"/>
    <col min="14297" max="14297" width="11.25" style="1761" customWidth="1"/>
    <col min="14298" max="14298" width="12.375" style="1761" customWidth="1"/>
    <col min="14299" max="14299" width="11.25" style="1761" customWidth="1"/>
    <col min="14300" max="14300" width="12.375" style="1761" customWidth="1"/>
    <col min="14301" max="14301" width="11.25" style="1761" customWidth="1"/>
    <col min="14302" max="14302" width="14.125" style="1761" customWidth="1"/>
    <col min="14303" max="14303" width="10.25" style="1761" customWidth="1"/>
    <col min="14304" max="14304" width="17.125" style="1761" customWidth="1"/>
    <col min="14305" max="14305" width="12" style="1761" customWidth="1"/>
    <col min="14306" max="14306" width="14.125" style="1761" customWidth="1"/>
    <col min="14307" max="14307" width="10.25" style="1761" customWidth="1"/>
    <col min="14308" max="14308" width="17.125" style="1761" customWidth="1"/>
    <col min="14309" max="14309" width="12" style="1761" customWidth="1"/>
    <col min="14310" max="14310" width="10.75" style="1761" customWidth="1"/>
    <col min="14311" max="14313" width="9" style="1761" customWidth="1"/>
    <col min="14314" max="14541" width="9" style="1761"/>
    <col min="14542" max="14542" width="5.125" style="1761" customWidth="1"/>
    <col min="14543" max="14543" width="32.375" style="1761" customWidth="1"/>
    <col min="14544" max="14546" width="10.25" style="1761" customWidth="1"/>
    <col min="14547" max="14548" width="12.375" style="1761" customWidth="1"/>
    <col min="14549" max="14549" width="11.25" style="1761" customWidth="1"/>
    <col min="14550" max="14550" width="12.375" style="1761" customWidth="1"/>
    <col min="14551" max="14551" width="11.25" style="1761" customWidth="1"/>
    <col min="14552" max="14552" width="12.375" style="1761" customWidth="1"/>
    <col min="14553" max="14553" width="11.25" style="1761" customWidth="1"/>
    <col min="14554" max="14554" width="12.375" style="1761" customWidth="1"/>
    <col min="14555" max="14555" width="11.25" style="1761" customWidth="1"/>
    <col min="14556" max="14556" width="12.375" style="1761" customWidth="1"/>
    <col min="14557" max="14557" width="11.25" style="1761" customWidth="1"/>
    <col min="14558" max="14558" width="14.125" style="1761" customWidth="1"/>
    <col min="14559" max="14559" width="10.25" style="1761" customWidth="1"/>
    <col min="14560" max="14560" width="17.125" style="1761" customWidth="1"/>
    <col min="14561" max="14561" width="12" style="1761" customWidth="1"/>
    <col min="14562" max="14562" width="14.125" style="1761" customWidth="1"/>
    <col min="14563" max="14563" width="10.25" style="1761" customWidth="1"/>
    <col min="14564" max="14564" width="17.125" style="1761" customWidth="1"/>
    <col min="14565" max="14565" width="12" style="1761" customWidth="1"/>
    <col min="14566" max="14566" width="10.75" style="1761" customWidth="1"/>
    <col min="14567" max="14569" width="9" style="1761" customWidth="1"/>
    <col min="14570" max="14797" width="9" style="1761"/>
    <col min="14798" max="14798" width="5.125" style="1761" customWidth="1"/>
    <col min="14799" max="14799" width="32.375" style="1761" customWidth="1"/>
    <col min="14800" max="14802" width="10.25" style="1761" customWidth="1"/>
    <col min="14803" max="14804" width="12.375" style="1761" customWidth="1"/>
    <col min="14805" max="14805" width="11.25" style="1761" customWidth="1"/>
    <col min="14806" max="14806" width="12.375" style="1761" customWidth="1"/>
    <col min="14807" max="14807" width="11.25" style="1761" customWidth="1"/>
    <col min="14808" max="14808" width="12.375" style="1761" customWidth="1"/>
    <col min="14809" max="14809" width="11.25" style="1761" customWidth="1"/>
    <col min="14810" max="14810" width="12.375" style="1761" customWidth="1"/>
    <col min="14811" max="14811" width="11.25" style="1761" customWidth="1"/>
    <col min="14812" max="14812" width="12.375" style="1761" customWidth="1"/>
    <col min="14813" max="14813" width="11.25" style="1761" customWidth="1"/>
    <col min="14814" max="14814" width="14.125" style="1761" customWidth="1"/>
    <col min="14815" max="14815" width="10.25" style="1761" customWidth="1"/>
    <col min="14816" max="14816" width="17.125" style="1761" customWidth="1"/>
    <col min="14817" max="14817" width="12" style="1761" customWidth="1"/>
    <col min="14818" max="14818" width="14.125" style="1761" customWidth="1"/>
    <col min="14819" max="14819" width="10.25" style="1761" customWidth="1"/>
    <col min="14820" max="14820" width="17.125" style="1761" customWidth="1"/>
    <col min="14821" max="14821" width="12" style="1761" customWidth="1"/>
    <col min="14822" max="14822" width="10.75" style="1761" customWidth="1"/>
    <col min="14823" max="14825" width="9" style="1761" customWidth="1"/>
    <col min="14826" max="16384" width="9" style="1761"/>
  </cols>
  <sheetData>
    <row r="1" spans="1:36" x14ac:dyDescent="0.25">
      <c r="A1" s="2158"/>
      <c r="B1" s="2158"/>
      <c r="C1" s="2158"/>
      <c r="D1" s="2158"/>
      <c r="E1" s="2158"/>
      <c r="F1" s="2158"/>
      <c r="G1" s="2158"/>
      <c r="H1" s="2158"/>
      <c r="I1" s="2158"/>
      <c r="J1" s="2158"/>
      <c r="K1" s="2158"/>
      <c r="L1" s="2158"/>
      <c r="M1" s="2158"/>
      <c r="N1" s="2158"/>
      <c r="O1" s="2158"/>
      <c r="P1" s="2158"/>
      <c r="Q1" s="2158"/>
      <c r="R1" s="2158"/>
      <c r="S1" s="2158"/>
      <c r="T1" s="2158"/>
      <c r="U1" s="2158"/>
      <c r="V1" s="2158"/>
      <c r="W1" s="2158"/>
      <c r="X1" s="2158"/>
      <c r="Y1" s="2158"/>
      <c r="Z1" s="2158"/>
      <c r="AA1" s="2158"/>
      <c r="AB1" s="2158"/>
      <c r="AC1" s="2158"/>
      <c r="AD1" s="2158"/>
      <c r="AE1" s="2158"/>
      <c r="AF1" s="2158"/>
      <c r="AG1" s="2158"/>
      <c r="AH1" s="2158"/>
      <c r="AI1" s="2158"/>
    </row>
    <row r="2" spans="1:36" x14ac:dyDescent="0.25">
      <c r="A2" s="2158" t="s">
        <v>2357</v>
      </c>
      <c r="B2" s="2158"/>
      <c r="C2" s="2158"/>
      <c r="D2" s="2158"/>
      <c r="E2" s="2158"/>
      <c r="F2" s="2158"/>
      <c r="G2" s="2158"/>
      <c r="H2" s="2158"/>
      <c r="I2" s="2158"/>
      <c r="J2" s="2158"/>
      <c r="K2" s="2158"/>
      <c r="L2" s="2158"/>
      <c r="M2" s="2158"/>
      <c r="N2" s="2158"/>
      <c r="O2" s="2158"/>
      <c r="P2" s="2158"/>
      <c r="Q2" s="2158"/>
      <c r="R2" s="2158"/>
      <c r="S2" s="2158"/>
      <c r="T2" s="2158"/>
      <c r="U2" s="2158"/>
      <c r="V2" s="2158"/>
      <c r="W2" s="2158"/>
      <c r="X2" s="2158"/>
      <c r="Y2" s="2158"/>
      <c r="Z2" s="2158"/>
      <c r="AA2" s="2158"/>
      <c r="AB2" s="2158"/>
      <c r="AC2" s="2158"/>
      <c r="AD2" s="2158"/>
      <c r="AE2" s="2158"/>
      <c r="AF2" s="2158"/>
      <c r="AG2" s="2158"/>
      <c r="AH2" s="2158"/>
      <c r="AI2" s="2158"/>
    </row>
    <row r="3" spans="1:36" ht="18.75" customHeight="1" x14ac:dyDescent="0.25">
      <c r="A3" s="2034" t="s">
        <v>2425</v>
      </c>
      <c r="B3" s="2034"/>
      <c r="C3" s="2034"/>
      <c r="D3" s="2034"/>
      <c r="E3" s="2034"/>
      <c r="F3" s="2034"/>
      <c r="G3" s="2034"/>
      <c r="H3" s="2034"/>
      <c r="I3" s="2034"/>
      <c r="J3" s="2034"/>
      <c r="K3" s="2034"/>
      <c r="L3" s="2034"/>
      <c r="M3" s="2034"/>
      <c r="N3" s="2034"/>
      <c r="O3" s="2034"/>
      <c r="P3" s="2034"/>
      <c r="Q3" s="2034"/>
      <c r="R3" s="2034"/>
      <c r="S3" s="2034"/>
      <c r="T3" s="2034"/>
      <c r="U3" s="2034"/>
      <c r="V3" s="2034"/>
      <c r="W3" s="2034"/>
      <c r="X3" s="2034"/>
      <c r="Y3" s="2034"/>
      <c r="Z3" s="2034"/>
      <c r="AA3" s="2034"/>
      <c r="AB3" s="2034"/>
      <c r="AC3" s="2034"/>
      <c r="AD3" s="2034"/>
      <c r="AE3" s="2034"/>
      <c r="AF3" s="2034"/>
      <c r="AG3" s="2034"/>
      <c r="AH3" s="2034"/>
      <c r="AI3" s="2034"/>
    </row>
    <row r="4" spans="1:36" x14ac:dyDescent="0.25">
      <c r="A4" s="2159" t="s">
        <v>6</v>
      </c>
      <c r="B4" s="2159"/>
      <c r="C4" s="2159"/>
      <c r="D4" s="2159"/>
      <c r="E4" s="2159"/>
      <c r="F4" s="2159"/>
      <c r="G4" s="2159"/>
      <c r="H4" s="2159"/>
      <c r="I4" s="2159"/>
      <c r="J4" s="2159"/>
      <c r="K4" s="2159"/>
      <c r="L4" s="2159"/>
      <c r="M4" s="2159"/>
      <c r="N4" s="2159"/>
      <c r="O4" s="2159"/>
      <c r="P4" s="2159"/>
      <c r="Q4" s="2159"/>
      <c r="R4" s="2159"/>
      <c r="S4" s="2159"/>
      <c r="T4" s="2159"/>
      <c r="U4" s="2159"/>
      <c r="V4" s="2159"/>
      <c r="W4" s="2159"/>
      <c r="X4" s="2159"/>
      <c r="Y4" s="2159"/>
      <c r="Z4" s="2159"/>
      <c r="AA4" s="2159"/>
      <c r="AB4" s="2159"/>
      <c r="AC4" s="2159"/>
      <c r="AD4" s="2159"/>
      <c r="AE4" s="2159"/>
      <c r="AF4" s="2159"/>
      <c r="AG4" s="2159"/>
      <c r="AH4" s="2159"/>
      <c r="AI4" s="2159"/>
    </row>
    <row r="5" spans="1:36" s="1508" customFormat="1" ht="11.25" x14ac:dyDescent="0.25">
      <c r="A5" s="2160" t="s">
        <v>915</v>
      </c>
      <c r="B5" s="2160" t="s">
        <v>142</v>
      </c>
      <c r="C5" s="2160" t="s">
        <v>2358</v>
      </c>
      <c r="D5" s="2160"/>
      <c r="E5" s="2160"/>
      <c r="F5" s="2161" t="s">
        <v>1184</v>
      </c>
      <c r="G5" s="2162"/>
      <c r="H5" s="2161" t="s">
        <v>1185</v>
      </c>
      <c r="I5" s="2167"/>
      <c r="J5" s="2167"/>
      <c r="K5" s="2162"/>
      <c r="L5" s="2161" t="s">
        <v>407</v>
      </c>
      <c r="M5" s="2167"/>
      <c r="N5" s="2167"/>
      <c r="O5" s="2162"/>
      <c r="P5" s="2161" t="s">
        <v>1382</v>
      </c>
      <c r="Q5" s="2167"/>
      <c r="R5" s="2167"/>
      <c r="S5" s="2162"/>
      <c r="T5" s="2161" t="s">
        <v>1608</v>
      </c>
      <c r="U5" s="2162"/>
      <c r="V5" s="2161" t="s">
        <v>1186</v>
      </c>
      <c r="W5" s="2167"/>
      <c r="X5" s="2167"/>
      <c r="Y5" s="2162"/>
      <c r="Z5" s="2160" t="s">
        <v>1609</v>
      </c>
      <c r="AA5" s="2160"/>
      <c r="AB5" s="2170" t="s">
        <v>2359</v>
      </c>
      <c r="AC5" s="2162"/>
      <c r="AD5" s="2161" t="s">
        <v>1790</v>
      </c>
      <c r="AE5" s="2167"/>
      <c r="AF5" s="2167"/>
      <c r="AG5" s="2162"/>
      <c r="AH5" s="2170" t="s">
        <v>920</v>
      </c>
      <c r="AI5" s="2160" t="s">
        <v>623</v>
      </c>
    </row>
    <row r="6" spans="1:36" s="1508" customFormat="1" ht="11.25" x14ac:dyDescent="0.25">
      <c r="A6" s="2160"/>
      <c r="B6" s="2160"/>
      <c r="C6" s="2160" t="s">
        <v>1187</v>
      </c>
      <c r="D6" s="2160" t="s">
        <v>1188</v>
      </c>
      <c r="E6" s="2160"/>
      <c r="F6" s="2163"/>
      <c r="G6" s="2164"/>
      <c r="H6" s="2165"/>
      <c r="I6" s="2168"/>
      <c r="J6" s="2168"/>
      <c r="K6" s="2166"/>
      <c r="L6" s="2165"/>
      <c r="M6" s="2168"/>
      <c r="N6" s="2168"/>
      <c r="O6" s="2166"/>
      <c r="P6" s="2165"/>
      <c r="Q6" s="2168"/>
      <c r="R6" s="2168"/>
      <c r="S6" s="2166"/>
      <c r="T6" s="2163"/>
      <c r="U6" s="2164"/>
      <c r="V6" s="2165"/>
      <c r="W6" s="2168"/>
      <c r="X6" s="2168"/>
      <c r="Y6" s="2166"/>
      <c r="Z6" s="2160"/>
      <c r="AA6" s="2160"/>
      <c r="AB6" s="2172"/>
      <c r="AC6" s="2166"/>
      <c r="AD6" s="2165"/>
      <c r="AE6" s="2168"/>
      <c r="AF6" s="2168"/>
      <c r="AG6" s="2166"/>
      <c r="AH6" s="2172"/>
      <c r="AI6" s="2160"/>
    </row>
    <row r="7" spans="1:36" s="1508" customFormat="1" ht="11.25" x14ac:dyDescent="0.25">
      <c r="A7" s="2160"/>
      <c r="B7" s="2160"/>
      <c r="C7" s="2160"/>
      <c r="D7" s="2170" t="s">
        <v>145</v>
      </c>
      <c r="E7" s="2170" t="s">
        <v>1189</v>
      </c>
      <c r="F7" s="2165"/>
      <c r="G7" s="2166"/>
      <c r="H7" s="2160" t="s">
        <v>145</v>
      </c>
      <c r="I7" s="2160" t="s">
        <v>1189</v>
      </c>
      <c r="J7" s="2160"/>
      <c r="K7" s="2160"/>
      <c r="L7" s="2160" t="s">
        <v>145</v>
      </c>
      <c r="M7" s="2160" t="s">
        <v>1189</v>
      </c>
      <c r="N7" s="2160"/>
      <c r="O7" s="2160"/>
      <c r="P7" s="2160" t="s">
        <v>145</v>
      </c>
      <c r="Q7" s="2160" t="s">
        <v>1189</v>
      </c>
      <c r="R7" s="2160"/>
      <c r="S7" s="2160"/>
      <c r="T7" s="2165"/>
      <c r="U7" s="2166"/>
      <c r="V7" s="2160" t="s">
        <v>145</v>
      </c>
      <c r="W7" s="2160" t="s">
        <v>1189</v>
      </c>
      <c r="X7" s="2160"/>
      <c r="Y7" s="2160"/>
      <c r="Z7" s="2160" t="s">
        <v>61</v>
      </c>
      <c r="AA7" s="2160" t="s">
        <v>1189</v>
      </c>
      <c r="AB7" s="2172"/>
      <c r="AC7" s="1762"/>
      <c r="AD7" s="2160" t="s">
        <v>145</v>
      </c>
      <c r="AE7" s="2160" t="s">
        <v>1189</v>
      </c>
      <c r="AF7" s="2160"/>
      <c r="AG7" s="2160"/>
      <c r="AH7" s="2172"/>
      <c r="AI7" s="2160"/>
    </row>
    <row r="8" spans="1:36" s="1508" customFormat="1" ht="11.25" x14ac:dyDescent="0.25">
      <c r="A8" s="2160"/>
      <c r="B8" s="2160"/>
      <c r="C8" s="2160"/>
      <c r="D8" s="2172"/>
      <c r="E8" s="2173"/>
      <c r="F8" s="2170" t="s">
        <v>145</v>
      </c>
      <c r="G8" s="2170" t="s">
        <v>1189</v>
      </c>
      <c r="H8" s="2160"/>
      <c r="I8" s="2160" t="s">
        <v>61</v>
      </c>
      <c r="J8" s="2169" t="s">
        <v>5</v>
      </c>
      <c r="K8" s="2169"/>
      <c r="L8" s="2160"/>
      <c r="M8" s="2160" t="s">
        <v>61</v>
      </c>
      <c r="N8" s="2169" t="s">
        <v>5</v>
      </c>
      <c r="O8" s="2169"/>
      <c r="P8" s="2160"/>
      <c r="Q8" s="2160" t="s">
        <v>61</v>
      </c>
      <c r="R8" s="2169" t="s">
        <v>5</v>
      </c>
      <c r="S8" s="2169"/>
      <c r="T8" s="2170" t="s">
        <v>145</v>
      </c>
      <c r="U8" s="2170" t="s">
        <v>1189</v>
      </c>
      <c r="V8" s="2160"/>
      <c r="W8" s="2160" t="s">
        <v>61</v>
      </c>
      <c r="X8" s="2169" t="s">
        <v>5</v>
      </c>
      <c r="Y8" s="2169"/>
      <c r="Z8" s="2160"/>
      <c r="AA8" s="2160"/>
      <c r="AB8" s="2172"/>
      <c r="AC8" s="1763"/>
      <c r="AD8" s="2160"/>
      <c r="AE8" s="2160" t="s">
        <v>61</v>
      </c>
      <c r="AF8" s="2169" t="s">
        <v>5</v>
      </c>
      <c r="AG8" s="2169"/>
      <c r="AH8" s="2172"/>
      <c r="AI8" s="2160"/>
    </row>
    <row r="9" spans="1:36" s="1508" customFormat="1" ht="33.75" x14ac:dyDescent="0.25">
      <c r="A9" s="2160"/>
      <c r="B9" s="2160"/>
      <c r="C9" s="2160"/>
      <c r="D9" s="2171"/>
      <c r="E9" s="2174"/>
      <c r="F9" s="2171"/>
      <c r="G9" s="2171"/>
      <c r="H9" s="2160"/>
      <c r="I9" s="2160"/>
      <c r="J9" s="1764" t="s">
        <v>1190</v>
      </c>
      <c r="K9" s="1764" t="s">
        <v>2409</v>
      </c>
      <c r="L9" s="2160"/>
      <c r="M9" s="2160"/>
      <c r="N9" s="1764" t="s">
        <v>1190</v>
      </c>
      <c r="O9" s="1764" t="s">
        <v>2409</v>
      </c>
      <c r="P9" s="2160"/>
      <c r="Q9" s="2160"/>
      <c r="R9" s="1764" t="s">
        <v>1190</v>
      </c>
      <c r="S9" s="1764" t="s">
        <v>2409</v>
      </c>
      <c r="T9" s="2171"/>
      <c r="U9" s="2171"/>
      <c r="V9" s="2160"/>
      <c r="W9" s="2160"/>
      <c r="X9" s="1764" t="s">
        <v>1190</v>
      </c>
      <c r="Y9" s="1764" t="s">
        <v>2409</v>
      </c>
      <c r="Z9" s="2160"/>
      <c r="AA9" s="2160"/>
      <c r="AB9" s="2171"/>
      <c r="AC9" s="1764" t="s">
        <v>2409</v>
      </c>
      <c r="AD9" s="2160"/>
      <c r="AE9" s="2160"/>
      <c r="AF9" s="1764" t="s">
        <v>1190</v>
      </c>
      <c r="AG9" s="1764" t="s">
        <v>2409</v>
      </c>
      <c r="AH9" s="2171"/>
      <c r="AI9" s="2160"/>
    </row>
    <row r="10" spans="1:36" s="1637" customFormat="1" ht="11.25" x14ac:dyDescent="0.25">
      <c r="A10" s="1791">
        <v>1</v>
      </c>
      <c r="B10" s="1791">
        <f>A10+1</f>
        <v>2</v>
      </c>
      <c r="C10" s="1791">
        <v>3</v>
      </c>
      <c r="D10" s="1791">
        <v>4</v>
      </c>
      <c r="E10" s="1791">
        <v>5</v>
      </c>
      <c r="F10" s="1791">
        <v>6</v>
      </c>
      <c r="G10" s="1791">
        <v>7</v>
      </c>
      <c r="H10" s="1791">
        <v>8</v>
      </c>
      <c r="I10" s="1791">
        <v>9</v>
      </c>
      <c r="J10" s="1791">
        <v>10</v>
      </c>
      <c r="K10" s="1791">
        <v>11</v>
      </c>
      <c r="L10" s="1791">
        <v>12</v>
      </c>
      <c r="M10" s="1791">
        <v>13</v>
      </c>
      <c r="N10" s="1791">
        <v>14</v>
      </c>
      <c r="O10" s="1791">
        <v>15</v>
      </c>
      <c r="P10" s="1791">
        <v>16</v>
      </c>
      <c r="Q10" s="1791">
        <v>17</v>
      </c>
      <c r="R10" s="1791">
        <v>18</v>
      </c>
      <c r="S10" s="1791">
        <v>19</v>
      </c>
      <c r="T10" s="1791">
        <v>6</v>
      </c>
      <c r="U10" s="1791">
        <v>7</v>
      </c>
      <c r="V10" s="1791">
        <v>8</v>
      </c>
      <c r="W10" s="1791">
        <v>9</v>
      </c>
      <c r="X10" s="1791">
        <v>24</v>
      </c>
      <c r="Y10" s="1791">
        <v>10</v>
      </c>
      <c r="Z10" s="1791">
        <v>11</v>
      </c>
      <c r="AA10" s="1791">
        <v>12</v>
      </c>
      <c r="AB10" s="1791">
        <v>13</v>
      </c>
      <c r="AC10" s="1791">
        <v>32</v>
      </c>
      <c r="AD10" s="1791">
        <v>14</v>
      </c>
      <c r="AE10" s="1791">
        <v>15</v>
      </c>
      <c r="AF10" s="1791">
        <v>35</v>
      </c>
      <c r="AG10" s="1791">
        <v>16</v>
      </c>
      <c r="AH10" s="1791">
        <v>17</v>
      </c>
      <c r="AI10" s="1791">
        <v>18</v>
      </c>
    </row>
    <row r="11" spans="1:36" s="1637" customFormat="1" ht="11.25" x14ac:dyDescent="0.25">
      <c r="A11" s="1799"/>
      <c r="B11" s="1660" t="s">
        <v>89</v>
      </c>
      <c r="C11" s="1799"/>
      <c r="D11" s="1661">
        <f t="shared" ref="D11:AG11" si="0">D12+D44</f>
        <v>1312355</v>
      </c>
      <c r="E11" s="1661">
        <f t="shared" si="0"/>
        <v>289666</v>
      </c>
      <c r="F11" s="1661">
        <f t="shared" si="0"/>
        <v>240595</v>
      </c>
      <c r="G11" s="1661">
        <f t="shared" si="0"/>
        <v>1455</v>
      </c>
      <c r="H11" s="1661">
        <f t="shared" si="0"/>
        <v>217554</v>
      </c>
      <c r="I11" s="1661">
        <f t="shared" si="0"/>
        <v>12000</v>
      </c>
      <c r="J11" s="1661">
        <f t="shared" si="0"/>
        <v>0</v>
      </c>
      <c r="K11" s="1661">
        <f t="shared" si="0"/>
        <v>1000</v>
      </c>
      <c r="L11" s="1661">
        <f t="shared" si="0"/>
        <v>175378</v>
      </c>
      <c r="M11" s="1661">
        <f t="shared" si="0"/>
        <v>23417</v>
      </c>
      <c r="N11" s="1661">
        <f t="shared" si="0"/>
        <v>0</v>
      </c>
      <c r="O11" s="1661">
        <f t="shared" si="0"/>
        <v>3940</v>
      </c>
      <c r="P11" s="1661">
        <f t="shared" si="0"/>
        <v>78765</v>
      </c>
      <c r="Q11" s="1661">
        <f t="shared" si="0"/>
        <v>78765</v>
      </c>
      <c r="R11" s="1661">
        <f t="shared" si="0"/>
        <v>0</v>
      </c>
      <c r="S11" s="1661">
        <f t="shared" si="0"/>
        <v>5591</v>
      </c>
      <c r="T11" s="1661">
        <f t="shared" si="0"/>
        <v>712292</v>
      </c>
      <c r="U11" s="1661">
        <f>U12+U44</f>
        <v>115637</v>
      </c>
      <c r="V11" s="1661">
        <f t="shared" si="0"/>
        <v>1094225</v>
      </c>
      <c r="W11" s="1661">
        <f t="shared" si="0"/>
        <v>200380</v>
      </c>
      <c r="X11" s="1661">
        <f t="shared" si="0"/>
        <v>0</v>
      </c>
      <c r="Y11" s="1661">
        <f t="shared" si="0"/>
        <v>10744</v>
      </c>
      <c r="Z11" s="1661">
        <f t="shared" si="0"/>
        <v>471697</v>
      </c>
      <c r="AA11" s="1661">
        <f t="shared" si="0"/>
        <v>114182</v>
      </c>
      <c r="AB11" s="1661">
        <f>AB12+AB44</f>
        <v>86198</v>
      </c>
      <c r="AC11" s="1661">
        <f t="shared" si="0"/>
        <v>0</v>
      </c>
      <c r="AD11" s="1661">
        <f t="shared" si="0"/>
        <v>86229</v>
      </c>
      <c r="AE11" s="1661">
        <f t="shared" si="0"/>
        <v>86229</v>
      </c>
      <c r="AF11" s="1661">
        <f t="shared" si="0"/>
        <v>0</v>
      </c>
      <c r="AG11" s="1661">
        <f t="shared" si="0"/>
        <v>0</v>
      </c>
      <c r="AH11" s="1660"/>
      <c r="AI11" s="1509"/>
      <c r="AJ11" s="1637">
        <v>1</v>
      </c>
    </row>
    <row r="12" spans="1:36" s="1551" customFormat="1" ht="11.25" x14ac:dyDescent="0.25">
      <c r="A12" s="1792" t="s">
        <v>2</v>
      </c>
      <c r="B12" s="1793" t="s">
        <v>2360</v>
      </c>
      <c r="C12" s="1642"/>
      <c r="D12" s="1794">
        <f t="shared" ref="D12:AG12" si="1">D13+D38</f>
        <v>758819</v>
      </c>
      <c r="E12" s="1794">
        <f t="shared" si="1"/>
        <v>178027</v>
      </c>
      <c r="F12" s="1794">
        <f t="shared" si="1"/>
        <v>240595</v>
      </c>
      <c r="G12" s="1794">
        <f t="shared" si="1"/>
        <v>1455</v>
      </c>
      <c r="H12" s="1794">
        <f t="shared" si="1"/>
        <v>216554</v>
      </c>
      <c r="I12" s="1794">
        <f t="shared" si="1"/>
        <v>11000</v>
      </c>
      <c r="J12" s="1794">
        <f t="shared" si="1"/>
        <v>0</v>
      </c>
      <c r="K12" s="1794">
        <f t="shared" si="1"/>
        <v>1000</v>
      </c>
      <c r="L12" s="1794">
        <f t="shared" si="1"/>
        <v>168987</v>
      </c>
      <c r="M12" s="1794">
        <f t="shared" si="1"/>
        <v>17026</v>
      </c>
      <c r="N12" s="1794">
        <f t="shared" si="1"/>
        <v>0</v>
      </c>
      <c r="O12" s="1794">
        <f t="shared" si="1"/>
        <v>3940</v>
      </c>
      <c r="P12" s="1794">
        <f t="shared" si="1"/>
        <v>69456</v>
      </c>
      <c r="Q12" s="1794">
        <f t="shared" si="1"/>
        <v>69456</v>
      </c>
      <c r="R12" s="1794">
        <f t="shared" si="1"/>
        <v>0</v>
      </c>
      <c r="S12" s="1794">
        <f t="shared" si="1"/>
        <v>5591</v>
      </c>
      <c r="T12" s="1794">
        <f t="shared" si="1"/>
        <v>695592</v>
      </c>
      <c r="U12" s="1794">
        <f t="shared" si="1"/>
        <v>98937</v>
      </c>
      <c r="V12" s="1794">
        <f t="shared" si="1"/>
        <v>1022450</v>
      </c>
      <c r="W12" s="1794">
        <f t="shared" si="1"/>
        <v>158605</v>
      </c>
      <c r="X12" s="1794">
        <f t="shared" si="1"/>
        <v>0</v>
      </c>
      <c r="Y12" s="1794">
        <f t="shared" si="1"/>
        <v>10744</v>
      </c>
      <c r="Z12" s="1794">
        <f t="shared" si="1"/>
        <v>454997</v>
      </c>
      <c r="AA12" s="1794">
        <f t="shared" si="1"/>
        <v>97482</v>
      </c>
      <c r="AB12" s="1794">
        <f t="shared" si="1"/>
        <v>61123</v>
      </c>
      <c r="AC12" s="1794">
        <f t="shared" si="1"/>
        <v>0</v>
      </c>
      <c r="AD12" s="1794">
        <f t="shared" si="1"/>
        <v>58405</v>
      </c>
      <c r="AE12" s="1794">
        <f t="shared" si="1"/>
        <v>58405</v>
      </c>
      <c r="AF12" s="1794">
        <f t="shared" si="1"/>
        <v>0</v>
      </c>
      <c r="AG12" s="1794">
        <f t="shared" si="1"/>
        <v>0</v>
      </c>
      <c r="AH12" s="1792"/>
      <c r="AI12" s="1765"/>
      <c r="AJ12" s="1551">
        <v>1</v>
      </c>
    </row>
    <row r="13" spans="1:36" s="1551" customFormat="1" ht="21" x14ac:dyDescent="0.25">
      <c r="A13" s="1785" t="s">
        <v>146</v>
      </c>
      <c r="B13" s="1578" t="s">
        <v>2361</v>
      </c>
      <c r="C13" s="1614"/>
      <c r="D13" s="1786">
        <f t="shared" ref="D13:W13" si="2">D14+D23</f>
        <v>504815</v>
      </c>
      <c r="E13" s="1786">
        <f t="shared" si="2"/>
        <v>119772</v>
      </c>
      <c r="F13" s="1786">
        <f t="shared" si="2"/>
        <v>240595</v>
      </c>
      <c r="G13" s="1786">
        <f t="shared" si="2"/>
        <v>1455</v>
      </c>
      <c r="H13" s="1786">
        <f t="shared" si="2"/>
        <v>215554</v>
      </c>
      <c r="I13" s="1786">
        <f t="shared" si="2"/>
        <v>10000</v>
      </c>
      <c r="J13" s="1786">
        <f t="shared" si="2"/>
        <v>0</v>
      </c>
      <c r="K13" s="1786">
        <f t="shared" si="2"/>
        <v>1000</v>
      </c>
      <c r="L13" s="1786">
        <f t="shared" si="2"/>
        <v>119594</v>
      </c>
      <c r="M13" s="1786">
        <f t="shared" si="2"/>
        <v>14977</v>
      </c>
      <c r="N13" s="1786">
        <f t="shared" si="2"/>
        <v>0</v>
      </c>
      <c r="O13" s="1786">
        <f t="shared" si="2"/>
        <v>3940</v>
      </c>
      <c r="P13" s="1786">
        <f t="shared" si="2"/>
        <v>61453</v>
      </c>
      <c r="Q13" s="1786">
        <f t="shared" si="2"/>
        <v>61453</v>
      </c>
      <c r="R13" s="1786">
        <f t="shared" si="2"/>
        <v>0</v>
      </c>
      <c r="S13" s="1786">
        <f t="shared" si="2"/>
        <v>5591</v>
      </c>
      <c r="T13" s="1786">
        <f t="shared" si="2"/>
        <v>637196</v>
      </c>
      <c r="U13" s="1786">
        <f>U14+U23</f>
        <v>87885</v>
      </c>
      <c r="V13" s="1786">
        <f t="shared" si="2"/>
        <v>478857</v>
      </c>
      <c r="W13" s="1786">
        <f t="shared" si="2"/>
        <v>119046</v>
      </c>
      <c r="X13" s="1786">
        <f>X14+X23</f>
        <v>0</v>
      </c>
      <c r="Y13" s="1786">
        <f>Y14+Y23</f>
        <v>10744</v>
      </c>
      <c r="Z13" s="1786">
        <f t="shared" ref="Z13:AG13" si="3">Z14+Z23</f>
        <v>396601</v>
      </c>
      <c r="AA13" s="1786">
        <f t="shared" si="3"/>
        <v>86430</v>
      </c>
      <c r="AB13" s="1786">
        <f t="shared" si="3"/>
        <v>32616</v>
      </c>
      <c r="AC13" s="1786">
        <f t="shared" si="3"/>
        <v>0</v>
      </c>
      <c r="AD13" s="1786">
        <f t="shared" si="3"/>
        <v>29898</v>
      </c>
      <c r="AE13" s="1786">
        <f t="shared" si="3"/>
        <v>29898</v>
      </c>
      <c r="AF13" s="1786">
        <f t="shared" si="3"/>
        <v>0</v>
      </c>
      <c r="AG13" s="1786">
        <f t="shared" si="3"/>
        <v>0</v>
      </c>
      <c r="AH13" s="1785"/>
      <c r="AI13" s="1509"/>
      <c r="AJ13" s="1551">
        <v>1</v>
      </c>
    </row>
    <row r="14" spans="1:36" s="1551" customFormat="1" ht="11.25" x14ac:dyDescent="0.25">
      <c r="A14" s="1800" t="s">
        <v>438</v>
      </c>
      <c r="B14" s="1801" t="s">
        <v>1194</v>
      </c>
      <c r="C14" s="1800"/>
      <c r="D14" s="1802">
        <f t="shared" ref="D14:T14" si="4">SUM(D15:D20)</f>
        <v>75439</v>
      </c>
      <c r="E14" s="1802">
        <f t="shared" si="4"/>
        <v>21118</v>
      </c>
      <c r="F14" s="1802">
        <f t="shared" si="4"/>
        <v>41593</v>
      </c>
      <c r="G14" s="1802">
        <f t="shared" si="4"/>
        <v>0</v>
      </c>
      <c r="H14" s="1802">
        <f t="shared" si="4"/>
        <v>6708</v>
      </c>
      <c r="I14" s="1802">
        <f t="shared" si="4"/>
        <v>1000</v>
      </c>
      <c r="J14" s="1802">
        <f t="shared" si="4"/>
        <v>0</v>
      </c>
      <c r="K14" s="1802">
        <f t="shared" si="4"/>
        <v>1000</v>
      </c>
      <c r="L14" s="1802">
        <f t="shared" si="4"/>
        <v>14943</v>
      </c>
      <c r="M14" s="1802">
        <f t="shared" si="4"/>
        <v>6195</v>
      </c>
      <c r="N14" s="1802">
        <f t="shared" si="4"/>
        <v>0</v>
      </c>
      <c r="O14" s="1802">
        <f t="shared" si="4"/>
        <v>3940</v>
      </c>
      <c r="P14" s="1802">
        <f t="shared" si="4"/>
        <v>7810</v>
      </c>
      <c r="Q14" s="1802">
        <f>SUM(Q15:Q20)</f>
        <v>7810</v>
      </c>
      <c r="R14" s="1802">
        <f t="shared" si="4"/>
        <v>0</v>
      </c>
      <c r="S14" s="1802">
        <f t="shared" si="4"/>
        <v>5591</v>
      </c>
      <c r="T14" s="1802">
        <f t="shared" si="4"/>
        <v>71054</v>
      </c>
      <c r="U14" s="1802">
        <f>SUM(U15:U20)</f>
        <v>15005</v>
      </c>
      <c r="V14" s="1802">
        <f t="shared" ref="V14:W14" si="5">SUM(V15:V20)</f>
        <v>30251</v>
      </c>
      <c r="W14" s="1802">
        <f t="shared" si="5"/>
        <v>15795</v>
      </c>
      <c r="X14" s="1802">
        <f>SUM(X15:X20)</f>
        <v>0</v>
      </c>
      <c r="Y14" s="1802">
        <f>SUM(Y15:Y20)</f>
        <v>10744</v>
      </c>
      <c r="Z14" s="1802">
        <f t="shared" ref="Z14:AG14" si="6">SUM(Z15:Z20)</f>
        <v>29461</v>
      </c>
      <c r="AA14" s="1802">
        <f t="shared" si="6"/>
        <v>15005</v>
      </c>
      <c r="AB14" s="1802">
        <f t="shared" si="6"/>
        <v>790</v>
      </c>
      <c r="AC14" s="1802">
        <f t="shared" si="6"/>
        <v>0</v>
      </c>
      <c r="AD14" s="1802">
        <f t="shared" si="6"/>
        <v>229</v>
      </c>
      <c r="AE14" s="1802">
        <f t="shared" si="6"/>
        <v>229</v>
      </c>
      <c r="AF14" s="1802">
        <f t="shared" si="6"/>
        <v>0</v>
      </c>
      <c r="AG14" s="1802">
        <f t="shared" si="6"/>
        <v>0</v>
      </c>
      <c r="AH14" s="1800"/>
      <c r="AI14" s="1509"/>
      <c r="AJ14" s="1551">
        <v>1</v>
      </c>
    </row>
    <row r="15" spans="1:36" s="1551" customFormat="1" ht="33.75" x14ac:dyDescent="0.25">
      <c r="A15" s="1527">
        <v>1</v>
      </c>
      <c r="B15" s="1544" t="s">
        <v>2362</v>
      </c>
      <c r="C15" s="1527" t="s">
        <v>2363</v>
      </c>
      <c r="D15" s="1536">
        <v>24901</v>
      </c>
      <c r="E15" s="1536">
        <v>10642</v>
      </c>
      <c r="F15" s="1529">
        <v>12013</v>
      </c>
      <c r="G15" s="1529">
        <v>0</v>
      </c>
      <c r="H15" s="1528">
        <v>2246</v>
      </c>
      <c r="I15" s="1528"/>
      <c r="J15" s="1544"/>
      <c r="K15" s="1544"/>
      <c r="L15" s="1528">
        <f>7250+M15</f>
        <v>10322</v>
      </c>
      <c r="M15" s="1528">
        <v>3072</v>
      </c>
      <c r="N15" s="1544"/>
      <c r="O15" s="1544">
        <v>3071</v>
      </c>
      <c r="P15" s="1544"/>
      <c r="Q15" s="1544"/>
      <c r="R15" s="1544"/>
      <c r="S15" s="1544"/>
      <c r="T15" s="1544">
        <f>F15+H15+L15+P15</f>
        <v>24581</v>
      </c>
      <c r="U15" s="1544">
        <f>G15+I15+M15+Q15</f>
        <v>3072</v>
      </c>
      <c r="V15" s="1528">
        <f>W15+9496</f>
        <v>12568</v>
      </c>
      <c r="W15" s="1528">
        <v>3072</v>
      </c>
      <c r="X15" s="1544"/>
      <c r="Y15" s="1544">
        <v>3071</v>
      </c>
      <c r="Z15" s="1544">
        <f t="shared" ref="Z15:AA19" si="7">H15+L15+P15</f>
        <v>12568</v>
      </c>
      <c r="AA15" s="1544">
        <f t="shared" si="7"/>
        <v>3072</v>
      </c>
      <c r="AB15" s="1544">
        <f>W15-AA15</f>
        <v>0</v>
      </c>
      <c r="AC15" s="1544"/>
      <c r="AD15" s="1544"/>
      <c r="AE15" s="1544"/>
      <c r="AF15" s="1544"/>
      <c r="AG15" s="1544"/>
      <c r="AH15" s="1509" t="s">
        <v>983</v>
      </c>
      <c r="AI15" s="1509"/>
    </row>
    <row r="16" spans="1:36" s="1551" customFormat="1" ht="22.5" x14ac:dyDescent="0.25">
      <c r="A16" s="1527">
        <v>2</v>
      </c>
      <c r="B16" s="1526" t="s">
        <v>1952</v>
      </c>
      <c r="C16" s="1509" t="s">
        <v>2364</v>
      </c>
      <c r="D16" s="1528">
        <v>9576</v>
      </c>
      <c r="E16" s="1528">
        <v>2098</v>
      </c>
      <c r="F16" s="1529">
        <v>4599</v>
      </c>
      <c r="G16" s="1529">
        <v>0</v>
      </c>
      <c r="H16" s="1528">
        <f>I16</f>
        <v>1000</v>
      </c>
      <c r="I16" s="1528">
        <v>1000</v>
      </c>
      <c r="J16" s="1544"/>
      <c r="K16" s="1544">
        <v>1000</v>
      </c>
      <c r="L16" s="1528">
        <v>869</v>
      </c>
      <c r="M16" s="1528">
        <v>869</v>
      </c>
      <c r="N16" s="1544"/>
      <c r="O16" s="1544">
        <v>869</v>
      </c>
      <c r="P16" s="1544"/>
      <c r="Q16" s="1544"/>
      <c r="R16" s="1544"/>
      <c r="S16" s="1544"/>
      <c r="T16" s="1544">
        <f t="shared" ref="T16:U49" si="8">F16+H16+L16+P16</f>
        <v>6468</v>
      </c>
      <c r="U16" s="1544">
        <f t="shared" si="8"/>
        <v>1869</v>
      </c>
      <c r="V16" s="1528">
        <f>W16</f>
        <v>2098</v>
      </c>
      <c r="W16" s="1528">
        <v>2098</v>
      </c>
      <c r="X16" s="1544"/>
      <c r="Y16" s="1544">
        <v>2082</v>
      </c>
      <c r="Z16" s="1544">
        <f t="shared" si="7"/>
        <v>1869</v>
      </c>
      <c r="AA16" s="1544">
        <f t="shared" si="7"/>
        <v>1869</v>
      </c>
      <c r="AB16" s="1544">
        <f t="shared" ref="AB16:AB19" si="9">W16-AA16</f>
        <v>229</v>
      </c>
      <c r="AC16" s="1544"/>
      <c r="AD16" s="1544">
        <v>229</v>
      </c>
      <c r="AE16" s="1544">
        <v>229</v>
      </c>
      <c r="AF16" s="1544"/>
      <c r="AG16" s="1544"/>
      <c r="AH16" s="1509" t="s">
        <v>424</v>
      </c>
      <c r="AI16" s="1509" t="s">
        <v>1803</v>
      </c>
    </row>
    <row r="17" spans="1:36" s="1551" customFormat="1" ht="45" x14ac:dyDescent="0.25">
      <c r="A17" s="1527">
        <v>3</v>
      </c>
      <c r="B17" s="1526" t="s">
        <v>2365</v>
      </c>
      <c r="C17" s="1509" t="s">
        <v>2366</v>
      </c>
      <c r="D17" s="1528">
        <v>6408</v>
      </c>
      <c r="E17" s="1528">
        <v>641</v>
      </c>
      <c r="F17" s="1529">
        <v>4731</v>
      </c>
      <c r="G17" s="1529">
        <v>0</v>
      </c>
      <c r="H17" s="1520"/>
      <c r="I17" s="1528"/>
      <c r="J17" s="1544"/>
      <c r="K17" s="1544"/>
      <c r="L17" s="1528">
        <v>3000</v>
      </c>
      <c r="M17" s="1528">
        <v>2000</v>
      </c>
      <c r="N17" s="1544"/>
      <c r="O17" s="1544"/>
      <c r="P17" s="1544">
        <v>7265</v>
      </c>
      <c r="Q17" s="1544">
        <v>7265</v>
      </c>
      <c r="R17" s="1544"/>
      <c r="S17" s="1544">
        <v>5591</v>
      </c>
      <c r="T17" s="1544">
        <f t="shared" si="8"/>
        <v>14996</v>
      </c>
      <c r="U17" s="1544">
        <f t="shared" si="8"/>
        <v>9265</v>
      </c>
      <c r="V17" s="1528">
        <f>W17+1000</f>
        <v>10265</v>
      </c>
      <c r="W17" s="1528">
        <v>9265</v>
      </c>
      <c r="X17" s="1544"/>
      <c r="Y17" s="1544">
        <v>5591</v>
      </c>
      <c r="Z17" s="1544">
        <f t="shared" si="7"/>
        <v>10265</v>
      </c>
      <c r="AA17" s="1544">
        <f t="shared" si="7"/>
        <v>9265</v>
      </c>
      <c r="AB17" s="1544">
        <f t="shared" si="9"/>
        <v>0</v>
      </c>
      <c r="AC17" s="1544"/>
      <c r="AD17" s="1544"/>
      <c r="AE17" s="1544"/>
      <c r="AF17" s="1544"/>
      <c r="AG17" s="1544"/>
      <c r="AH17" s="1509" t="s">
        <v>2367</v>
      </c>
      <c r="AI17" s="1509"/>
    </row>
    <row r="18" spans="1:36" s="1551" customFormat="1" ht="22.5" x14ac:dyDescent="0.25">
      <c r="A18" s="1527">
        <v>4</v>
      </c>
      <c r="B18" s="1606" t="s">
        <v>2368</v>
      </c>
      <c r="C18" s="1509" t="s">
        <v>2369</v>
      </c>
      <c r="D18" s="1528">
        <v>12923</v>
      </c>
      <c r="E18" s="1528">
        <v>4347</v>
      </c>
      <c r="F18" s="1529">
        <v>8576</v>
      </c>
      <c r="G18" s="1529">
        <v>0</v>
      </c>
      <c r="H18" s="1520"/>
      <c r="I18" s="1528"/>
      <c r="J18" s="1544"/>
      <c r="K18" s="1544"/>
      <c r="L18" s="1520"/>
      <c r="M18" s="1528"/>
      <c r="N18" s="1544"/>
      <c r="O18" s="1544"/>
      <c r="P18" s="1544">
        <v>545</v>
      </c>
      <c r="Q18" s="1544">
        <v>545</v>
      </c>
      <c r="R18" s="1544"/>
      <c r="S18" s="1544">
        <v>0</v>
      </c>
      <c r="T18" s="1544">
        <f t="shared" si="8"/>
        <v>9121</v>
      </c>
      <c r="U18" s="1544">
        <f t="shared" si="8"/>
        <v>545</v>
      </c>
      <c r="V18" s="1528">
        <v>545</v>
      </c>
      <c r="W18" s="1528">
        <v>545</v>
      </c>
      <c r="X18" s="1544"/>
      <c r="Y18" s="1544"/>
      <c r="Z18" s="1544">
        <f t="shared" si="7"/>
        <v>545</v>
      </c>
      <c r="AA18" s="1544">
        <f t="shared" si="7"/>
        <v>545</v>
      </c>
      <c r="AB18" s="1544">
        <f t="shared" si="9"/>
        <v>0</v>
      </c>
      <c r="AC18" s="1544"/>
      <c r="AD18" s="1544"/>
      <c r="AE18" s="1544"/>
      <c r="AF18" s="1544"/>
      <c r="AG18" s="1544"/>
      <c r="AH18" s="1509" t="s">
        <v>426</v>
      </c>
      <c r="AI18" s="1509"/>
    </row>
    <row r="19" spans="1:36" s="1551" customFormat="1" ht="22.5" x14ac:dyDescent="0.25">
      <c r="A19" s="1527">
        <v>5</v>
      </c>
      <c r="B19" s="1526" t="s">
        <v>2370</v>
      </c>
      <c r="C19" s="1509" t="s">
        <v>2371</v>
      </c>
      <c r="D19" s="1528">
        <v>9998</v>
      </c>
      <c r="E19" s="1528">
        <v>1000</v>
      </c>
      <c r="F19" s="1529">
        <v>6000</v>
      </c>
      <c r="G19" s="1529">
        <v>0</v>
      </c>
      <c r="H19" s="1544">
        <v>2500</v>
      </c>
      <c r="I19" s="1528"/>
      <c r="J19" s="1544"/>
      <c r="K19" s="1544"/>
      <c r="L19" s="1544">
        <v>498</v>
      </c>
      <c r="M19" s="1528">
        <v>0</v>
      </c>
      <c r="N19" s="1544"/>
      <c r="O19" s="1544"/>
      <c r="P19" s="1544"/>
      <c r="Q19" s="1544"/>
      <c r="R19" s="1544"/>
      <c r="S19" s="1544">
        <v>0</v>
      </c>
      <c r="T19" s="1544">
        <f t="shared" si="8"/>
        <v>8998</v>
      </c>
      <c r="U19" s="1544">
        <f t="shared" si="8"/>
        <v>0</v>
      </c>
      <c r="V19" s="1544">
        <v>3559</v>
      </c>
      <c r="W19" s="1528">
        <v>561</v>
      </c>
      <c r="X19" s="1544"/>
      <c r="Y19" s="1544"/>
      <c r="Z19" s="1544">
        <f t="shared" si="7"/>
        <v>2998</v>
      </c>
      <c r="AA19" s="1544">
        <f t="shared" si="7"/>
        <v>0</v>
      </c>
      <c r="AB19" s="1544">
        <f t="shared" si="9"/>
        <v>561</v>
      </c>
      <c r="AC19" s="1544"/>
      <c r="AD19" s="1544"/>
      <c r="AE19" s="1544"/>
      <c r="AF19" s="1544"/>
      <c r="AG19" s="1544"/>
      <c r="AH19" s="1527" t="s">
        <v>421</v>
      </c>
      <c r="AI19" s="1509" t="s">
        <v>2372</v>
      </c>
    </row>
    <row r="20" spans="1:36" s="1551" customFormat="1" ht="22.5" x14ac:dyDescent="0.25">
      <c r="A20" s="1527">
        <v>6</v>
      </c>
      <c r="B20" s="1526" t="s">
        <v>2373</v>
      </c>
      <c r="C20" s="1509" t="s">
        <v>2374</v>
      </c>
      <c r="D20" s="1528">
        <f t="shared" ref="D20:S20" si="10">D21+D22</f>
        <v>11633</v>
      </c>
      <c r="E20" s="1528">
        <f t="shared" si="10"/>
        <v>2390</v>
      </c>
      <c r="F20" s="1528">
        <f t="shared" si="10"/>
        <v>5674</v>
      </c>
      <c r="G20" s="1528">
        <f t="shared" si="10"/>
        <v>0</v>
      </c>
      <c r="H20" s="1528">
        <f t="shared" si="10"/>
        <v>962</v>
      </c>
      <c r="I20" s="1528">
        <f t="shared" si="10"/>
        <v>0</v>
      </c>
      <c r="J20" s="1528">
        <f t="shared" si="10"/>
        <v>0</v>
      </c>
      <c r="K20" s="1528">
        <f t="shared" si="10"/>
        <v>0</v>
      </c>
      <c r="L20" s="1528">
        <f t="shared" si="10"/>
        <v>254</v>
      </c>
      <c r="M20" s="1528">
        <f t="shared" si="10"/>
        <v>254</v>
      </c>
      <c r="N20" s="1528">
        <f t="shared" si="10"/>
        <v>0</v>
      </c>
      <c r="O20" s="1528">
        <f t="shared" si="10"/>
        <v>0</v>
      </c>
      <c r="P20" s="1528">
        <f t="shared" si="10"/>
        <v>0</v>
      </c>
      <c r="Q20" s="1528">
        <f t="shared" si="10"/>
        <v>0</v>
      </c>
      <c r="R20" s="1528">
        <f t="shared" si="10"/>
        <v>0</v>
      </c>
      <c r="S20" s="1528">
        <f t="shared" si="10"/>
        <v>0</v>
      </c>
      <c r="T20" s="1544">
        <f t="shared" si="8"/>
        <v>6890</v>
      </c>
      <c r="U20" s="1544">
        <f t="shared" si="8"/>
        <v>254</v>
      </c>
      <c r="V20" s="1528">
        <f t="shared" ref="V20:AB20" si="11">V21+V22</f>
        <v>1216</v>
      </c>
      <c r="W20" s="1528">
        <f t="shared" si="11"/>
        <v>254</v>
      </c>
      <c r="X20" s="1528">
        <f t="shared" si="11"/>
        <v>0</v>
      </c>
      <c r="Y20" s="1528">
        <f t="shared" si="11"/>
        <v>0</v>
      </c>
      <c r="Z20" s="1528">
        <f t="shared" si="11"/>
        <v>1216</v>
      </c>
      <c r="AA20" s="1528">
        <f t="shared" si="11"/>
        <v>254</v>
      </c>
      <c r="AB20" s="1528">
        <f t="shared" si="11"/>
        <v>0</v>
      </c>
      <c r="AC20" s="1528"/>
      <c r="AD20" s="1528"/>
      <c r="AE20" s="1528"/>
      <c r="AF20" s="1528"/>
      <c r="AG20" s="1528"/>
      <c r="AH20" s="1509"/>
      <c r="AI20" s="1509"/>
    </row>
    <row r="21" spans="1:36" s="1551" customFormat="1" ht="22.5" x14ac:dyDescent="0.25">
      <c r="A21" s="1527" t="s">
        <v>23</v>
      </c>
      <c r="B21" s="1766" t="s">
        <v>2375</v>
      </c>
      <c r="C21" s="1509"/>
      <c r="D21" s="1528">
        <v>5868</v>
      </c>
      <c r="E21" s="1528">
        <v>587</v>
      </c>
      <c r="F21" s="1529">
        <v>2674</v>
      </c>
      <c r="G21" s="1529">
        <v>0</v>
      </c>
      <c r="H21" s="1520"/>
      <c r="I21" s="1528"/>
      <c r="J21" s="1544"/>
      <c r="K21" s="1544"/>
      <c r="L21" s="1528">
        <f>M21</f>
        <v>254</v>
      </c>
      <c r="M21" s="1528">
        <v>254</v>
      </c>
      <c r="N21" s="1544"/>
      <c r="O21" s="1544"/>
      <c r="P21" s="1544"/>
      <c r="Q21" s="1544"/>
      <c r="R21" s="1544"/>
      <c r="S21" s="1544"/>
      <c r="T21" s="1544">
        <f t="shared" si="8"/>
        <v>2928</v>
      </c>
      <c r="U21" s="1544">
        <f t="shared" si="8"/>
        <v>254</v>
      </c>
      <c r="V21" s="1528">
        <f>W21</f>
        <v>254</v>
      </c>
      <c r="W21" s="1528">
        <v>254</v>
      </c>
      <c r="X21" s="1544"/>
      <c r="Y21" s="1544"/>
      <c r="Z21" s="1544">
        <f>H21+L21+P21</f>
        <v>254</v>
      </c>
      <c r="AA21" s="1544">
        <f>I21+M21+Q21</f>
        <v>254</v>
      </c>
      <c r="AB21" s="1544">
        <f t="shared" ref="AB21:AB22" si="12">W21-AA21</f>
        <v>0</v>
      </c>
      <c r="AC21" s="1544"/>
      <c r="AD21" s="1544"/>
      <c r="AE21" s="1544"/>
      <c r="AF21" s="1544"/>
      <c r="AG21" s="1544"/>
      <c r="AH21" s="1509" t="s">
        <v>2376</v>
      </c>
      <c r="AI21" s="1509"/>
    </row>
    <row r="22" spans="1:36" s="1551" customFormat="1" ht="11.25" x14ac:dyDescent="0.25">
      <c r="A22" s="1527" t="s">
        <v>23</v>
      </c>
      <c r="B22" s="1554" t="s">
        <v>2377</v>
      </c>
      <c r="C22" s="1509"/>
      <c r="D22" s="1528">
        <v>5765</v>
      </c>
      <c r="E22" s="1528">
        <v>1803</v>
      </c>
      <c r="F22" s="1529">
        <v>3000</v>
      </c>
      <c r="G22" s="1529">
        <v>0</v>
      </c>
      <c r="H22" s="1528">
        <v>962</v>
      </c>
      <c r="I22" s="1528"/>
      <c r="J22" s="1544"/>
      <c r="K22" s="1544"/>
      <c r="L22" s="1528">
        <v>0</v>
      </c>
      <c r="M22" s="1528"/>
      <c r="N22" s="1544"/>
      <c r="O22" s="1544"/>
      <c r="P22" s="1544"/>
      <c r="Q22" s="1544"/>
      <c r="R22" s="1544"/>
      <c r="S22" s="1544"/>
      <c r="T22" s="1544">
        <f t="shared" si="8"/>
        <v>3962</v>
      </c>
      <c r="U22" s="1544">
        <f t="shared" si="8"/>
        <v>0</v>
      </c>
      <c r="V22" s="1528">
        <v>962</v>
      </c>
      <c r="W22" s="1528">
        <v>0</v>
      </c>
      <c r="X22" s="1544"/>
      <c r="Y22" s="1544"/>
      <c r="Z22" s="1544">
        <f>H22+L22+P22</f>
        <v>962</v>
      </c>
      <c r="AA22" s="1544">
        <f>I22+M22+Q22</f>
        <v>0</v>
      </c>
      <c r="AB22" s="1544">
        <f t="shared" si="12"/>
        <v>0</v>
      </c>
      <c r="AC22" s="1544"/>
      <c r="AD22" s="1544"/>
      <c r="AE22" s="1544"/>
      <c r="AF22" s="1544"/>
      <c r="AG22" s="1544"/>
      <c r="AH22" s="1527" t="s">
        <v>2378</v>
      </c>
      <c r="AI22" s="1509"/>
    </row>
    <row r="23" spans="1:36" s="1551" customFormat="1" ht="11.25" x14ac:dyDescent="0.25">
      <c r="A23" s="1803" t="s">
        <v>439</v>
      </c>
      <c r="B23" s="1804" t="s">
        <v>1210</v>
      </c>
      <c r="C23" s="1800"/>
      <c r="D23" s="1802">
        <f>SUM(D24:D32)+D35</f>
        <v>429376</v>
      </c>
      <c r="E23" s="1802">
        <f t="shared" ref="E23:AG23" si="13">SUM(E24:E32)+E35</f>
        <v>98654</v>
      </c>
      <c r="F23" s="1802">
        <f t="shared" si="13"/>
        <v>199002</v>
      </c>
      <c r="G23" s="1802">
        <f t="shared" si="13"/>
        <v>1455</v>
      </c>
      <c r="H23" s="1802">
        <f t="shared" si="13"/>
        <v>208846</v>
      </c>
      <c r="I23" s="1802">
        <f t="shared" si="13"/>
        <v>9000</v>
      </c>
      <c r="J23" s="1802">
        <f t="shared" si="13"/>
        <v>0</v>
      </c>
      <c r="K23" s="1802">
        <f t="shared" si="13"/>
        <v>0</v>
      </c>
      <c r="L23" s="1802">
        <f t="shared" si="13"/>
        <v>104651</v>
      </c>
      <c r="M23" s="1802">
        <f t="shared" si="13"/>
        <v>8782</v>
      </c>
      <c r="N23" s="1802">
        <f t="shared" si="13"/>
        <v>0</v>
      </c>
      <c r="O23" s="1802">
        <f t="shared" si="13"/>
        <v>0</v>
      </c>
      <c r="P23" s="1802">
        <f t="shared" ref="P23:S23" si="14">SUM(P24:P32)+P35</f>
        <v>53643</v>
      </c>
      <c r="Q23" s="1802">
        <f>SUM(Q24:Q32)+Q35</f>
        <v>53643</v>
      </c>
      <c r="R23" s="1802">
        <f t="shared" si="14"/>
        <v>0</v>
      </c>
      <c r="S23" s="1802">
        <f t="shared" si="14"/>
        <v>0</v>
      </c>
      <c r="T23" s="1544">
        <f t="shared" si="8"/>
        <v>566142</v>
      </c>
      <c r="U23" s="1544">
        <f t="shared" si="8"/>
        <v>72880</v>
      </c>
      <c r="V23" s="1802">
        <f t="shared" si="13"/>
        <v>448606</v>
      </c>
      <c r="W23" s="1802">
        <f t="shared" si="13"/>
        <v>103251</v>
      </c>
      <c r="X23" s="1802">
        <f t="shared" si="13"/>
        <v>0</v>
      </c>
      <c r="Y23" s="1802">
        <f t="shared" si="13"/>
        <v>0</v>
      </c>
      <c r="Z23" s="1802">
        <f t="shared" si="13"/>
        <v>367140</v>
      </c>
      <c r="AA23" s="1802">
        <f t="shared" si="13"/>
        <v>71425</v>
      </c>
      <c r="AB23" s="1802">
        <f t="shared" si="13"/>
        <v>31826</v>
      </c>
      <c r="AC23" s="1802">
        <f t="shared" si="13"/>
        <v>0</v>
      </c>
      <c r="AD23" s="1802">
        <f t="shared" si="13"/>
        <v>29669</v>
      </c>
      <c r="AE23" s="1802">
        <f t="shared" si="13"/>
        <v>29669</v>
      </c>
      <c r="AF23" s="1802">
        <f t="shared" si="13"/>
        <v>0</v>
      </c>
      <c r="AG23" s="1802">
        <f t="shared" si="13"/>
        <v>0</v>
      </c>
      <c r="AH23" s="1800"/>
      <c r="AI23" s="1509"/>
      <c r="AJ23" s="1551">
        <v>1</v>
      </c>
    </row>
    <row r="24" spans="1:36" s="1551" customFormat="1" ht="33.75" x14ac:dyDescent="0.25">
      <c r="A24" s="1509">
        <v>1</v>
      </c>
      <c r="B24" s="1606" t="s">
        <v>2379</v>
      </c>
      <c r="C24" s="1509" t="s">
        <v>2380</v>
      </c>
      <c r="D24" s="1767">
        <v>59620</v>
      </c>
      <c r="E24" s="1594">
        <v>8800</v>
      </c>
      <c r="F24" s="1529">
        <v>43157</v>
      </c>
      <c r="G24" s="1529"/>
      <c r="H24" s="1528">
        <f>I24</f>
        <v>5000</v>
      </c>
      <c r="I24" s="1528">
        <v>5000</v>
      </c>
      <c r="J24" s="1544"/>
      <c r="K24" s="1544"/>
      <c r="L24" s="1528">
        <v>6000</v>
      </c>
      <c r="M24" s="1528"/>
      <c r="N24" s="1544"/>
      <c r="O24" s="1544"/>
      <c r="P24" s="1544"/>
      <c r="Q24" s="1544"/>
      <c r="R24" s="1544"/>
      <c r="S24" s="1544"/>
      <c r="T24" s="1544">
        <f t="shared" si="8"/>
        <v>54157</v>
      </c>
      <c r="U24" s="1544">
        <f t="shared" si="8"/>
        <v>5000</v>
      </c>
      <c r="V24" s="1528">
        <f>W24+6000</f>
        <v>11000</v>
      </c>
      <c r="W24" s="1594">
        <v>5000</v>
      </c>
      <c r="X24" s="1544"/>
      <c r="Y24" s="1544"/>
      <c r="Z24" s="1544">
        <f t="shared" ref="Z24:AA31" si="15">H24+L24+P24</f>
        <v>11000</v>
      </c>
      <c r="AA24" s="1544">
        <f t="shared" si="15"/>
        <v>5000</v>
      </c>
      <c r="AB24" s="1544">
        <f t="shared" ref="AB24:AB31" si="16">W24-AA24</f>
        <v>0</v>
      </c>
      <c r="AC24" s="1544"/>
      <c r="AD24" s="1544"/>
      <c r="AE24" s="1544"/>
      <c r="AF24" s="1544"/>
      <c r="AG24" s="1544"/>
      <c r="AH24" s="1509" t="s">
        <v>2381</v>
      </c>
      <c r="AI24" s="1509"/>
    </row>
    <row r="25" spans="1:36" s="1551" customFormat="1" ht="33.75" x14ac:dyDescent="0.25">
      <c r="A25" s="1509">
        <v>2</v>
      </c>
      <c r="B25" s="1606" t="s">
        <v>2382</v>
      </c>
      <c r="C25" s="1509"/>
      <c r="D25" s="1767">
        <v>48462</v>
      </c>
      <c r="E25" s="1594">
        <v>7758</v>
      </c>
      <c r="F25" s="1529">
        <v>40102</v>
      </c>
      <c r="G25" s="1529">
        <v>0</v>
      </c>
      <c r="H25" s="1528">
        <v>102300</v>
      </c>
      <c r="I25" s="1528"/>
      <c r="J25" s="1544"/>
      <c r="K25" s="1544"/>
      <c r="L25" s="1528">
        <f>M25</f>
        <v>1000</v>
      </c>
      <c r="M25" s="1528">
        <v>1000</v>
      </c>
      <c r="N25" s="1544"/>
      <c r="O25" s="1544"/>
      <c r="P25" s="1544">
        <v>6758</v>
      </c>
      <c r="Q25" s="1544">
        <v>6758</v>
      </c>
      <c r="R25" s="1544"/>
      <c r="S25" s="1544"/>
      <c r="T25" s="1544">
        <f t="shared" si="8"/>
        <v>150160</v>
      </c>
      <c r="U25" s="1544">
        <f t="shared" si="8"/>
        <v>7758</v>
      </c>
      <c r="V25" s="1528">
        <f>W25+115347</f>
        <v>123105</v>
      </c>
      <c r="W25" s="1594">
        <v>7758</v>
      </c>
      <c r="X25" s="1544"/>
      <c r="Y25" s="1544"/>
      <c r="Z25" s="1544">
        <f t="shared" si="15"/>
        <v>110058</v>
      </c>
      <c r="AA25" s="1544">
        <f t="shared" si="15"/>
        <v>7758</v>
      </c>
      <c r="AB25" s="1544">
        <f t="shared" si="16"/>
        <v>0</v>
      </c>
      <c r="AC25" s="1544"/>
      <c r="AD25" s="1544">
        <v>0</v>
      </c>
      <c r="AE25" s="1544">
        <v>0</v>
      </c>
      <c r="AF25" s="1544"/>
      <c r="AG25" s="1544"/>
      <c r="AH25" s="1509" t="s">
        <v>2383</v>
      </c>
      <c r="AI25" s="1509"/>
    </row>
    <row r="26" spans="1:36" s="1551" customFormat="1" ht="22.5" x14ac:dyDescent="0.25">
      <c r="A26" s="1509">
        <v>3</v>
      </c>
      <c r="B26" s="1606" t="s">
        <v>2384</v>
      </c>
      <c r="C26" s="1509"/>
      <c r="D26" s="1767">
        <v>5709</v>
      </c>
      <c r="E26" s="1594">
        <v>5709</v>
      </c>
      <c r="F26" s="1529">
        <v>355</v>
      </c>
      <c r="G26" s="1529">
        <v>355</v>
      </c>
      <c r="H26" s="1544"/>
      <c r="I26" s="1528"/>
      <c r="J26" s="1544"/>
      <c r="K26" s="1544"/>
      <c r="L26" s="1544"/>
      <c r="M26" s="1528"/>
      <c r="N26" s="1544"/>
      <c r="O26" s="1544"/>
      <c r="P26" s="1544">
        <v>2916</v>
      </c>
      <c r="Q26" s="1544">
        <v>2916</v>
      </c>
      <c r="R26" s="1544"/>
      <c r="S26" s="1544">
        <v>0</v>
      </c>
      <c r="T26" s="1544">
        <f t="shared" si="8"/>
        <v>3271</v>
      </c>
      <c r="U26" s="1544">
        <f t="shared" si="8"/>
        <v>3271</v>
      </c>
      <c r="V26" s="1544">
        <f>W26</f>
        <v>4585</v>
      </c>
      <c r="W26" s="1594">
        <v>4585</v>
      </c>
      <c r="X26" s="1544"/>
      <c r="Y26" s="1544"/>
      <c r="Z26" s="1544">
        <f t="shared" si="15"/>
        <v>2916</v>
      </c>
      <c r="AA26" s="1544">
        <f t="shared" si="15"/>
        <v>2916</v>
      </c>
      <c r="AB26" s="1544">
        <f t="shared" si="16"/>
        <v>1669</v>
      </c>
      <c r="AC26" s="1544"/>
      <c r="AD26" s="1544"/>
      <c r="AE26" s="1544"/>
      <c r="AF26" s="1544"/>
      <c r="AG26" s="1544"/>
      <c r="AH26" s="1509" t="s">
        <v>2385</v>
      </c>
      <c r="AI26" s="1509" t="s">
        <v>2372</v>
      </c>
    </row>
    <row r="27" spans="1:36" s="1551" customFormat="1" ht="33.75" x14ac:dyDescent="0.25">
      <c r="A27" s="1509">
        <v>4</v>
      </c>
      <c r="B27" s="1606" t="s">
        <v>987</v>
      </c>
      <c r="C27" s="1509" t="s">
        <v>2386</v>
      </c>
      <c r="D27" s="1767">
        <v>168267</v>
      </c>
      <c r="E27" s="1594">
        <v>16827</v>
      </c>
      <c r="F27" s="1529">
        <v>33886</v>
      </c>
      <c r="G27" s="1529">
        <v>0</v>
      </c>
      <c r="H27" s="1544">
        <f>43452+I27</f>
        <v>44452</v>
      </c>
      <c r="I27" s="1528">
        <v>1000</v>
      </c>
      <c r="J27" s="1544"/>
      <c r="K27" s="1544"/>
      <c r="L27" s="1544">
        <v>11692</v>
      </c>
      <c r="M27" s="1528"/>
      <c r="N27" s="1544"/>
      <c r="O27" s="1544"/>
      <c r="P27" s="1544">
        <v>20000</v>
      </c>
      <c r="Q27" s="1544">
        <v>20000</v>
      </c>
      <c r="R27" s="1544"/>
      <c r="S27" s="1544">
        <v>0</v>
      </c>
      <c r="T27" s="1544">
        <f t="shared" si="8"/>
        <v>110030</v>
      </c>
      <c r="U27" s="1544">
        <f t="shared" si="8"/>
        <v>21000</v>
      </c>
      <c r="V27" s="1544">
        <f>W27+68586</f>
        <v>100253</v>
      </c>
      <c r="W27" s="1594">
        <f>16827+14840</f>
        <v>31667</v>
      </c>
      <c r="X27" s="1544"/>
      <c r="Y27" s="1544"/>
      <c r="Z27" s="1544">
        <f t="shared" si="15"/>
        <v>76144</v>
      </c>
      <c r="AA27" s="1544">
        <f t="shared" si="15"/>
        <v>21000</v>
      </c>
      <c r="AB27" s="1544">
        <f t="shared" si="16"/>
        <v>10667</v>
      </c>
      <c r="AC27" s="1544"/>
      <c r="AD27" s="1544">
        <v>10667</v>
      </c>
      <c r="AE27" s="1544">
        <v>10667</v>
      </c>
      <c r="AF27" s="1544"/>
      <c r="AG27" s="1544"/>
      <c r="AH27" s="1509" t="s">
        <v>983</v>
      </c>
      <c r="AI27" s="1509"/>
    </row>
    <row r="28" spans="1:36" s="1551" customFormat="1" ht="22.5" x14ac:dyDescent="0.25">
      <c r="A28" s="1509">
        <v>5</v>
      </c>
      <c r="B28" s="1526" t="s">
        <v>1731</v>
      </c>
      <c r="C28" s="1509" t="s">
        <v>2387</v>
      </c>
      <c r="D28" s="1528">
        <v>19780</v>
      </c>
      <c r="E28" s="1528">
        <v>1978</v>
      </c>
      <c r="F28" s="1529">
        <v>9000</v>
      </c>
      <c r="G28" s="1529">
        <v>1100</v>
      </c>
      <c r="H28" s="1544">
        <v>32800</v>
      </c>
      <c r="I28" s="1528"/>
      <c r="J28" s="1544"/>
      <c r="K28" s="1544"/>
      <c r="L28" s="1544">
        <f>M28+16920</f>
        <v>17420</v>
      </c>
      <c r="M28" s="1528">
        <v>500</v>
      </c>
      <c r="N28" s="1544"/>
      <c r="O28" s="1544"/>
      <c r="P28" s="1544">
        <v>3000</v>
      </c>
      <c r="Q28" s="1544">
        <v>3000</v>
      </c>
      <c r="R28" s="1544"/>
      <c r="S28" s="1544">
        <v>0</v>
      </c>
      <c r="T28" s="1544">
        <f t="shared" si="8"/>
        <v>62220</v>
      </c>
      <c r="U28" s="1544">
        <f t="shared" si="8"/>
        <v>4600</v>
      </c>
      <c r="V28" s="1544">
        <f>W28+49720</f>
        <v>57598</v>
      </c>
      <c r="W28" s="1528">
        <v>7878</v>
      </c>
      <c r="X28" s="1544"/>
      <c r="Y28" s="1544"/>
      <c r="Z28" s="1544">
        <f t="shared" si="15"/>
        <v>53220</v>
      </c>
      <c r="AA28" s="1544">
        <f t="shared" si="15"/>
        <v>3500</v>
      </c>
      <c r="AB28" s="1544">
        <f t="shared" si="16"/>
        <v>4378</v>
      </c>
      <c r="AC28" s="1544"/>
      <c r="AD28" s="1544">
        <v>4378</v>
      </c>
      <c r="AE28" s="1544">
        <v>4378</v>
      </c>
      <c r="AF28" s="1544"/>
      <c r="AG28" s="1544"/>
      <c r="AH28" s="1527" t="s">
        <v>427</v>
      </c>
      <c r="AI28" s="1509"/>
    </row>
    <row r="29" spans="1:36" s="1551" customFormat="1" ht="22.5" x14ac:dyDescent="0.25">
      <c r="A29" s="1509">
        <v>6</v>
      </c>
      <c r="B29" s="1766" t="s">
        <v>1645</v>
      </c>
      <c r="C29" s="1509" t="s">
        <v>2388</v>
      </c>
      <c r="D29" s="1528">
        <v>6363</v>
      </c>
      <c r="E29" s="1528">
        <v>6363</v>
      </c>
      <c r="F29" s="1529">
        <v>0</v>
      </c>
      <c r="G29" s="1529">
        <v>0</v>
      </c>
      <c r="H29" s="1544">
        <f>I29</f>
        <v>500</v>
      </c>
      <c r="I29" s="1528">
        <v>500</v>
      </c>
      <c r="J29" s="1544"/>
      <c r="K29" s="1544"/>
      <c r="L29" s="1544">
        <f>M29</f>
        <v>500</v>
      </c>
      <c r="M29" s="1528">
        <v>500</v>
      </c>
      <c r="N29" s="1544"/>
      <c r="O29" s="1544"/>
      <c r="P29" s="1544">
        <v>2000</v>
      </c>
      <c r="Q29" s="1544">
        <v>2000</v>
      </c>
      <c r="R29" s="1544"/>
      <c r="S29" s="1544">
        <v>0</v>
      </c>
      <c r="T29" s="1544">
        <f t="shared" si="8"/>
        <v>3000</v>
      </c>
      <c r="U29" s="1544">
        <f t="shared" si="8"/>
        <v>3000</v>
      </c>
      <c r="V29" s="1544">
        <f>W29</f>
        <v>5783</v>
      </c>
      <c r="W29" s="1528">
        <v>5783</v>
      </c>
      <c r="X29" s="1544"/>
      <c r="Y29" s="1544"/>
      <c r="Z29" s="1544">
        <f t="shared" si="15"/>
        <v>3000</v>
      </c>
      <c r="AA29" s="1544">
        <f t="shared" si="15"/>
        <v>3000</v>
      </c>
      <c r="AB29" s="1544">
        <f t="shared" si="16"/>
        <v>2783</v>
      </c>
      <c r="AC29" s="1544"/>
      <c r="AD29" s="1544">
        <v>2783</v>
      </c>
      <c r="AE29" s="1544">
        <v>2783</v>
      </c>
      <c r="AF29" s="1544"/>
      <c r="AG29" s="1544"/>
      <c r="AH29" s="1509" t="s">
        <v>2385</v>
      </c>
      <c r="AI29" s="1509"/>
    </row>
    <row r="30" spans="1:36" s="1551" customFormat="1" ht="45" x14ac:dyDescent="0.25">
      <c r="A30" s="1509">
        <v>7</v>
      </c>
      <c r="B30" s="1526" t="s">
        <v>2389</v>
      </c>
      <c r="C30" s="1509"/>
      <c r="D30" s="1528">
        <v>1115</v>
      </c>
      <c r="E30" s="1528">
        <v>1115</v>
      </c>
      <c r="F30" s="1529">
        <v>0</v>
      </c>
      <c r="G30" s="1529">
        <v>0</v>
      </c>
      <c r="H30" s="1544">
        <f>I30</f>
        <v>500</v>
      </c>
      <c r="I30" s="1528">
        <v>500</v>
      </c>
      <c r="J30" s="1544"/>
      <c r="K30" s="1544"/>
      <c r="L30" s="1544">
        <v>531</v>
      </c>
      <c r="M30" s="1528">
        <v>531</v>
      </c>
      <c r="N30" s="1544"/>
      <c r="O30" s="1544"/>
      <c r="P30" s="1544"/>
      <c r="Q30" s="1544"/>
      <c r="R30" s="1544"/>
      <c r="S30" s="1544"/>
      <c r="T30" s="1544">
        <f t="shared" si="8"/>
        <v>1031</v>
      </c>
      <c r="U30" s="1544">
        <f t="shared" si="8"/>
        <v>1031</v>
      </c>
      <c r="V30" s="1544">
        <f>W30</f>
        <v>1115</v>
      </c>
      <c r="W30" s="1528">
        <v>1115</v>
      </c>
      <c r="X30" s="1544"/>
      <c r="Y30" s="1544"/>
      <c r="Z30" s="1544">
        <f t="shared" si="15"/>
        <v>1031</v>
      </c>
      <c r="AA30" s="1544">
        <f t="shared" si="15"/>
        <v>1031</v>
      </c>
      <c r="AB30" s="1544">
        <f t="shared" si="16"/>
        <v>84</v>
      </c>
      <c r="AC30" s="1544"/>
      <c r="AD30" s="1544"/>
      <c r="AE30" s="1544"/>
      <c r="AF30" s="1544"/>
      <c r="AG30" s="1544"/>
      <c r="AH30" s="1527" t="s">
        <v>161</v>
      </c>
      <c r="AI30" s="1509" t="s">
        <v>2372</v>
      </c>
    </row>
    <row r="31" spans="1:36" s="1551" customFormat="1" ht="22.5" x14ac:dyDescent="0.25">
      <c r="A31" s="1509">
        <v>8</v>
      </c>
      <c r="B31" s="1606" t="s">
        <v>993</v>
      </c>
      <c r="C31" s="1509" t="s">
        <v>2390</v>
      </c>
      <c r="D31" s="1528">
        <v>30523</v>
      </c>
      <c r="E31" s="1528">
        <v>22066</v>
      </c>
      <c r="F31" s="1529">
        <v>17761</v>
      </c>
      <c r="G31" s="1529">
        <v>0</v>
      </c>
      <c r="H31" s="1544">
        <f>I31</f>
        <v>2000</v>
      </c>
      <c r="I31" s="1528">
        <v>2000</v>
      </c>
      <c r="J31" s="1544"/>
      <c r="K31" s="1544"/>
      <c r="L31" s="1544">
        <f>M31</f>
        <v>500</v>
      </c>
      <c r="M31" s="1528">
        <v>500</v>
      </c>
      <c r="N31" s="1544"/>
      <c r="O31" s="1544"/>
      <c r="P31" s="1544">
        <v>8910</v>
      </c>
      <c r="Q31" s="1544">
        <v>8910</v>
      </c>
      <c r="R31" s="1544"/>
      <c r="S31" s="1544">
        <v>0</v>
      </c>
      <c r="T31" s="1544">
        <f t="shared" si="8"/>
        <v>29171</v>
      </c>
      <c r="U31" s="1544">
        <f t="shared" si="8"/>
        <v>11410</v>
      </c>
      <c r="V31" s="1544">
        <f>W31</f>
        <v>11427</v>
      </c>
      <c r="W31" s="1594">
        <v>11427</v>
      </c>
      <c r="X31" s="1544"/>
      <c r="Y31" s="1544"/>
      <c r="Z31" s="1544">
        <f t="shared" si="15"/>
        <v>11410</v>
      </c>
      <c r="AA31" s="1544">
        <f t="shared" si="15"/>
        <v>11410</v>
      </c>
      <c r="AB31" s="1544">
        <f t="shared" si="16"/>
        <v>17</v>
      </c>
      <c r="AC31" s="1544"/>
      <c r="AD31" s="1544">
        <v>17</v>
      </c>
      <c r="AE31" s="1544">
        <v>17</v>
      </c>
      <c r="AF31" s="1544"/>
      <c r="AG31" s="1544"/>
      <c r="AH31" s="1509" t="s">
        <v>2077</v>
      </c>
      <c r="AI31" s="1509"/>
    </row>
    <row r="32" spans="1:36" s="1551" customFormat="1" ht="22.5" x14ac:dyDescent="0.25">
      <c r="A32" s="1509">
        <v>10</v>
      </c>
      <c r="B32" s="1766" t="s">
        <v>2391</v>
      </c>
      <c r="C32" s="1509" t="s">
        <v>2392</v>
      </c>
      <c r="D32" s="1544">
        <f>D33+D34</f>
        <v>6839</v>
      </c>
      <c r="E32" s="1544">
        <f t="shared" ref="E32:AE32" si="17">E33+E34</f>
        <v>683</v>
      </c>
      <c r="F32" s="1544">
        <f t="shared" si="17"/>
        <v>4084</v>
      </c>
      <c r="G32" s="1544">
        <f t="shared" si="17"/>
        <v>0</v>
      </c>
      <c r="H32" s="1544">
        <f t="shared" si="17"/>
        <v>0</v>
      </c>
      <c r="I32" s="1544">
        <f t="shared" si="17"/>
        <v>0</v>
      </c>
      <c r="J32" s="1544">
        <f t="shared" si="17"/>
        <v>0</v>
      </c>
      <c r="K32" s="1544">
        <f t="shared" si="17"/>
        <v>0</v>
      </c>
      <c r="L32" s="1544">
        <f t="shared" si="17"/>
        <v>0</v>
      </c>
      <c r="M32" s="1544">
        <f t="shared" si="17"/>
        <v>0</v>
      </c>
      <c r="N32" s="1544">
        <f t="shared" si="17"/>
        <v>0</v>
      </c>
      <c r="O32" s="1544">
        <f t="shared" si="17"/>
        <v>0</v>
      </c>
      <c r="P32" s="1544">
        <f t="shared" si="17"/>
        <v>59</v>
      </c>
      <c r="Q32" s="1544">
        <f t="shared" si="17"/>
        <v>59</v>
      </c>
      <c r="R32" s="1544">
        <f t="shared" si="17"/>
        <v>0</v>
      </c>
      <c r="S32" s="1544">
        <f t="shared" si="17"/>
        <v>0</v>
      </c>
      <c r="T32" s="1544">
        <f t="shared" si="8"/>
        <v>4143</v>
      </c>
      <c r="U32" s="1544">
        <f t="shared" si="8"/>
        <v>59</v>
      </c>
      <c r="V32" s="1544">
        <f t="shared" si="17"/>
        <v>683</v>
      </c>
      <c r="W32" s="1544">
        <f t="shared" si="17"/>
        <v>683</v>
      </c>
      <c r="X32" s="1544">
        <f t="shared" si="17"/>
        <v>0</v>
      </c>
      <c r="Y32" s="1544">
        <f t="shared" si="17"/>
        <v>0</v>
      </c>
      <c r="Z32" s="1544">
        <f t="shared" si="17"/>
        <v>59</v>
      </c>
      <c r="AA32" s="1544">
        <f t="shared" si="17"/>
        <v>59</v>
      </c>
      <c r="AB32" s="1544">
        <f t="shared" si="17"/>
        <v>624</v>
      </c>
      <c r="AC32" s="1544">
        <f t="shared" si="17"/>
        <v>0</v>
      </c>
      <c r="AD32" s="1544">
        <f t="shared" si="17"/>
        <v>220</v>
      </c>
      <c r="AE32" s="1544">
        <f t="shared" si="17"/>
        <v>220</v>
      </c>
      <c r="AF32" s="1544"/>
      <c r="AG32" s="1544"/>
      <c r="AH32" s="1527"/>
      <c r="AI32" s="1509"/>
    </row>
    <row r="33" spans="1:36" s="1551" customFormat="1" ht="22.5" x14ac:dyDescent="0.25">
      <c r="A33" s="1527" t="s">
        <v>23</v>
      </c>
      <c r="B33" s="1766" t="s">
        <v>2375</v>
      </c>
      <c r="C33" s="1509"/>
      <c r="D33" s="1544">
        <v>1515</v>
      </c>
      <c r="E33" s="1544">
        <v>151</v>
      </c>
      <c r="F33" s="1548">
        <v>1364</v>
      </c>
      <c r="G33" s="1548">
        <v>0</v>
      </c>
      <c r="H33" s="1544"/>
      <c r="I33" s="1528"/>
      <c r="J33" s="1544"/>
      <c r="K33" s="1544"/>
      <c r="L33" s="1544"/>
      <c r="M33" s="1528">
        <v>0</v>
      </c>
      <c r="N33" s="1544"/>
      <c r="O33" s="1544"/>
      <c r="P33" s="1544">
        <v>59</v>
      </c>
      <c r="Q33" s="1544">
        <v>59</v>
      </c>
      <c r="R33" s="1544"/>
      <c r="S33" s="1544">
        <v>0</v>
      </c>
      <c r="T33" s="1544">
        <f t="shared" si="8"/>
        <v>1423</v>
      </c>
      <c r="U33" s="1544">
        <f t="shared" si="8"/>
        <v>59</v>
      </c>
      <c r="V33" s="1544">
        <f>W33</f>
        <v>151</v>
      </c>
      <c r="W33" s="1544">
        <v>151</v>
      </c>
      <c r="X33" s="1544"/>
      <c r="Y33" s="1544"/>
      <c r="Z33" s="1544">
        <f>H33+L33+P33</f>
        <v>59</v>
      </c>
      <c r="AA33" s="1544">
        <f>I33+M33+Q33</f>
        <v>59</v>
      </c>
      <c r="AB33" s="1544">
        <f t="shared" ref="AB33:AB34" si="18">W33-AA33</f>
        <v>92</v>
      </c>
      <c r="AC33" s="1544"/>
      <c r="AD33" s="1544"/>
      <c r="AE33" s="1544"/>
      <c r="AF33" s="1544"/>
      <c r="AG33" s="1544"/>
      <c r="AH33" s="1509" t="s">
        <v>2376</v>
      </c>
      <c r="AI33" s="1509" t="s">
        <v>2393</v>
      </c>
    </row>
    <row r="34" spans="1:36" s="1551" customFormat="1" ht="11.25" x14ac:dyDescent="0.25">
      <c r="A34" s="1527" t="s">
        <v>23</v>
      </c>
      <c r="B34" s="1554" t="s">
        <v>2377</v>
      </c>
      <c r="C34" s="1509"/>
      <c r="D34" s="1544">
        <v>5324</v>
      </c>
      <c r="E34" s="1544">
        <v>532</v>
      </c>
      <c r="F34" s="1548">
        <v>2720</v>
      </c>
      <c r="G34" s="1548">
        <v>0</v>
      </c>
      <c r="H34" s="1544"/>
      <c r="I34" s="1528"/>
      <c r="J34" s="1544"/>
      <c r="K34" s="1544"/>
      <c r="L34" s="1544"/>
      <c r="M34" s="1528">
        <v>0</v>
      </c>
      <c r="N34" s="1544"/>
      <c r="O34" s="1544"/>
      <c r="P34" s="1544"/>
      <c r="Q34" s="1544"/>
      <c r="R34" s="1544"/>
      <c r="S34" s="1544">
        <v>0</v>
      </c>
      <c r="T34" s="1544">
        <f t="shared" si="8"/>
        <v>2720</v>
      </c>
      <c r="U34" s="1544">
        <f t="shared" si="8"/>
        <v>0</v>
      </c>
      <c r="V34" s="1544">
        <f>W34</f>
        <v>532</v>
      </c>
      <c r="W34" s="1544">
        <v>532</v>
      </c>
      <c r="X34" s="1544"/>
      <c r="Y34" s="1544"/>
      <c r="Z34" s="1544">
        <f>H34+L34+P34</f>
        <v>0</v>
      </c>
      <c r="AA34" s="1544">
        <f>I34+M34+Q34</f>
        <v>0</v>
      </c>
      <c r="AB34" s="1544">
        <f t="shared" si="18"/>
        <v>532</v>
      </c>
      <c r="AC34" s="1544"/>
      <c r="AD34" s="1544">
        <v>220</v>
      </c>
      <c r="AE34" s="1544">
        <v>220</v>
      </c>
      <c r="AF34" s="1544"/>
      <c r="AG34" s="1544"/>
      <c r="AH34" s="1527" t="s">
        <v>2394</v>
      </c>
      <c r="AI34" s="1509"/>
    </row>
    <row r="35" spans="1:36" s="1551" customFormat="1" ht="22.5" x14ac:dyDescent="0.25">
      <c r="A35" s="1527">
        <v>11</v>
      </c>
      <c r="B35" s="1766" t="s">
        <v>2395</v>
      </c>
      <c r="C35" s="1509" t="s">
        <v>2396</v>
      </c>
      <c r="D35" s="1528">
        <f>D36+D37</f>
        <v>82698</v>
      </c>
      <c r="E35" s="1528">
        <f t="shared" ref="E35:AG35" si="19">E36+E37</f>
        <v>27355</v>
      </c>
      <c r="F35" s="1528">
        <f t="shared" si="19"/>
        <v>50657</v>
      </c>
      <c r="G35" s="1528">
        <f t="shared" si="19"/>
        <v>0</v>
      </c>
      <c r="H35" s="1528">
        <f t="shared" si="19"/>
        <v>21294</v>
      </c>
      <c r="I35" s="1528">
        <f t="shared" si="19"/>
        <v>0</v>
      </c>
      <c r="J35" s="1528">
        <f t="shared" si="19"/>
        <v>0</v>
      </c>
      <c r="K35" s="1528">
        <f t="shared" si="19"/>
        <v>0</v>
      </c>
      <c r="L35" s="1528">
        <f>L36+L37</f>
        <v>67008</v>
      </c>
      <c r="M35" s="1528">
        <f>M36+M37</f>
        <v>5751</v>
      </c>
      <c r="N35" s="1528">
        <f t="shared" si="19"/>
        <v>0</v>
      </c>
      <c r="O35" s="1528">
        <f t="shared" si="19"/>
        <v>0</v>
      </c>
      <c r="P35" s="1528">
        <f t="shared" si="19"/>
        <v>10000</v>
      </c>
      <c r="Q35" s="1528">
        <f t="shared" si="19"/>
        <v>10000</v>
      </c>
      <c r="R35" s="1528">
        <f t="shared" si="19"/>
        <v>0</v>
      </c>
      <c r="S35" s="1528">
        <f t="shared" si="19"/>
        <v>0</v>
      </c>
      <c r="T35" s="1544">
        <f t="shared" si="8"/>
        <v>148959</v>
      </c>
      <c r="U35" s="1544">
        <f t="shared" si="8"/>
        <v>15751</v>
      </c>
      <c r="V35" s="1528">
        <f t="shared" si="19"/>
        <v>133057</v>
      </c>
      <c r="W35" s="1528">
        <f t="shared" si="19"/>
        <v>27355</v>
      </c>
      <c r="X35" s="1528">
        <f t="shared" si="19"/>
        <v>0</v>
      </c>
      <c r="Y35" s="1528">
        <f t="shared" si="19"/>
        <v>0</v>
      </c>
      <c r="Z35" s="1528">
        <f t="shared" si="19"/>
        <v>98302</v>
      </c>
      <c r="AA35" s="1528">
        <f t="shared" si="19"/>
        <v>15751</v>
      </c>
      <c r="AB35" s="1528">
        <f t="shared" si="19"/>
        <v>11604</v>
      </c>
      <c r="AC35" s="1544"/>
      <c r="AD35" s="1544">
        <v>11604</v>
      </c>
      <c r="AE35" s="1544">
        <v>11604</v>
      </c>
      <c r="AF35" s="1528">
        <v>0</v>
      </c>
      <c r="AG35" s="1528">
        <f t="shared" si="19"/>
        <v>0</v>
      </c>
      <c r="AH35" s="1527"/>
      <c r="AI35" s="1509"/>
    </row>
    <row r="36" spans="1:36" s="1551" customFormat="1" ht="22.5" x14ac:dyDescent="0.25">
      <c r="A36" s="1527" t="s">
        <v>23</v>
      </c>
      <c r="B36" s="1766" t="s">
        <v>2375</v>
      </c>
      <c r="C36" s="1509"/>
      <c r="D36" s="1528">
        <v>6142</v>
      </c>
      <c r="E36" s="1528">
        <v>614</v>
      </c>
      <c r="F36" s="1529">
        <v>5236</v>
      </c>
      <c r="G36" s="1529">
        <v>0</v>
      </c>
      <c r="H36" s="1544"/>
      <c r="I36" s="1528"/>
      <c r="J36" s="1544"/>
      <c r="K36" s="1544"/>
      <c r="L36" s="1544">
        <f>M36</f>
        <v>145</v>
      </c>
      <c r="M36" s="1528">
        <v>145</v>
      </c>
      <c r="N36" s="1544"/>
      <c r="O36" s="1544"/>
      <c r="P36" s="1544">
        <v>0</v>
      </c>
      <c r="Q36" s="1544">
        <v>0</v>
      </c>
      <c r="R36" s="1544"/>
      <c r="S36" s="1544">
        <v>0</v>
      </c>
      <c r="T36" s="1544">
        <f t="shared" si="8"/>
        <v>5381</v>
      </c>
      <c r="U36" s="1544">
        <f t="shared" si="8"/>
        <v>145</v>
      </c>
      <c r="V36" s="1544">
        <f>W36</f>
        <v>614</v>
      </c>
      <c r="W36" s="1528">
        <v>614</v>
      </c>
      <c r="X36" s="1544"/>
      <c r="Y36" s="1544"/>
      <c r="Z36" s="1544">
        <f>H36+L36+P36</f>
        <v>145</v>
      </c>
      <c r="AA36" s="1544">
        <f>I36+M36+Q36</f>
        <v>145</v>
      </c>
      <c r="AB36" s="1544">
        <f>W36-AA36</f>
        <v>469</v>
      </c>
      <c r="AC36" s="1544"/>
      <c r="AD36" s="1544">
        <v>469</v>
      </c>
      <c r="AE36" s="1544">
        <v>469</v>
      </c>
      <c r="AF36" s="1544"/>
      <c r="AG36" s="1544"/>
      <c r="AH36" s="1509" t="s">
        <v>2376</v>
      </c>
      <c r="AI36" s="1509" t="s">
        <v>1803</v>
      </c>
    </row>
    <row r="37" spans="1:36" s="1551" customFormat="1" ht="11.25" x14ac:dyDescent="0.25">
      <c r="A37" s="1527" t="s">
        <v>23</v>
      </c>
      <c r="B37" s="1554" t="s">
        <v>2377</v>
      </c>
      <c r="C37" s="1509"/>
      <c r="D37" s="1528">
        <v>76556</v>
      </c>
      <c r="E37" s="1528">
        <v>26741</v>
      </c>
      <c r="F37" s="1529">
        <v>45421</v>
      </c>
      <c r="G37" s="1529">
        <v>0</v>
      </c>
      <c r="H37" s="1544">
        <v>21294</v>
      </c>
      <c r="I37" s="1528"/>
      <c r="J37" s="1544"/>
      <c r="K37" s="1544"/>
      <c r="L37" s="1544">
        <f>M37+61257</f>
        <v>66863</v>
      </c>
      <c r="M37" s="1528">
        <v>5606</v>
      </c>
      <c r="N37" s="1544"/>
      <c r="O37" s="1544"/>
      <c r="P37" s="1544">
        <v>10000</v>
      </c>
      <c r="Q37" s="1544">
        <v>10000</v>
      </c>
      <c r="R37" s="1544"/>
      <c r="S37" s="1544">
        <v>0</v>
      </c>
      <c r="T37" s="1544">
        <f t="shared" si="8"/>
        <v>143578</v>
      </c>
      <c r="U37" s="1544">
        <f t="shared" si="8"/>
        <v>15606</v>
      </c>
      <c r="V37" s="1544">
        <f>W37+105702</f>
        <v>132443</v>
      </c>
      <c r="W37" s="1528">
        <v>26741</v>
      </c>
      <c r="X37" s="1544"/>
      <c r="Y37" s="1544"/>
      <c r="Z37" s="1544">
        <f>H37+L37+P37</f>
        <v>98157</v>
      </c>
      <c r="AA37" s="1544">
        <f>I37+M37+Q37</f>
        <v>15606</v>
      </c>
      <c r="AB37" s="1544">
        <f>W37-AA37</f>
        <v>11135</v>
      </c>
      <c r="AC37" s="1544"/>
      <c r="AD37" s="1544">
        <v>11135</v>
      </c>
      <c r="AE37" s="1544">
        <v>11135</v>
      </c>
      <c r="AF37" s="1544"/>
      <c r="AG37" s="1544"/>
      <c r="AH37" s="1527" t="s">
        <v>165</v>
      </c>
      <c r="AI37" s="1509"/>
    </row>
    <row r="38" spans="1:36" s="1551" customFormat="1" ht="21" x14ac:dyDescent="0.25">
      <c r="A38" s="1785" t="s">
        <v>147</v>
      </c>
      <c r="B38" s="1578" t="s">
        <v>1817</v>
      </c>
      <c r="C38" s="1614"/>
      <c r="D38" s="1786">
        <f>SUM(D39:D43)</f>
        <v>254004</v>
      </c>
      <c r="E38" s="1786">
        <f t="shared" ref="E38:AG38" si="20">SUM(E39:E43)</f>
        <v>58255</v>
      </c>
      <c r="F38" s="1786">
        <f t="shared" si="20"/>
        <v>0</v>
      </c>
      <c r="G38" s="1786">
        <f t="shared" si="20"/>
        <v>0</v>
      </c>
      <c r="H38" s="1786">
        <f t="shared" si="20"/>
        <v>1000</v>
      </c>
      <c r="I38" s="1786">
        <f t="shared" si="20"/>
        <v>1000</v>
      </c>
      <c r="J38" s="1786">
        <f t="shared" si="20"/>
        <v>0</v>
      </c>
      <c r="K38" s="1786">
        <f t="shared" si="20"/>
        <v>0</v>
      </c>
      <c r="L38" s="1786">
        <f t="shared" si="20"/>
        <v>49393</v>
      </c>
      <c r="M38" s="1786">
        <f t="shared" si="20"/>
        <v>2049</v>
      </c>
      <c r="N38" s="1786">
        <f t="shared" si="20"/>
        <v>0</v>
      </c>
      <c r="O38" s="1786">
        <f t="shared" si="20"/>
        <v>0</v>
      </c>
      <c r="P38" s="1786">
        <f t="shared" si="20"/>
        <v>8003</v>
      </c>
      <c r="Q38" s="1786">
        <f>SUM(Q39:Q43)</f>
        <v>8003</v>
      </c>
      <c r="R38" s="1786">
        <f t="shared" si="20"/>
        <v>0</v>
      </c>
      <c r="S38" s="1786">
        <f t="shared" si="20"/>
        <v>0</v>
      </c>
      <c r="T38" s="1786">
        <f t="shared" si="20"/>
        <v>58396</v>
      </c>
      <c r="U38" s="1786">
        <f t="shared" si="20"/>
        <v>11052</v>
      </c>
      <c r="V38" s="1786">
        <f t="shared" si="20"/>
        <v>543593</v>
      </c>
      <c r="W38" s="1786">
        <f t="shared" si="20"/>
        <v>39559</v>
      </c>
      <c r="X38" s="1786">
        <f t="shared" si="20"/>
        <v>0</v>
      </c>
      <c r="Y38" s="1786">
        <f t="shared" si="20"/>
        <v>0</v>
      </c>
      <c r="Z38" s="1786">
        <f t="shared" si="20"/>
        <v>58396</v>
      </c>
      <c r="AA38" s="1786">
        <f t="shared" si="20"/>
        <v>11052</v>
      </c>
      <c r="AB38" s="1786">
        <f t="shared" si="20"/>
        <v>28507</v>
      </c>
      <c r="AC38" s="1786">
        <f t="shared" si="20"/>
        <v>0</v>
      </c>
      <c r="AD38" s="1786">
        <f t="shared" si="20"/>
        <v>28507</v>
      </c>
      <c r="AE38" s="1786">
        <f t="shared" si="20"/>
        <v>28507</v>
      </c>
      <c r="AF38" s="1786">
        <f t="shared" si="20"/>
        <v>0</v>
      </c>
      <c r="AG38" s="1786">
        <f t="shared" si="20"/>
        <v>0</v>
      </c>
      <c r="AH38" s="1785"/>
      <c r="AI38" s="1509"/>
      <c r="AJ38" s="1551">
        <v>1</v>
      </c>
    </row>
    <row r="39" spans="1:36" s="1551" customFormat="1" ht="33.75" x14ac:dyDescent="0.25">
      <c r="A39" s="1527">
        <v>1</v>
      </c>
      <c r="B39" s="1526" t="s">
        <v>1625</v>
      </c>
      <c r="C39" s="1509" t="s">
        <v>2397</v>
      </c>
      <c r="D39" s="1528">
        <v>1909</v>
      </c>
      <c r="E39" s="1528">
        <v>1909</v>
      </c>
      <c r="F39" s="1529">
        <v>0</v>
      </c>
      <c r="G39" s="1529">
        <v>0</v>
      </c>
      <c r="H39" s="1544">
        <f>I39</f>
        <v>500</v>
      </c>
      <c r="I39" s="1528">
        <v>500</v>
      </c>
      <c r="J39" s="1544"/>
      <c r="K39" s="1544"/>
      <c r="L39" s="1544">
        <v>149</v>
      </c>
      <c r="M39" s="1528">
        <v>149</v>
      </c>
      <c r="N39" s="1544"/>
      <c r="O39" s="1544"/>
      <c r="P39" s="1544"/>
      <c r="Q39" s="1544"/>
      <c r="R39" s="1544"/>
      <c r="S39" s="1544">
        <v>0</v>
      </c>
      <c r="T39" s="1544">
        <f t="shared" si="8"/>
        <v>649</v>
      </c>
      <c r="U39" s="1544">
        <f t="shared" si="8"/>
        <v>649</v>
      </c>
      <c r="V39" s="1544">
        <f>W39</f>
        <v>1909</v>
      </c>
      <c r="W39" s="1528">
        <v>1909</v>
      </c>
      <c r="X39" s="1544"/>
      <c r="Y39" s="1544"/>
      <c r="Z39" s="1544">
        <f t="shared" ref="Z39:AA43" si="21">H39+L39+P39</f>
        <v>649</v>
      </c>
      <c r="AA39" s="1544">
        <f t="shared" si="21"/>
        <v>649</v>
      </c>
      <c r="AB39" s="1544">
        <f t="shared" ref="AB39:AB43" si="22">W39-AA39</f>
        <v>1260</v>
      </c>
      <c r="AC39" s="1544"/>
      <c r="AD39" s="1544">
        <v>1260</v>
      </c>
      <c r="AE39" s="1544">
        <v>1260</v>
      </c>
      <c r="AF39" s="1544"/>
      <c r="AG39" s="1544">
        <v>0</v>
      </c>
      <c r="AH39" s="1527" t="s">
        <v>172</v>
      </c>
      <c r="AI39" s="1509"/>
    </row>
    <row r="40" spans="1:36" s="1551" customFormat="1" ht="33.75" x14ac:dyDescent="0.25">
      <c r="A40" s="1527">
        <v>2</v>
      </c>
      <c r="B40" s="1526" t="s">
        <v>996</v>
      </c>
      <c r="C40" s="1509" t="s">
        <v>2398</v>
      </c>
      <c r="D40" s="1528">
        <v>16946</v>
      </c>
      <c r="E40" s="1528">
        <v>16946</v>
      </c>
      <c r="F40" s="1529">
        <v>0</v>
      </c>
      <c r="G40" s="1529">
        <v>0</v>
      </c>
      <c r="H40" s="1544">
        <f>I40</f>
        <v>500</v>
      </c>
      <c r="I40" s="1528">
        <v>500</v>
      </c>
      <c r="J40" s="1544"/>
      <c r="K40" s="1544"/>
      <c r="L40" s="1544">
        <f>M40</f>
        <v>500</v>
      </c>
      <c r="M40" s="1544">
        <v>500</v>
      </c>
      <c r="N40" s="1544"/>
      <c r="O40" s="1544"/>
      <c r="P40" s="1544">
        <v>500</v>
      </c>
      <c r="Q40" s="1544">
        <v>500</v>
      </c>
      <c r="R40" s="1544"/>
      <c r="S40" s="1544"/>
      <c r="T40" s="1544">
        <f t="shared" si="8"/>
        <v>1500</v>
      </c>
      <c r="U40" s="1544">
        <f t="shared" si="8"/>
        <v>1500</v>
      </c>
      <c r="V40" s="1544">
        <f>W40+118719</f>
        <v>123719</v>
      </c>
      <c r="W40" s="1528">
        <v>5000</v>
      </c>
      <c r="X40" s="1544"/>
      <c r="Y40" s="1544"/>
      <c r="Z40" s="1544">
        <f t="shared" si="21"/>
        <v>1500</v>
      </c>
      <c r="AA40" s="1544">
        <f t="shared" si="21"/>
        <v>1500</v>
      </c>
      <c r="AB40" s="1544">
        <f t="shared" si="22"/>
        <v>3500</v>
      </c>
      <c r="AC40" s="1544"/>
      <c r="AD40" s="1544">
        <v>3500</v>
      </c>
      <c r="AE40" s="1544">
        <v>3500</v>
      </c>
      <c r="AF40" s="1544"/>
      <c r="AG40" s="1544"/>
      <c r="AH40" s="1527" t="s">
        <v>2399</v>
      </c>
      <c r="AI40" s="1509"/>
    </row>
    <row r="41" spans="1:36" s="1551" customFormat="1" ht="22.5" x14ac:dyDescent="0.25">
      <c r="A41" s="1527">
        <v>3</v>
      </c>
      <c r="B41" s="1526" t="s">
        <v>992</v>
      </c>
      <c r="C41" s="1509"/>
      <c r="D41" s="1528">
        <v>13400</v>
      </c>
      <c r="E41" s="1528">
        <v>13400</v>
      </c>
      <c r="F41" s="1529">
        <v>0</v>
      </c>
      <c r="G41" s="1529">
        <v>0</v>
      </c>
      <c r="H41" s="1544"/>
      <c r="I41" s="1528"/>
      <c r="J41" s="1544"/>
      <c r="K41" s="1544"/>
      <c r="L41" s="1544">
        <v>0</v>
      </c>
      <c r="M41" s="1528">
        <v>0</v>
      </c>
      <c r="N41" s="1544"/>
      <c r="O41" s="1544"/>
      <c r="P41" s="1544">
        <f>1000+442+1004-280+205</f>
        <v>2371</v>
      </c>
      <c r="Q41" s="1544">
        <f>P41</f>
        <v>2371</v>
      </c>
      <c r="R41" s="1544"/>
      <c r="S41" s="1544"/>
      <c r="T41" s="1544">
        <f t="shared" si="8"/>
        <v>2371</v>
      </c>
      <c r="U41" s="1544">
        <f t="shared" si="8"/>
        <v>2371</v>
      </c>
      <c r="V41" s="1544">
        <f>W41+148799</f>
        <v>162199</v>
      </c>
      <c r="W41" s="1528">
        <v>13400</v>
      </c>
      <c r="X41" s="1544"/>
      <c r="Y41" s="1544"/>
      <c r="Z41" s="1544">
        <f t="shared" si="21"/>
        <v>2371</v>
      </c>
      <c r="AA41" s="1544">
        <f t="shared" si="21"/>
        <v>2371</v>
      </c>
      <c r="AB41" s="1544">
        <f t="shared" si="22"/>
        <v>11029</v>
      </c>
      <c r="AC41" s="1544"/>
      <c r="AD41" s="1544">
        <v>11029</v>
      </c>
      <c r="AE41" s="1544">
        <v>11029</v>
      </c>
      <c r="AF41" s="1544"/>
      <c r="AG41" s="1544"/>
      <c r="AH41" s="1527" t="s">
        <v>2295</v>
      </c>
      <c r="AI41" s="1509"/>
    </row>
    <row r="42" spans="1:36" s="1551" customFormat="1" ht="22.5" x14ac:dyDescent="0.25">
      <c r="A42" s="1527">
        <v>4</v>
      </c>
      <c r="B42" s="1526" t="s">
        <v>960</v>
      </c>
      <c r="C42" s="1509"/>
      <c r="D42" s="1528">
        <v>4250</v>
      </c>
      <c r="E42" s="1528">
        <v>4250</v>
      </c>
      <c r="F42" s="1529">
        <v>0</v>
      </c>
      <c r="G42" s="1529">
        <v>0</v>
      </c>
      <c r="H42" s="1544"/>
      <c r="I42" s="1528"/>
      <c r="J42" s="1544"/>
      <c r="K42" s="1544"/>
      <c r="L42" s="1544">
        <v>300</v>
      </c>
      <c r="M42" s="1544">
        <v>300</v>
      </c>
      <c r="N42" s="1544"/>
      <c r="O42" s="1544"/>
      <c r="P42" s="1544">
        <v>1000</v>
      </c>
      <c r="Q42" s="1544">
        <v>1000</v>
      </c>
      <c r="R42" s="1544"/>
      <c r="S42" s="1544"/>
      <c r="T42" s="1544">
        <f t="shared" si="8"/>
        <v>1300</v>
      </c>
      <c r="U42" s="1544">
        <f t="shared" si="8"/>
        <v>1300</v>
      </c>
      <c r="V42" s="1544">
        <f>W42</f>
        <v>4250</v>
      </c>
      <c r="W42" s="1528">
        <v>4250</v>
      </c>
      <c r="X42" s="1544"/>
      <c r="Y42" s="1544"/>
      <c r="Z42" s="1544">
        <f t="shared" si="21"/>
        <v>1300</v>
      </c>
      <c r="AA42" s="1544">
        <f t="shared" si="21"/>
        <v>1300</v>
      </c>
      <c r="AB42" s="1544">
        <f t="shared" si="22"/>
        <v>2950</v>
      </c>
      <c r="AC42" s="1544"/>
      <c r="AD42" s="1544">
        <v>2950</v>
      </c>
      <c r="AE42" s="1544">
        <v>2950</v>
      </c>
      <c r="AF42" s="1544"/>
      <c r="AG42" s="1544"/>
      <c r="AH42" s="1527" t="s">
        <v>2400</v>
      </c>
      <c r="AI42" s="1509"/>
    </row>
    <row r="43" spans="1:36" s="1551" customFormat="1" ht="33.75" x14ac:dyDescent="0.25">
      <c r="A43" s="1527">
        <v>5</v>
      </c>
      <c r="B43" s="1526" t="s">
        <v>1002</v>
      </c>
      <c r="C43" s="1509" t="s">
        <v>2401</v>
      </c>
      <c r="D43" s="1528">
        <v>217499</v>
      </c>
      <c r="E43" s="1528">
        <v>21750</v>
      </c>
      <c r="F43" s="1529">
        <v>0</v>
      </c>
      <c r="G43" s="1529">
        <v>0</v>
      </c>
      <c r="H43" s="1544"/>
      <c r="I43" s="1528"/>
      <c r="J43" s="1544"/>
      <c r="K43" s="1544"/>
      <c r="L43" s="1544">
        <f>M43+47344</f>
        <v>48444</v>
      </c>
      <c r="M43" s="1528">
        <v>1100</v>
      </c>
      <c r="N43" s="1544"/>
      <c r="O43" s="1544"/>
      <c r="P43" s="1544">
        <v>4132</v>
      </c>
      <c r="Q43" s="1544">
        <v>4132</v>
      </c>
      <c r="R43" s="1544"/>
      <c r="S43" s="1544"/>
      <c r="T43" s="1544">
        <f t="shared" si="8"/>
        <v>52576</v>
      </c>
      <c r="U43" s="1544">
        <f t="shared" si="8"/>
        <v>5232</v>
      </c>
      <c r="V43" s="1544">
        <f>W43+236516</f>
        <v>251516</v>
      </c>
      <c r="W43" s="1528">
        <v>15000</v>
      </c>
      <c r="X43" s="1544"/>
      <c r="Y43" s="1544"/>
      <c r="Z43" s="1544">
        <f t="shared" si="21"/>
        <v>52576</v>
      </c>
      <c r="AA43" s="1544">
        <f t="shared" si="21"/>
        <v>5232</v>
      </c>
      <c r="AB43" s="1544">
        <f t="shared" si="22"/>
        <v>9768</v>
      </c>
      <c r="AC43" s="1544"/>
      <c r="AD43" s="1544">
        <v>9768</v>
      </c>
      <c r="AE43" s="1544">
        <v>9768</v>
      </c>
      <c r="AF43" s="1544"/>
      <c r="AG43" s="1544"/>
      <c r="AH43" s="1527" t="s">
        <v>427</v>
      </c>
      <c r="AI43" s="1509"/>
    </row>
    <row r="44" spans="1:36" s="1551" customFormat="1" ht="11.25" x14ac:dyDescent="0.25">
      <c r="A44" s="1785" t="s">
        <v>3</v>
      </c>
      <c r="B44" s="1578" t="s">
        <v>2402</v>
      </c>
      <c r="C44" s="1614"/>
      <c r="D44" s="1786">
        <f t="shared" ref="D44:AC44" si="23">SUM(D45:D50)</f>
        <v>553536</v>
      </c>
      <c r="E44" s="1786">
        <f t="shared" si="23"/>
        <v>111639</v>
      </c>
      <c r="F44" s="1786">
        <f t="shared" si="23"/>
        <v>0</v>
      </c>
      <c r="G44" s="1786">
        <f t="shared" si="23"/>
        <v>0</v>
      </c>
      <c r="H44" s="1786">
        <f t="shared" si="23"/>
        <v>1000</v>
      </c>
      <c r="I44" s="1786">
        <f t="shared" si="23"/>
        <v>1000</v>
      </c>
      <c r="J44" s="1786">
        <f t="shared" si="23"/>
        <v>0</v>
      </c>
      <c r="K44" s="1786">
        <f t="shared" si="23"/>
        <v>0</v>
      </c>
      <c r="L44" s="1786">
        <f t="shared" si="23"/>
        <v>6391</v>
      </c>
      <c r="M44" s="1786">
        <f t="shared" si="23"/>
        <v>6391</v>
      </c>
      <c r="N44" s="1786">
        <f t="shared" si="23"/>
        <v>0</v>
      </c>
      <c r="O44" s="1786">
        <f t="shared" si="23"/>
        <v>0</v>
      </c>
      <c r="P44" s="1786">
        <f t="shared" si="23"/>
        <v>9309</v>
      </c>
      <c r="Q44" s="1786">
        <f t="shared" si="23"/>
        <v>9309</v>
      </c>
      <c r="R44" s="1786">
        <f t="shared" si="23"/>
        <v>0</v>
      </c>
      <c r="S44" s="1786">
        <f t="shared" si="23"/>
        <v>0</v>
      </c>
      <c r="T44" s="1786">
        <f t="shared" si="23"/>
        <v>16700</v>
      </c>
      <c r="U44" s="1786">
        <f t="shared" si="23"/>
        <v>16700</v>
      </c>
      <c r="V44" s="1786">
        <f t="shared" si="23"/>
        <v>71775</v>
      </c>
      <c r="W44" s="1786">
        <f t="shared" si="23"/>
        <v>41775</v>
      </c>
      <c r="X44" s="1786">
        <f t="shared" si="23"/>
        <v>0</v>
      </c>
      <c r="Y44" s="1786">
        <f t="shared" si="23"/>
        <v>0</v>
      </c>
      <c r="Z44" s="1786">
        <f t="shared" si="23"/>
        <v>16700</v>
      </c>
      <c r="AA44" s="1786">
        <f t="shared" si="23"/>
        <v>16700</v>
      </c>
      <c r="AB44" s="1786">
        <f t="shared" si="23"/>
        <v>25075</v>
      </c>
      <c r="AC44" s="1786">
        <f t="shared" si="23"/>
        <v>0</v>
      </c>
      <c r="AD44" s="1786">
        <f>SUM(AD45:AD50)</f>
        <v>27824</v>
      </c>
      <c r="AE44" s="1786">
        <f t="shared" ref="AE44:AG44" si="24">SUM(AE45:AE50)</f>
        <v>27824</v>
      </c>
      <c r="AF44" s="1786">
        <f t="shared" si="24"/>
        <v>0</v>
      </c>
      <c r="AG44" s="1786">
        <f t="shared" si="24"/>
        <v>0</v>
      </c>
      <c r="AH44" s="1785"/>
      <c r="AI44" s="1509"/>
      <c r="AJ44" s="1551">
        <v>1</v>
      </c>
    </row>
    <row r="45" spans="1:36" s="1551" customFormat="1" ht="22.5" x14ac:dyDescent="0.25">
      <c r="A45" s="1527">
        <v>1</v>
      </c>
      <c r="B45" s="1526" t="s">
        <v>2403</v>
      </c>
      <c r="C45" s="1509"/>
      <c r="D45" s="1528">
        <v>38527</v>
      </c>
      <c r="E45" s="1528">
        <v>38527</v>
      </c>
      <c r="F45" s="1529"/>
      <c r="G45" s="1529"/>
      <c r="H45" s="1544"/>
      <c r="I45" s="1528"/>
      <c r="J45" s="1544"/>
      <c r="K45" s="1544"/>
      <c r="L45" s="1544">
        <v>0</v>
      </c>
      <c r="M45" s="1528">
        <v>0</v>
      </c>
      <c r="N45" s="1544"/>
      <c r="O45" s="1544"/>
      <c r="P45" s="1544"/>
      <c r="Q45" s="1544"/>
      <c r="R45" s="1544"/>
      <c r="S45" s="1544"/>
      <c r="T45" s="1544">
        <f t="shared" si="8"/>
        <v>0</v>
      </c>
      <c r="U45" s="1544">
        <f t="shared" si="8"/>
        <v>0</v>
      </c>
      <c r="V45" s="1544">
        <f>W45</f>
        <v>4270</v>
      </c>
      <c r="W45" s="1528">
        <f>19110-14840</f>
        <v>4270</v>
      </c>
      <c r="X45" s="1544"/>
      <c r="Y45" s="1544"/>
      <c r="Z45" s="1544">
        <f t="shared" ref="Z45:AA49" si="25">H45+L45+P45</f>
        <v>0</v>
      </c>
      <c r="AA45" s="1544">
        <f t="shared" si="25"/>
        <v>0</v>
      </c>
      <c r="AB45" s="1544">
        <f t="shared" ref="AB45:AB49" si="26">W45-AA45</f>
        <v>4270</v>
      </c>
      <c r="AC45" s="1544"/>
      <c r="AD45" s="1544"/>
      <c r="AE45" s="1544"/>
      <c r="AF45" s="1544"/>
      <c r="AG45" s="1544"/>
      <c r="AH45" s="1527" t="s">
        <v>418</v>
      </c>
      <c r="AI45" s="1509" t="s">
        <v>2372</v>
      </c>
    </row>
    <row r="46" spans="1:36" s="1551" customFormat="1" ht="22.5" x14ac:dyDescent="0.25">
      <c r="A46" s="1527">
        <v>2</v>
      </c>
      <c r="B46" s="1526" t="s">
        <v>991</v>
      </c>
      <c r="C46" s="1509"/>
      <c r="D46" s="1528">
        <v>15680</v>
      </c>
      <c r="E46" s="1528">
        <v>15680</v>
      </c>
      <c r="F46" s="1529">
        <v>0</v>
      </c>
      <c r="G46" s="1529">
        <v>0</v>
      </c>
      <c r="H46" s="1544">
        <f>I46</f>
        <v>500</v>
      </c>
      <c r="I46" s="1528">
        <v>500</v>
      </c>
      <c r="J46" s="1544"/>
      <c r="K46" s="1544"/>
      <c r="L46" s="1544">
        <f t="shared" ref="L46:L48" si="27">M46</f>
        <v>1000</v>
      </c>
      <c r="M46" s="1528">
        <v>1000</v>
      </c>
      <c r="N46" s="1544"/>
      <c r="O46" s="1544"/>
      <c r="P46" s="1544">
        <v>1800</v>
      </c>
      <c r="Q46" s="1544">
        <v>1800</v>
      </c>
      <c r="R46" s="1544"/>
      <c r="S46" s="1544"/>
      <c r="T46" s="1544">
        <f t="shared" si="8"/>
        <v>3300</v>
      </c>
      <c r="U46" s="1544">
        <f t="shared" si="8"/>
        <v>3300</v>
      </c>
      <c r="V46" s="1544">
        <f>W46</f>
        <v>9000</v>
      </c>
      <c r="W46" s="1528">
        <v>9000</v>
      </c>
      <c r="X46" s="1544"/>
      <c r="Y46" s="1544"/>
      <c r="Z46" s="1544">
        <f t="shared" si="25"/>
        <v>3300</v>
      </c>
      <c r="AA46" s="1544">
        <f t="shared" si="25"/>
        <v>3300</v>
      </c>
      <c r="AB46" s="1544">
        <f t="shared" si="26"/>
        <v>5700</v>
      </c>
      <c r="AC46" s="1544"/>
      <c r="AD46" s="1544">
        <v>5700</v>
      </c>
      <c r="AE46" s="1544">
        <v>5700</v>
      </c>
      <c r="AF46" s="1544"/>
      <c r="AG46" s="1544"/>
      <c r="AH46" s="1527" t="s">
        <v>2404</v>
      </c>
      <c r="AI46" s="1509"/>
    </row>
    <row r="47" spans="1:36" s="1551" customFormat="1" ht="33.75" x14ac:dyDescent="0.25">
      <c r="A47" s="1527">
        <v>3</v>
      </c>
      <c r="B47" s="1606" t="s">
        <v>990</v>
      </c>
      <c r="C47" s="1509" t="s">
        <v>2405</v>
      </c>
      <c r="D47" s="1594">
        <v>364129</v>
      </c>
      <c r="E47" s="1594">
        <v>26734</v>
      </c>
      <c r="F47" s="1529">
        <v>0</v>
      </c>
      <c r="G47" s="1529">
        <v>0</v>
      </c>
      <c r="H47" s="1544">
        <f>I47</f>
        <v>500</v>
      </c>
      <c r="I47" s="1528">
        <v>500</v>
      </c>
      <c r="J47" s="1544"/>
      <c r="K47" s="1544"/>
      <c r="L47" s="1544">
        <v>2523</v>
      </c>
      <c r="M47" s="1544">
        <v>2523</v>
      </c>
      <c r="N47" s="1544"/>
      <c r="O47" s="1544"/>
      <c r="P47" s="1544">
        <v>4009</v>
      </c>
      <c r="Q47" s="1544">
        <v>4009</v>
      </c>
      <c r="R47" s="1544"/>
      <c r="S47" s="1544"/>
      <c r="T47" s="1544">
        <f t="shared" si="8"/>
        <v>7032</v>
      </c>
      <c r="U47" s="1544">
        <f t="shared" si="8"/>
        <v>7032</v>
      </c>
      <c r="V47" s="1544">
        <f>W47</f>
        <v>15000</v>
      </c>
      <c r="W47" s="1594">
        <v>15000</v>
      </c>
      <c r="X47" s="1544"/>
      <c r="Y47" s="1544"/>
      <c r="Z47" s="1544">
        <f t="shared" si="25"/>
        <v>7032</v>
      </c>
      <c r="AA47" s="1544">
        <f t="shared" si="25"/>
        <v>7032</v>
      </c>
      <c r="AB47" s="1544">
        <f t="shared" si="26"/>
        <v>7968</v>
      </c>
      <c r="AC47" s="1544"/>
      <c r="AD47" s="1544">
        <v>7968</v>
      </c>
      <c r="AE47" s="1544">
        <v>7968</v>
      </c>
      <c r="AF47" s="1544"/>
      <c r="AG47" s="1544"/>
      <c r="AH47" s="1509" t="s">
        <v>2406</v>
      </c>
      <c r="AI47" s="1509"/>
    </row>
    <row r="48" spans="1:36" s="1551" customFormat="1" ht="11.25" x14ac:dyDescent="0.25">
      <c r="A48" s="1527">
        <v>4</v>
      </c>
      <c r="B48" s="1526" t="s">
        <v>994</v>
      </c>
      <c r="C48" s="1509"/>
      <c r="D48" s="1528">
        <v>4505</v>
      </c>
      <c r="E48" s="1528">
        <v>4505</v>
      </c>
      <c r="F48" s="1529"/>
      <c r="G48" s="1529"/>
      <c r="H48" s="1544"/>
      <c r="I48" s="1528"/>
      <c r="J48" s="1544"/>
      <c r="K48" s="1544"/>
      <c r="L48" s="1544">
        <f t="shared" si="27"/>
        <v>0</v>
      </c>
      <c r="M48" s="1528">
        <v>0</v>
      </c>
      <c r="N48" s="1544"/>
      <c r="O48" s="1544"/>
      <c r="P48" s="1544">
        <v>500</v>
      </c>
      <c r="Q48" s="1544">
        <v>500</v>
      </c>
      <c r="R48" s="1544"/>
      <c r="S48" s="1544"/>
      <c r="T48" s="1544">
        <f t="shared" si="8"/>
        <v>500</v>
      </c>
      <c r="U48" s="1544">
        <f t="shared" si="8"/>
        <v>500</v>
      </c>
      <c r="V48" s="1544">
        <f>W48+30000</f>
        <v>34505</v>
      </c>
      <c r="W48" s="1528">
        <v>4505</v>
      </c>
      <c r="X48" s="1544"/>
      <c r="Y48" s="1544"/>
      <c r="Z48" s="1544">
        <f t="shared" si="25"/>
        <v>500</v>
      </c>
      <c r="AA48" s="1544">
        <f t="shared" si="25"/>
        <v>500</v>
      </c>
      <c r="AB48" s="1544">
        <f t="shared" si="26"/>
        <v>4005</v>
      </c>
      <c r="AC48" s="1544"/>
      <c r="AD48" s="1544">
        <f>AE48</f>
        <v>4005</v>
      </c>
      <c r="AE48" s="1544">
        <v>4005</v>
      </c>
      <c r="AF48" s="1544"/>
      <c r="AG48" s="1544"/>
      <c r="AH48" s="1527" t="s">
        <v>2077</v>
      </c>
      <c r="AI48" s="1509"/>
    </row>
    <row r="49" spans="1:35" s="1551" customFormat="1" ht="33.75" x14ac:dyDescent="0.25">
      <c r="A49" s="1527">
        <v>5</v>
      </c>
      <c r="B49" s="1526" t="s">
        <v>1693</v>
      </c>
      <c r="C49" s="1509"/>
      <c r="D49" s="1528">
        <v>130695</v>
      </c>
      <c r="E49" s="1528">
        <v>26193</v>
      </c>
      <c r="F49" s="1529">
        <v>0</v>
      </c>
      <c r="G49" s="1529">
        <v>0</v>
      </c>
      <c r="H49" s="1544"/>
      <c r="I49" s="1528"/>
      <c r="J49" s="1544"/>
      <c r="K49" s="1544"/>
      <c r="L49" s="1544">
        <v>2868</v>
      </c>
      <c r="M49" s="1528">
        <v>2868</v>
      </c>
      <c r="N49" s="1544"/>
      <c r="O49" s="1544"/>
      <c r="P49" s="1544">
        <v>3000</v>
      </c>
      <c r="Q49" s="1544">
        <v>3000</v>
      </c>
      <c r="R49" s="1544"/>
      <c r="S49" s="1544"/>
      <c r="T49" s="1544">
        <f t="shared" si="8"/>
        <v>5868</v>
      </c>
      <c r="U49" s="1544">
        <f t="shared" si="8"/>
        <v>5868</v>
      </c>
      <c r="V49" s="1544">
        <f>W49</f>
        <v>9000</v>
      </c>
      <c r="W49" s="1528">
        <v>9000</v>
      </c>
      <c r="X49" s="1544"/>
      <c r="Y49" s="1544"/>
      <c r="Z49" s="1544">
        <f t="shared" si="25"/>
        <v>5868</v>
      </c>
      <c r="AA49" s="1544">
        <f t="shared" si="25"/>
        <v>5868</v>
      </c>
      <c r="AB49" s="1544">
        <f t="shared" si="26"/>
        <v>3132</v>
      </c>
      <c r="AC49" s="1544"/>
      <c r="AD49" s="1544">
        <v>3132</v>
      </c>
      <c r="AE49" s="1544">
        <v>3132</v>
      </c>
      <c r="AF49" s="1544"/>
      <c r="AG49" s="1544"/>
      <c r="AH49" s="1527" t="s">
        <v>161</v>
      </c>
      <c r="AI49" s="1509"/>
    </row>
    <row r="50" spans="1:35" s="1551" customFormat="1" ht="22.5" x14ac:dyDescent="0.25">
      <c r="A50" s="1795">
        <v>6</v>
      </c>
      <c r="B50" s="1796" t="s">
        <v>2407</v>
      </c>
      <c r="C50" s="1796"/>
      <c r="D50" s="1796"/>
      <c r="E50" s="1796"/>
      <c r="F50" s="1796"/>
      <c r="G50" s="1796"/>
      <c r="H50" s="1796"/>
      <c r="I50" s="1796"/>
      <c r="J50" s="1796"/>
      <c r="K50" s="1796"/>
      <c r="L50" s="1796"/>
      <c r="M50" s="1796"/>
      <c r="N50" s="1796"/>
      <c r="O50" s="1796"/>
      <c r="P50" s="1796"/>
      <c r="Q50" s="1796"/>
      <c r="R50" s="1796"/>
      <c r="S50" s="1796"/>
      <c r="T50" s="1796"/>
      <c r="U50" s="1796"/>
      <c r="V50" s="1796"/>
      <c r="W50" s="1796"/>
      <c r="X50" s="1796"/>
      <c r="Y50" s="1796"/>
      <c r="Z50" s="1796"/>
      <c r="AA50" s="1796"/>
      <c r="AB50" s="1796"/>
      <c r="AC50" s="1796"/>
      <c r="AD50" s="1796">
        <f>7092-73</f>
        <v>7019</v>
      </c>
      <c r="AE50" s="1796">
        <f>7092-73</f>
        <v>7019</v>
      </c>
      <c r="AF50" s="1796"/>
      <c r="AG50" s="1796"/>
      <c r="AH50" s="1796"/>
      <c r="AI50" s="1795"/>
    </row>
    <row r="51" spans="1:35" x14ac:dyDescent="0.25">
      <c r="C51" s="1761"/>
      <c r="D51" s="1761"/>
      <c r="E51" s="1761"/>
      <c r="F51" s="1761"/>
      <c r="G51" s="1761"/>
      <c r="H51" s="1761"/>
      <c r="I51" s="1761"/>
      <c r="J51" s="1761"/>
      <c r="K51" s="1761"/>
      <c r="L51" s="1761"/>
      <c r="M51" s="1761"/>
      <c r="N51" s="1761"/>
      <c r="O51" s="1761"/>
      <c r="P51" s="1761"/>
      <c r="Q51" s="1761"/>
      <c r="R51" s="1761"/>
      <c r="S51" s="1761"/>
      <c r="T51" s="1761"/>
      <c r="U51" s="1761"/>
      <c r="V51" s="1761"/>
      <c r="W51" s="1761"/>
      <c r="X51" s="1761"/>
      <c r="Y51" s="1761"/>
      <c r="Z51" s="1761"/>
      <c r="AA51" s="1761"/>
      <c r="AB51" s="1761"/>
      <c r="AC51" s="1761"/>
      <c r="AD51" s="1761"/>
      <c r="AE51" s="1761"/>
      <c r="AF51" s="1761"/>
      <c r="AG51" s="1761"/>
      <c r="AH51" s="1761"/>
    </row>
    <row r="52" spans="1:35" x14ac:dyDescent="0.25">
      <c r="C52" s="1761"/>
      <c r="D52" s="1761"/>
      <c r="E52" s="1761"/>
      <c r="F52" s="1761"/>
      <c r="G52" s="1761"/>
      <c r="H52" s="1761"/>
      <c r="I52" s="1761"/>
      <c r="J52" s="1761"/>
      <c r="K52" s="1761"/>
      <c r="L52" s="1761"/>
      <c r="M52" s="1761"/>
      <c r="N52" s="1761"/>
      <c r="O52" s="1761"/>
      <c r="P52" s="1761"/>
      <c r="Q52" s="1761"/>
      <c r="R52" s="1761"/>
      <c r="S52" s="1761"/>
      <c r="T52" s="1761"/>
      <c r="U52" s="1761"/>
      <c r="V52" s="1761"/>
      <c r="W52" s="1761"/>
      <c r="X52" s="1761"/>
      <c r="Y52" s="1761"/>
      <c r="Z52" s="1761"/>
      <c r="AA52" s="1761"/>
      <c r="AB52" s="1761"/>
      <c r="AC52" s="1761"/>
      <c r="AD52" s="1761"/>
      <c r="AE52" s="1761"/>
      <c r="AF52" s="1761"/>
      <c r="AG52" s="1761"/>
      <c r="AH52" s="1761"/>
    </row>
    <row r="53" spans="1:35" x14ac:dyDescent="0.25">
      <c r="C53" s="1761"/>
      <c r="D53" s="1761"/>
      <c r="E53" s="1761"/>
      <c r="F53" s="1761"/>
      <c r="G53" s="1761"/>
      <c r="H53" s="1761"/>
      <c r="I53" s="1761"/>
      <c r="J53" s="1761"/>
      <c r="K53" s="1761"/>
      <c r="L53" s="1761"/>
      <c r="M53" s="1761"/>
      <c r="N53" s="1761"/>
      <c r="O53" s="1761"/>
      <c r="P53" s="1761"/>
      <c r="Q53" s="1761"/>
      <c r="R53" s="1761"/>
      <c r="S53" s="1761"/>
      <c r="T53" s="1761"/>
      <c r="U53" s="1761"/>
      <c r="V53" s="1761"/>
      <c r="W53" s="1761"/>
      <c r="X53" s="1761"/>
      <c r="Y53" s="1761"/>
      <c r="Z53" s="1761"/>
      <c r="AA53" s="1761"/>
      <c r="AB53" s="1761"/>
      <c r="AC53" s="1761"/>
      <c r="AD53" s="1761"/>
      <c r="AE53" s="1761"/>
      <c r="AF53" s="1761"/>
      <c r="AG53" s="1761"/>
      <c r="AH53" s="1761"/>
    </row>
  </sheetData>
  <mergeCells count="49">
    <mergeCell ref="Z7:Z9"/>
    <mergeCell ref="AA7:AA9"/>
    <mergeCell ref="Q8:Q9"/>
    <mergeCell ref="AH5:AH9"/>
    <mergeCell ref="AI5:AI9"/>
    <mergeCell ref="Z5:AA6"/>
    <mergeCell ref="AB5:AB9"/>
    <mergeCell ref="V5:Y6"/>
    <mergeCell ref="W7:Y7"/>
    <mergeCell ref="A3:AI3"/>
    <mergeCell ref="AE8:AE9"/>
    <mergeCell ref="AF8:AG8"/>
    <mergeCell ref="F8:F9"/>
    <mergeCell ref="G8:G9"/>
    <mergeCell ref="I8:I9"/>
    <mergeCell ref="J8:K8"/>
    <mergeCell ref="M8:M9"/>
    <mergeCell ref="N8:O8"/>
    <mergeCell ref="P7:P9"/>
    <mergeCell ref="Q7:S7"/>
    <mergeCell ref="V7:V9"/>
    <mergeCell ref="C6:C9"/>
    <mergeCell ref="D6:E6"/>
    <mergeCell ref="D7:D9"/>
    <mergeCell ref="E7:E9"/>
    <mergeCell ref="H7:H9"/>
    <mergeCell ref="I7:K7"/>
    <mergeCell ref="L7:L9"/>
    <mergeCell ref="M7:O7"/>
    <mergeCell ref="T5:U7"/>
    <mergeCell ref="R8:S8"/>
    <mergeCell ref="T8:T9"/>
    <mergeCell ref="U8:U9"/>
    <mergeCell ref="A1:AI1"/>
    <mergeCell ref="A2:AI2"/>
    <mergeCell ref="A4:AI4"/>
    <mergeCell ref="A5:A9"/>
    <mergeCell ref="B5:B9"/>
    <mergeCell ref="C5:E5"/>
    <mergeCell ref="F5:G7"/>
    <mergeCell ref="H5:K6"/>
    <mergeCell ref="L5:O6"/>
    <mergeCell ref="P5:S6"/>
    <mergeCell ref="AC5:AC6"/>
    <mergeCell ref="AD5:AG6"/>
    <mergeCell ref="AD7:AD9"/>
    <mergeCell ref="AE7:AG7"/>
    <mergeCell ref="W8:W9"/>
    <mergeCell ref="X8:Y8"/>
  </mergeCells>
  <pageMargins left="0.34" right="0.2" top="0.5" bottom="0.64" header="0.3" footer="0.36"/>
  <pageSetup paperSize="9" scale="86" firstPageNumber="36" fitToHeight="0" orientation="landscape" useFirstPageNumber="1" r:id="rId1"/>
  <headerFooter>
    <oddHeader>&amp;RBiểu 11.1 DT</oddHeader>
    <oddFooter>&amp;C&amp;P</oddFooter>
  </headerFooter>
  <legacy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AF239"/>
  <sheetViews>
    <sheetView workbookViewId="0">
      <pane xSplit="2" ySplit="5" topLeftCell="C6" activePane="bottomRight" state="frozen"/>
      <selection pane="topRight" activeCell="C1" sqref="C1"/>
      <selection pane="bottomLeft" activeCell="A6" sqref="A6"/>
      <selection pane="bottomRight" activeCell="AC47" sqref="AC47"/>
    </sheetView>
  </sheetViews>
  <sheetFormatPr defaultRowHeight="12.75" x14ac:dyDescent="0.2"/>
  <cols>
    <col min="1" max="1" width="3.75" style="479" customWidth="1"/>
    <col min="2" max="2" width="38.25" style="479" customWidth="1"/>
    <col min="3" max="3" width="8.25" style="479" customWidth="1"/>
    <col min="4" max="4" width="9.25" style="479" customWidth="1"/>
    <col min="5" max="5" width="8.375" style="479" customWidth="1"/>
    <col min="6" max="6" width="6.375" style="479" customWidth="1"/>
    <col min="7" max="7" width="6.875" style="479" customWidth="1"/>
    <col min="8" max="8" width="9.125" style="479" hidden="1" customWidth="1"/>
    <col min="9" max="9" width="9" style="479" hidden="1" customWidth="1"/>
    <col min="10" max="10" width="8.625" style="479" hidden="1" customWidth="1"/>
    <col min="11" max="11" width="8.75" style="479" hidden="1" customWidth="1"/>
    <col min="12" max="12" width="8.125" style="479" hidden="1" customWidth="1"/>
    <col min="13" max="13" width="8" style="479" hidden="1" customWidth="1"/>
    <col min="14" max="14" width="9" style="541" hidden="1" customWidth="1"/>
    <col min="15" max="15" width="10.25" style="479" hidden="1" customWidth="1"/>
    <col min="16" max="16" width="9" style="541" hidden="1" customWidth="1"/>
    <col min="17" max="17" width="9" style="479" hidden="1" customWidth="1"/>
    <col min="18" max="18" width="9" style="541" hidden="1" customWidth="1"/>
    <col min="19" max="19" width="9" style="479" hidden="1" customWidth="1"/>
    <col min="20" max="20" width="9" style="541" hidden="1" customWidth="1"/>
    <col min="21" max="21" width="9" style="479" hidden="1" customWidth="1"/>
    <col min="22" max="22" width="8.5" style="542" hidden="1" customWidth="1"/>
    <col min="23" max="23" width="8.5" style="460" hidden="1" customWidth="1"/>
    <col min="24" max="24" width="9" style="542" hidden="1" customWidth="1"/>
    <col min="25" max="25" width="9" style="460" hidden="1" customWidth="1"/>
    <col min="26" max="26" width="8.125" style="542" hidden="1" customWidth="1"/>
    <col min="27" max="27" width="7.75" style="460" hidden="1" customWidth="1"/>
    <col min="28" max="28" width="7.75" style="476" customWidth="1"/>
    <col min="29" max="29" width="48.25" style="476" customWidth="1"/>
    <col min="30" max="30" width="12.375" style="479" customWidth="1"/>
    <col min="31" max="31" width="11" style="479" hidden="1" customWidth="1"/>
    <col min="32" max="32" width="11.5" style="479" customWidth="1"/>
    <col min="33" max="16384" width="9" style="479"/>
  </cols>
  <sheetData>
    <row r="1" spans="1:32" ht="22.5" customHeight="1" x14ac:dyDescent="0.2">
      <c r="A1" s="2184" t="s">
        <v>1392</v>
      </c>
      <c r="B1" s="2184"/>
      <c r="C1" s="2184"/>
      <c r="D1" s="2184"/>
      <c r="E1" s="2184"/>
      <c r="F1" s="2184"/>
      <c r="G1" s="2184"/>
      <c r="H1" s="2184"/>
      <c r="I1" s="2184"/>
      <c r="J1" s="2184"/>
      <c r="K1" s="2184"/>
      <c r="L1" s="2184"/>
      <c r="M1" s="2184"/>
      <c r="N1" s="2184"/>
      <c r="O1" s="2184"/>
      <c r="P1" s="2184"/>
      <c r="Q1" s="2184"/>
      <c r="R1" s="2184"/>
      <c r="S1" s="2184"/>
      <c r="T1" s="2184"/>
      <c r="U1" s="2184"/>
      <c r="V1" s="2184"/>
      <c r="W1" s="2184"/>
      <c r="X1" s="2184"/>
      <c r="Y1" s="2184"/>
      <c r="Z1" s="2184"/>
      <c r="AA1" s="2184"/>
      <c r="AC1" s="477"/>
      <c r="AD1" s="478"/>
      <c r="AE1" s="478"/>
    </row>
    <row r="2" spans="1:32" ht="21" customHeight="1" x14ac:dyDescent="0.2">
      <c r="A2" s="2185" t="str">
        <f>'Biểu 24'!A2:K2</f>
        <v>(Kèm theo Báo cáo số              /BC-UBND ngày       tháng 11 năm 2018 của UBND tỉnh Bắc Kạn)</v>
      </c>
      <c r="B2" s="2186"/>
      <c r="C2" s="2186"/>
      <c r="D2" s="2186"/>
      <c r="E2" s="2186"/>
      <c r="F2" s="2186"/>
      <c r="G2" s="2186"/>
      <c r="H2" s="2186"/>
      <c r="I2" s="2186"/>
      <c r="J2" s="2186"/>
      <c r="K2" s="2186"/>
      <c r="L2" s="2186"/>
      <c r="M2" s="2186"/>
      <c r="N2" s="2186"/>
      <c r="O2" s="2186"/>
      <c r="P2" s="2186"/>
      <c r="Q2" s="2186"/>
      <c r="R2" s="2186"/>
      <c r="S2" s="2186"/>
      <c r="T2" s="2186"/>
      <c r="U2" s="2186"/>
      <c r="V2" s="2186"/>
      <c r="W2" s="2186"/>
      <c r="X2" s="2186"/>
      <c r="Y2" s="2186"/>
      <c r="Z2" s="2186"/>
      <c r="AA2" s="2186"/>
      <c r="AC2" s="477"/>
      <c r="AD2" s="478"/>
      <c r="AE2" s="478"/>
    </row>
    <row r="3" spans="1:32" x14ac:dyDescent="0.2">
      <c r="A3" s="592"/>
      <c r="B3" s="592"/>
      <c r="C3" s="480"/>
      <c r="D3" s="480"/>
      <c r="E3" s="480"/>
      <c r="F3" s="480" t="s">
        <v>6</v>
      </c>
      <c r="G3" s="480"/>
      <c r="H3" s="480"/>
      <c r="I3" s="592"/>
      <c r="J3" s="592"/>
      <c r="K3" s="592"/>
      <c r="L3" s="592"/>
      <c r="M3" s="481"/>
      <c r="N3" s="602"/>
      <c r="O3" s="460"/>
      <c r="P3" s="603"/>
      <c r="Q3" s="604"/>
      <c r="R3" s="605">
        <f>R14-R23</f>
        <v>0</v>
      </c>
      <c r="S3" s="460"/>
      <c r="T3" s="602"/>
      <c r="U3" s="606">
        <f>U23-U14</f>
        <v>0</v>
      </c>
      <c r="V3" s="602"/>
      <c r="X3" s="602"/>
      <c r="Z3" s="2187" t="s">
        <v>6</v>
      </c>
      <c r="AA3" s="2187"/>
      <c r="AC3" s="477"/>
      <c r="AD3" s="478"/>
      <c r="AE3" s="478"/>
    </row>
    <row r="4" spans="1:32" ht="29.25" customHeight="1" x14ac:dyDescent="0.2">
      <c r="A4" s="2183" t="s">
        <v>0</v>
      </c>
      <c r="B4" s="2183" t="s">
        <v>1</v>
      </c>
      <c r="C4" s="2175" t="s">
        <v>219</v>
      </c>
      <c r="D4" s="2175" t="s">
        <v>516</v>
      </c>
      <c r="E4" s="2175" t="s">
        <v>1255</v>
      </c>
      <c r="F4" s="2183" t="s">
        <v>43</v>
      </c>
      <c r="G4" s="2183"/>
      <c r="H4" s="2181" t="s">
        <v>512</v>
      </c>
      <c r="I4" s="2182"/>
      <c r="J4" s="2178" t="s">
        <v>493</v>
      </c>
      <c r="K4" s="2179"/>
      <c r="L4" s="2188" t="s">
        <v>152</v>
      </c>
      <c r="M4" s="2188"/>
      <c r="N4" s="2177" t="s">
        <v>149</v>
      </c>
      <c r="O4" s="2177"/>
      <c r="P4" s="2189" t="s">
        <v>151</v>
      </c>
      <c r="Q4" s="2189"/>
      <c r="R4" s="2177" t="s">
        <v>435</v>
      </c>
      <c r="S4" s="2177"/>
      <c r="T4" s="2177" t="s">
        <v>385</v>
      </c>
      <c r="U4" s="2177"/>
      <c r="V4" s="2177" t="s">
        <v>155</v>
      </c>
      <c r="W4" s="2177"/>
      <c r="X4" s="2177" t="s">
        <v>154</v>
      </c>
      <c r="Y4" s="2177"/>
      <c r="Z4" s="2177" t="s">
        <v>153</v>
      </c>
      <c r="AA4" s="2177"/>
      <c r="AC4" s="477"/>
      <c r="AD4" s="478"/>
      <c r="AE4" s="478"/>
    </row>
    <row r="5" spans="1:32" ht="38.25" customHeight="1" x14ac:dyDescent="0.2">
      <c r="A5" s="2183"/>
      <c r="B5" s="2183"/>
      <c r="C5" s="2176"/>
      <c r="D5" s="2176"/>
      <c r="E5" s="2176"/>
      <c r="F5" s="591" t="s">
        <v>517</v>
      </c>
      <c r="G5" s="591" t="s">
        <v>1431</v>
      </c>
      <c r="H5" s="591" t="s">
        <v>219</v>
      </c>
      <c r="I5" s="591" t="s">
        <v>1393</v>
      </c>
      <c r="J5" s="591" t="s">
        <v>219</v>
      </c>
      <c r="K5" s="591" t="s">
        <v>1393</v>
      </c>
      <c r="L5" s="591" t="s">
        <v>219</v>
      </c>
      <c r="M5" s="591" t="s">
        <v>1393</v>
      </c>
      <c r="N5" s="482" t="s">
        <v>219</v>
      </c>
      <c r="O5" s="482" t="s">
        <v>1393</v>
      </c>
      <c r="P5" s="607" t="s">
        <v>219</v>
      </c>
      <c r="Q5" s="607" t="s">
        <v>1393</v>
      </c>
      <c r="R5" s="482" t="s">
        <v>219</v>
      </c>
      <c r="S5" s="482" t="s">
        <v>1393</v>
      </c>
      <c r="T5" s="482" t="s">
        <v>219</v>
      </c>
      <c r="U5" s="482" t="s">
        <v>1393</v>
      </c>
      <c r="V5" s="482" t="s">
        <v>219</v>
      </c>
      <c r="W5" s="482" t="s">
        <v>1393</v>
      </c>
      <c r="X5" s="482" t="s">
        <v>219</v>
      </c>
      <c r="Y5" s="482" t="s">
        <v>1393</v>
      </c>
      <c r="Z5" s="482" t="s">
        <v>219</v>
      </c>
      <c r="AA5" s="482" t="s">
        <v>1393</v>
      </c>
      <c r="AC5" s="477"/>
      <c r="AD5" s="478"/>
      <c r="AE5" s="478"/>
    </row>
    <row r="6" spans="1:32" s="488" customFormat="1" ht="18" customHeight="1" x14ac:dyDescent="0.2">
      <c r="A6" s="591" t="s">
        <v>2</v>
      </c>
      <c r="B6" s="591" t="s">
        <v>3</v>
      </c>
      <c r="C6" s="591">
        <v>1</v>
      </c>
      <c r="D6" s="591">
        <v>2</v>
      </c>
      <c r="E6" s="591">
        <v>3</v>
      </c>
      <c r="F6" s="591">
        <v>4</v>
      </c>
      <c r="G6" s="591">
        <v>5</v>
      </c>
      <c r="H6" s="483"/>
      <c r="I6" s="483"/>
      <c r="J6" s="483"/>
      <c r="K6" s="483"/>
      <c r="L6" s="483">
        <v>1</v>
      </c>
      <c r="M6" s="483">
        <v>2</v>
      </c>
      <c r="N6" s="483">
        <v>1</v>
      </c>
      <c r="O6" s="483">
        <v>2</v>
      </c>
      <c r="P6" s="608">
        <v>1</v>
      </c>
      <c r="Q6" s="608">
        <v>2</v>
      </c>
      <c r="R6" s="483">
        <v>1</v>
      </c>
      <c r="S6" s="483">
        <v>2</v>
      </c>
      <c r="T6" s="483">
        <v>1</v>
      </c>
      <c r="U6" s="483">
        <v>2</v>
      </c>
      <c r="V6" s="484">
        <v>1</v>
      </c>
      <c r="W6" s="484">
        <v>2</v>
      </c>
      <c r="X6" s="484">
        <v>1</v>
      </c>
      <c r="Y6" s="484">
        <v>2</v>
      </c>
      <c r="Z6" s="484">
        <v>1</v>
      </c>
      <c r="AA6" s="484">
        <v>2</v>
      </c>
      <c r="AB6" s="485"/>
      <c r="AC6" s="486"/>
      <c r="AD6" s="487"/>
      <c r="AE6" s="487"/>
      <c r="AF6" s="487"/>
    </row>
    <row r="7" spans="1:32" ht="31.5" customHeight="1" x14ac:dyDescent="0.2">
      <c r="A7" s="483"/>
      <c r="B7" s="483" t="s">
        <v>513</v>
      </c>
      <c r="C7" s="489">
        <f>C9+C56</f>
        <v>5190937</v>
      </c>
      <c r="D7" s="489">
        <f>D10+D37+D53+D54+D122</f>
        <v>0</v>
      </c>
      <c r="E7" s="489">
        <f>E9+E56</f>
        <v>4991815</v>
      </c>
      <c r="F7" s="490">
        <f>D7/C7*100</f>
        <v>0</v>
      </c>
      <c r="G7" s="491">
        <f>E7/C7*100</f>
        <v>96.164045142524373</v>
      </c>
      <c r="H7" s="492">
        <f>H10+H37+H53+H54+H122</f>
        <v>391059</v>
      </c>
      <c r="I7" s="492">
        <f>I10+I37+I53+I54+I122</f>
        <v>1411780</v>
      </c>
      <c r="J7" s="492">
        <f>J10+J37+J53+J54+J122</f>
        <v>166173</v>
      </c>
      <c r="K7" s="492">
        <f>K10+K37+K53+K54+K122</f>
        <v>2497306</v>
      </c>
      <c r="L7" s="492">
        <f t="shared" ref="L7:R7" si="0">L8+L122</f>
        <v>17708</v>
      </c>
      <c r="M7" s="492">
        <f t="shared" si="0"/>
        <v>405953</v>
      </c>
      <c r="N7" s="492">
        <f t="shared" si="0"/>
        <v>9502</v>
      </c>
      <c r="O7" s="492">
        <f t="shared" si="0"/>
        <v>235009</v>
      </c>
      <c r="P7" s="594">
        <f t="shared" si="0"/>
        <v>22064</v>
      </c>
      <c r="Q7" s="594">
        <f t="shared" si="0"/>
        <v>380578</v>
      </c>
      <c r="R7" s="492">
        <f t="shared" si="0"/>
        <v>52031</v>
      </c>
      <c r="S7" s="594">
        <f>S9+S56</f>
        <v>237497</v>
      </c>
      <c r="T7" s="492">
        <f t="shared" ref="T7:AA7" si="1">T8+T122</f>
        <v>48773</v>
      </c>
      <c r="U7" s="492">
        <f t="shared" si="1"/>
        <v>274141</v>
      </c>
      <c r="V7" s="492">
        <f t="shared" si="1"/>
        <v>14782</v>
      </c>
      <c r="W7" s="492">
        <f t="shared" si="1"/>
        <v>343083</v>
      </c>
      <c r="X7" s="492">
        <f t="shared" si="1"/>
        <v>22674</v>
      </c>
      <c r="Y7" s="492">
        <f t="shared" si="1"/>
        <v>432863</v>
      </c>
      <c r="Z7" s="492">
        <f t="shared" si="1"/>
        <v>12078</v>
      </c>
      <c r="AA7" s="492">
        <f t="shared" si="1"/>
        <v>296564</v>
      </c>
      <c r="AB7" s="477"/>
      <c r="AC7" s="477"/>
      <c r="AD7" s="478"/>
      <c r="AE7" s="478"/>
      <c r="AF7" s="478"/>
    </row>
    <row r="8" spans="1:32" ht="15.75" hidden="1" customHeight="1" x14ac:dyDescent="0.2">
      <c r="A8" s="493"/>
      <c r="B8" s="492" t="s">
        <v>437</v>
      </c>
      <c r="C8" s="492">
        <f>C10+C37+C52+C53+C54+C55</f>
        <v>3478898</v>
      </c>
      <c r="D8" s="492"/>
      <c r="E8" s="492">
        <f>M8+O8+Q8+S8+U8+W8+Y8+AA8</f>
        <v>2242837</v>
      </c>
      <c r="F8" s="494">
        <f t="shared" ref="F8:F10" si="2">D8/C8*100</f>
        <v>0</v>
      </c>
      <c r="G8" s="491">
        <f t="shared" ref="G8" si="3">E8/C8*100</f>
        <v>64.46975450271897</v>
      </c>
      <c r="H8" s="492"/>
      <c r="I8" s="492"/>
      <c r="J8" s="492"/>
      <c r="K8" s="492"/>
      <c r="L8" s="492">
        <f t="shared" ref="L8:AA8" si="4">L10+L37+L52+L53+L54+L55</f>
        <v>17708</v>
      </c>
      <c r="M8" s="492">
        <f t="shared" si="4"/>
        <v>341547</v>
      </c>
      <c r="N8" s="492">
        <f t="shared" si="4"/>
        <v>9502</v>
      </c>
      <c r="O8" s="492">
        <f t="shared" si="4"/>
        <v>203901</v>
      </c>
      <c r="P8" s="594">
        <f t="shared" si="4"/>
        <v>22064</v>
      </c>
      <c r="Q8" s="594">
        <f t="shared" si="4"/>
        <v>338485</v>
      </c>
      <c r="R8" s="492">
        <f t="shared" si="4"/>
        <v>52031</v>
      </c>
      <c r="S8" s="594">
        <f t="shared" si="4"/>
        <v>235343</v>
      </c>
      <c r="T8" s="492">
        <f t="shared" si="4"/>
        <v>15334</v>
      </c>
      <c r="U8" s="492">
        <f t="shared" si="4"/>
        <v>246115</v>
      </c>
      <c r="V8" s="492">
        <f t="shared" si="4"/>
        <v>14782</v>
      </c>
      <c r="W8" s="492">
        <f t="shared" si="4"/>
        <v>274645</v>
      </c>
      <c r="X8" s="492">
        <f t="shared" si="4"/>
        <v>22674</v>
      </c>
      <c r="Y8" s="492">
        <f t="shared" si="4"/>
        <v>343621</v>
      </c>
      <c r="Z8" s="492">
        <f t="shared" si="4"/>
        <v>12078</v>
      </c>
      <c r="AA8" s="492">
        <f t="shared" si="4"/>
        <v>259180</v>
      </c>
      <c r="AC8" s="477"/>
      <c r="AD8" s="478"/>
      <c r="AE8" s="478"/>
      <c r="AF8" s="478"/>
    </row>
    <row r="9" spans="1:32" ht="15.75" customHeight="1" x14ac:dyDescent="0.2">
      <c r="A9" s="493" t="s">
        <v>2</v>
      </c>
      <c r="B9" s="492" t="s">
        <v>1394</v>
      </c>
      <c r="C9" s="492">
        <f>C10+C37+C52+C53+C54</f>
        <v>3478898</v>
      </c>
      <c r="D9" s="492">
        <f t="shared" ref="D9" si="5">D10+D37+D52+D53+D54</f>
        <v>0</v>
      </c>
      <c r="E9" s="492">
        <f>E10+E37+E52+E53+E54</f>
        <v>3527359</v>
      </c>
      <c r="F9" s="494"/>
      <c r="G9" s="491">
        <f>E9/C9*100</f>
        <v>101.39299858748375</v>
      </c>
      <c r="H9" s="492"/>
      <c r="I9" s="492"/>
      <c r="J9" s="492"/>
      <c r="K9" s="492"/>
      <c r="L9" s="492"/>
      <c r="M9" s="492"/>
      <c r="N9" s="492"/>
      <c r="O9" s="492"/>
      <c r="P9" s="594"/>
      <c r="Q9" s="594"/>
      <c r="R9" s="492"/>
      <c r="S9" s="594">
        <f>S10+S37</f>
        <v>235343</v>
      </c>
      <c r="T9" s="492"/>
      <c r="U9" s="492"/>
      <c r="V9" s="492"/>
      <c r="W9" s="492"/>
      <c r="X9" s="492"/>
      <c r="Y9" s="492"/>
      <c r="Z9" s="492"/>
      <c r="AA9" s="492"/>
      <c r="AB9" s="477"/>
      <c r="AC9" s="477"/>
      <c r="AD9" s="478"/>
      <c r="AE9" s="478"/>
      <c r="AF9" s="478"/>
    </row>
    <row r="10" spans="1:32" ht="15.75" customHeight="1" x14ac:dyDescent="0.2">
      <c r="A10" s="493" t="s">
        <v>9</v>
      </c>
      <c r="B10" s="492" t="s">
        <v>24</v>
      </c>
      <c r="C10" s="492">
        <f>C15+C18+C19+C20+C21</f>
        <v>493390</v>
      </c>
      <c r="D10" s="492">
        <f>D14</f>
        <v>0</v>
      </c>
      <c r="E10" s="492">
        <f>E15+E18+E19+E20+E21+E22</f>
        <v>558773</v>
      </c>
      <c r="F10" s="494">
        <f t="shared" si="2"/>
        <v>0</v>
      </c>
      <c r="G10" s="495">
        <f>E10/C10*100</f>
        <v>113.25178864589877</v>
      </c>
      <c r="H10" s="492">
        <f t="shared" ref="H10:J10" si="6">H14</f>
        <v>360746</v>
      </c>
      <c r="I10" s="492">
        <f t="shared" si="6"/>
        <v>380684</v>
      </c>
      <c r="J10" s="492">
        <f t="shared" si="6"/>
        <v>132644</v>
      </c>
      <c r="K10" s="492">
        <f>K15+K18+K22</f>
        <v>178089</v>
      </c>
      <c r="L10" s="492">
        <f t="shared" ref="L10:X10" si="7">L11+L12</f>
        <v>12158</v>
      </c>
      <c r="M10" s="492">
        <f>M15+M18+M22</f>
        <v>18292</v>
      </c>
      <c r="N10" s="492">
        <f t="shared" si="7"/>
        <v>9502</v>
      </c>
      <c r="O10" s="492">
        <f>O15+O18</f>
        <v>12482</v>
      </c>
      <c r="P10" s="594">
        <f t="shared" si="7"/>
        <v>16417</v>
      </c>
      <c r="Q10" s="594">
        <f>Q15+Q18+Q22</f>
        <v>32965</v>
      </c>
      <c r="R10" s="594">
        <f t="shared" si="7"/>
        <v>47681</v>
      </c>
      <c r="S10" s="594">
        <f>S15+S18</f>
        <v>53735</v>
      </c>
      <c r="T10" s="594">
        <f t="shared" si="7"/>
        <v>11181</v>
      </c>
      <c r="U10" s="594">
        <f>U15</f>
        <v>13134</v>
      </c>
      <c r="V10" s="492">
        <f>V15+V18+V22</f>
        <v>10564</v>
      </c>
      <c r="W10" s="492">
        <f>W15+W18+W22</f>
        <v>14582</v>
      </c>
      <c r="X10" s="492">
        <f t="shared" si="7"/>
        <v>16810</v>
      </c>
      <c r="Y10" s="492">
        <f>Y15+Y18</f>
        <v>13070</v>
      </c>
      <c r="Z10" s="492">
        <f>Z15+Z18+Z22</f>
        <v>8331</v>
      </c>
      <c r="AA10" s="492">
        <f>AA15+AA18+AA22</f>
        <v>19829</v>
      </c>
      <c r="AB10" s="477"/>
      <c r="AC10" s="477"/>
      <c r="AD10" s="478"/>
      <c r="AE10" s="478"/>
      <c r="AF10" s="478"/>
    </row>
    <row r="11" spans="1:32" ht="63" hidden="1" customHeight="1" x14ac:dyDescent="0.2">
      <c r="A11" s="493" t="s">
        <v>438</v>
      </c>
      <c r="B11" s="492" t="s">
        <v>25</v>
      </c>
      <c r="C11" s="496"/>
      <c r="D11" s="496"/>
      <c r="E11" s="496"/>
      <c r="F11" s="496"/>
      <c r="G11" s="495" t="e">
        <f>E11/C11*100</f>
        <v>#DIV/0!</v>
      </c>
      <c r="H11" s="496"/>
      <c r="I11" s="496"/>
      <c r="J11" s="496"/>
      <c r="K11" s="496"/>
      <c r="L11" s="496"/>
      <c r="M11" s="496"/>
      <c r="N11" s="496"/>
      <c r="O11" s="496"/>
      <c r="P11" s="594"/>
      <c r="Q11" s="594"/>
      <c r="R11" s="594"/>
      <c r="S11" s="594"/>
      <c r="T11" s="594"/>
      <c r="U11" s="594"/>
      <c r="V11" s="334"/>
      <c r="W11" s="334"/>
      <c r="X11" s="334"/>
      <c r="Y11" s="334"/>
      <c r="Z11" s="334"/>
      <c r="AA11" s="334"/>
      <c r="AB11" s="477"/>
      <c r="AC11" s="477"/>
      <c r="AD11" s="478"/>
      <c r="AE11" s="478"/>
      <c r="AF11" s="478"/>
    </row>
    <row r="12" spans="1:32" ht="15.75" hidden="1" customHeight="1" x14ac:dyDescent="0.2">
      <c r="A12" s="493" t="s">
        <v>439</v>
      </c>
      <c r="B12" s="492" t="s">
        <v>440</v>
      </c>
      <c r="C12" s="492">
        <f>L12+N12+P12+R12+T12+V12+X12+Z12</f>
        <v>132644</v>
      </c>
      <c r="D12" s="492"/>
      <c r="E12" s="492">
        <f>M12+O12+Q12+S12+U12+W12+Y12+AA12</f>
        <v>167918</v>
      </c>
      <c r="F12" s="492"/>
      <c r="G12" s="495">
        <f>E12/C12*100</f>
        <v>126.59298573625644</v>
      </c>
      <c r="H12" s="492"/>
      <c r="I12" s="492"/>
      <c r="J12" s="492"/>
      <c r="K12" s="492"/>
      <c r="L12" s="492">
        <f>L14</f>
        <v>12158</v>
      </c>
      <c r="M12" s="492">
        <f>M14</f>
        <v>12030</v>
      </c>
      <c r="N12" s="492">
        <f>N14</f>
        <v>9502</v>
      </c>
      <c r="O12" s="492">
        <f>N12</f>
        <v>9502</v>
      </c>
      <c r="P12" s="594">
        <f t="shared" ref="P12:AA12" si="8">P14</f>
        <v>16417</v>
      </c>
      <c r="Q12" s="594">
        <f t="shared" si="8"/>
        <v>32965</v>
      </c>
      <c r="R12" s="594">
        <f t="shared" si="8"/>
        <v>47681</v>
      </c>
      <c r="S12" s="594">
        <f t="shared" si="8"/>
        <v>53735</v>
      </c>
      <c r="T12" s="594">
        <f t="shared" si="8"/>
        <v>11181</v>
      </c>
      <c r="U12" s="594">
        <f t="shared" si="8"/>
        <v>13134</v>
      </c>
      <c r="V12" s="330">
        <f t="shared" si="8"/>
        <v>10564</v>
      </c>
      <c r="W12" s="330">
        <f>W14</f>
        <v>13653</v>
      </c>
      <c r="X12" s="330">
        <f t="shared" si="8"/>
        <v>16810</v>
      </c>
      <c r="Y12" s="330">
        <f t="shared" si="8"/>
        <v>13070</v>
      </c>
      <c r="Z12" s="330">
        <f t="shared" si="8"/>
        <v>8331</v>
      </c>
      <c r="AA12" s="330">
        <f t="shared" si="8"/>
        <v>19829</v>
      </c>
      <c r="AB12" s="477"/>
      <c r="AC12" s="477"/>
      <c r="AD12" s="478"/>
      <c r="AE12" s="478"/>
      <c r="AF12" s="478"/>
    </row>
    <row r="13" spans="1:32" s="504" customFormat="1" ht="15.75" customHeight="1" x14ac:dyDescent="0.2">
      <c r="A13" s="497"/>
      <c r="B13" s="498" t="s">
        <v>5</v>
      </c>
      <c r="C13" s="499"/>
      <c r="D13" s="499"/>
      <c r="E13" s="499"/>
      <c r="F13" s="499"/>
      <c r="G13" s="495"/>
      <c r="H13" s="499"/>
      <c r="I13" s="499"/>
      <c r="J13" s="499"/>
      <c r="K13" s="499"/>
      <c r="L13" s="499"/>
      <c r="M13" s="499"/>
      <c r="N13" s="499"/>
      <c r="O13" s="499"/>
      <c r="P13" s="595"/>
      <c r="Q13" s="595"/>
      <c r="R13" s="595"/>
      <c r="S13" s="595"/>
      <c r="T13" s="595"/>
      <c r="U13" s="595"/>
      <c r="V13" s="500"/>
      <c r="W13" s="500"/>
      <c r="X13" s="500"/>
      <c r="Y13" s="500"/>
      <c r="Z13" s="500"/>
      <c r="AA13" s="500"/>
      <c r="AB13" s="477"/>
      <c r="AC13" s="502"/>
      <c r="AD13" s="503"/>
      <c r="AE13" s="503"/>
      <c r="AF13" s="503"/>
    </row>
    <row r="14" spans="1:32" ht="31.5" hidden="1" customHeight="1" x14ac:dyDescent="0.2">
      <c r="A14" s="493">
        <v>1</v>
      </c>
      <c r="B14" s="492" t="s">
        <v>1406</v>
      </c>
      <c r="C14" s="492">
        <f>C15+C18+C19</f>
        <v>470290</v>
      </c>
      <c r="D14" s="492">
        <f>D15+D18+D19+D22</f>
        <v>0</v>
      </c>
      <c r="E14" s="492">
        <f>E15+E18+E19+E22</f>
        <v>552773</v>
      </c>
      <c r="F14" s="494">
        <f t="shared" ref="F14:F53" si="9">D14/C14*100</f>
        <v>0</v>
      </c>
      <c r="G14" s="495">
        <f>E14/C14*100</f>
        <v>117.53875268451381</v>
      </c>
      <c r="H14" s="492">
        <f>SUM(H15:H21)</f>
        <v>360746</v>
      </c>
      <c r="I14" s="492">
        <f>SUM(I15:I21)</f>
        <v>380684</v>
      </c>
      <c r="J14" s="492">
        <f>J15+J19+J18</f>
        <v>132644</v>
      </c>
      <c r="K14" s="492">
        <f>K15+K19+K18+K22</f>
        <v>178089</v>
      </c>
      <c r="L14" s="492">
        <f>L18+L15</f>
        <v>12158</v>
      </c>
      <c r="M14" s="492">
        <f>M18+M15</f>
        <v>12030</v>
      </c>
      <c r="N14" s="492">
        <f>N18+N15</f>
        <v>9502</v>
      </c>
      <c r="O14" s="492">
        <f>O18+O15</f>
        <v>12482</v>
      </c>
      <c r="P14" s="594">
        <f>P15+P18</f>
        <v>16417</v>
      </c>
      <c r="Q14" s="594">
        <f>Q15+Q18+Q22</f>
        <v>32965</v>
      </c>
      <c r="R14" s="594">
        <f>R15+R18</f>
        <v>47681</v>
      </c>
      <c r="S14" s="594">
        <f>S15+S18+S22</f>
        <v>53735</v>
      </c>
      <c r="T14" s="594">
        <f t="shared" ref="T14:Z14" si="10">T15+T18</f>
        <v>11181</v>
      </c>
      <c r="U14" s="594">
        <f t="shared" si="10"/>
        <v>13134</v>
      </c>
      <c r="V14" s="330">
        <f t="shared" si="10"/>
        <v>10564</v>
      </c>
      <c r="W14" s="330">
        <f t="shared" si="10"/>
        <v>13653</v>
      </c>
      <c r="X14" s="330">
        <f t="shared" si="10"/>
        <v>16810</v>
      </c>
      <c r="Y14" s="330">
        <f t="shared" si="10"/>
        <v>13070</v>
      </c>
      <c r="Z14" s="330">
        <f t="shared" si="10"/>
        <v>8331</v>
      </c>
      <c r="AA14" s="330">
        <f>AA15+AA18+AA22</f>
        <v>19829</v>
      </c>
      <c r="AB14" s="477"/>
      <c r="AC14" s="477"/>
      <c r="AD14" s="478"/>
      <c r="AE14" s="478"/>
      <c r="AF14" s="478"/>
    </row>
    <row r="15" spans="1:32" ht="16.5" customHeight="1" x14ac:dyDescent="0.2">
      <c r="A15" s="505">
        <v>1</v>
      </c>
      <c r="B15" s="496" t="s">
        <v>443</v>
      </c>
      <c r="C15" s="496">
        <f>L15+N15+P15+R15+T15+V15+X15+Z15+H15</f>
        <v>400290</v>
      </c>
      <c r="D15" s="496"/>
      <c r="E15" s="496">
        <f>I15+K15</f>
        <v>451310</v>
      </c>
      <c r="F15" s="506"/>
      <c r="G15" s="507">
        <f t="shared" ref="G15:G17" si="11">E15/C15*100</f>
        <v>112.74575932448974</v>
      </c>
      <c r="H15" s="496">
        <f>290846+26300</f>
        <v>317146</v>
      </c>
      <c r="I15" s="496">
        <f>'Biểu 22'!G9-I18-I19-I21</f>
        <v>354184</v>
      </c>
      <c r="J15" s="496">
        <f>L15+N15+P15+R15+T15+V15+X15+Z15</f>
        <v>83144</v>
      </c>
      <c r="K15" s="496">
        <f>M15+O15+Q15+S15+U15+W15+Y15+AA15</f>
        <v>97126</v>
      </c>
      <c r="L15" s="496">
        <v>7658</v>
      </c>
      <c r="M15" s="496">
        <v>9908</v>
      </c>
      <c r="N15" s="596">
        <v>7882</v>
      </c>
      <c r="O15" s="596">
        <v>10609</v>
      </c>
      <c r="P15" s="596">
        <v>14797</v>
      </c>
      <c r="Q15" s="609">
        <v>14797</v>
      </c>
      <c r="R15" s="596">
        <v>16181</v>
      </c>
      <c r="S15" s="596">
        <v>22235</v>
      </c>
      <c r="T15" s="596">
        <v>10101</v>
      </c>
      <c r="U15" s="596">
        <v>13134</v>
      </c>
      <c r="V15" s="334">
        <v>8224</v>
      </c>
      <c r="W15" s="334">
        <v>8142</v>
      </c>
      <c r="X15" s="508">
        <v>10870</v>
      </c>
      <c r="Y15" s="508">
        <v>10870</v>
      </c>
      <c r="Z15" s="508">
        <v>7431</v>
      </c>
      <c r="AA15" s="508">
        <f>Z15</f>
        <v>7431</v>
      </c>
      <c r="AB15" s="477"/>
      <c r="AC15" s="477"/>
      <c r="AD15" s="478"/>
      <c r="AE15" s="478"/>
      <c r="AF15" s="478"/>
    </row>
    <row r="16" spans="1:32" ht="16.5" hidden="1" customHeight="1" x14ac:dyDescent="0.2">
      <c r="A16" s="505" t="s">
        <v>288</v>
      </c>
      <c r="B16" s="509" t="s">
        <v>244</v>
      </c>
      <c r="C16" s="496">
        <f t="shared" ref="C16:C22" si="12">L16+N16+P16+R16+T16+V16+X16+Z16+H16</f>
        <v>0</v>
      </c>
      <c r="D16" s="496"/>
      <c r="E16" s="496">
        <f t="shared" ref="E16:E22" si="13">I16+K16</f>
        <v>0</v>
      </c>
      <c r="F16" s="506" t="e">
        <f t="shared" si="9"/>
        <v>#DIV/0!</v>
      </c>
      <c r="G16" s="507" t="e">
        <f t="shared" si="11"/>
        <v>#DIV/0!</v>
      </c>
      <c r="H16" s="496"/>
      <c r="I16" s="496"/>
      <c r="J16" s="496">
        <f t="shared" ref="J16:K22" si="14">L16+N16+P16+R16+T16+V16+X16+Z16</f>
        <v>0</v>
      </c>
      <c r="K16" s="496"/>
      <c r="L16" s="496"/>
      <c r="M16" s="496"/>
      <c r="N16" s="596"/>
      <c r="O16" s="596"/>
      <c r="P16" s="596"/>
      <c r="Q16" s="609"/>
      <c r="R16" s="596"/>
      <c r="S16" s="609"/>
      <c r="T16" s="596"/>
      <c r="U16" s="597"/>
      <c r="V16" s="334"/>
      <c r="W16" s="334">
        <v>5030</v>
      </c>
      <c r="X16" s="334"/>
      <c r="Y16" s="334"/>
      <c r="Z16" s="334"/>
      <c r="AA16" s="334"/>
      <c r="AB16" s="477"/>
      <c r="AC16" s="477"/>
      <c r="AD16" s="478"/>
      <c r="AE16" s="478"/>
      <c r="AF16" s="478"/>
    </row>
    <row r="17" spans="1:32" ht="16.5" hidden="1" customHeight="1" x14ac:dyDescent="0.2">
      <c r="A17" s="505" t="s">
        <v>288</v>
      </c>
      <c r="B17" s="510" t="s">
        <v>444</v>
      </c>
      <c r="C17" s="496">
        <f t="shared" si="12"/>
        <v>0</v>
      </c>
      <c r="D17" s="496"/>
      <c r="E17" s="496">
        <f t="shared" si="13"/>
        <v>0</v>
      </c>
      <c r="F17" s="506" t="e">
        <f t="shared" si="9"/>
        <v>#DIV/0!</v>
      </c>
      <c r="G17" s="507" t="e">
        <f t="shared" si="11"/>
        <v>#DIV/0!</v>
      </c>
      <c r="H17" s="496"/>
      <c r="I17" s="496"/>
      <c r="J17" s="496">
        <f t="shared" si="14"/>
        <v>0</v>
      </c>
      <c r="K17" s="496"/>
      <c r="L17" s="496"/>
      <c r="M17" s="496"/>
      <c r="N17" s="596"/>
      <c r="O17" s="596"/>
      <c r="P17" s="596"/>
      <c r="Q17" s="596"/>
      <c r="R17" s="596"/>
      <c r="S17" s="596"/>
      <c r="T17" s="596"/>
      <c r="U17" s="508"/>
      <c r="V17" s="334"/>
      <c r="W17" s="334">
        <v>2175</v>
      </c>
      <c r="X17" s="334"/>
      <c r="Y17" s="334"/>
      <c r="Z17" s="334"/>
      <c r="AA17" s="334"/>
      <c r="AB17" s="477"/>
      <c r="AC17" s="477"/>
      <c r="AD17" s="478"/>
      <c r="AE17" s="478"/>
      <c r="AF17" s="478"/>
    </row>
    <row r="18" spans="1:32" s="724" customFormat="1" ht="21.75" customHeight="1" x14ac:dyDescent="0.2">
      <c r="A18" s="713">
        <v>2</v>
      </c>
      <c r="B18" s="714" t="s">
        <v>26</v>
      </c>
      <c r="C18" s="714">
        <f t="shared" si="12"/>
        <v>55000</v>
      </c>
      <c r="D18" s="714"/>
      <c r="E18" s="714">
        <f t="shared" si="13"/>
        <v>52874</v>
      </c>
      <c r="F18" s="715">
        <f t="shared" si="9"/>
        <v>0</v>
      </c>
      <c r="G18" s="716">
        <f>E18/C18*100</f>
        <v>96.134545454545446</v>
      </c>
      <c r="H18" s="714">
        <f>'Biểu 22'!G15</f>
        <v>5500</v>
      </c>
      <c r="I18" s="714">
        <v>5500</v>
      </c>
      <c r="J18" s="714">
        <f t="shared" si="14"/>
        <v>49500</v>
      </c>
      <c r="K18" s="714">
        <f t="shared" si="14"/>
        <v>47374</v>
      </c>
      <c r="L18" s="717">
        <v>4500</v>
      </c>
      <c r="M18" s="717">
        <v>2122</v>
      </c>
      <c r="N18" s="718">
        <v>1620</v>
      </c>
      <c r="O18" s="718">
        <v>1873</v>
      </c>
      <c r="P18" s="718">
        <v>1620</v>
      </c>
      <c r="Q18" s="719">
        <v>1620</v>
      </c>
      <c r="R18" s="718">
        <v>31500</v>
      </c>
      <c r="S18" s="718">
        <f>1080+30420</f>
        <v>31500</v>
      </c>
      <c r="T18" s="718">
        <v>1080</v>
      </c>
      <c r="U18" s="714"/>
      <c r="V18" s="720">
        <v>2340</v>
      </c>
      <c r="W18" s="720">
        <v>5511</v>
      </c>
      <c r="X18" s="721">
        <v>5940</v>
      </c>
      <c r="Y18" s="721">
        <v>2200</v>
      </c>
      <c r="Z18" s="721">
        <v>900</v>
      </c>
      <c r="AA18" s="721">
        <v>2548</v>
      </c>
      <c r="AB18" s="722"/>
      <c r="AC18" s="722"/>
      <c r="AD18" s="723"/>
      <c r="AE18" s="723"/>
      <c r="AF18" s="723"/>
    </row>
    <row r="19" spans="1:32" ht="16.5" customHeight="1" x14ac:dyDescent="0.2">
      <c r="A19" s="505">
        <v>3</v>
      </c>
      <c r="B19" s="496" t="s">
        <v>27</v>
      </c>
      <c r="C19" s="496">
        <f t="shared" si="12"/>
        <v>15000</v>
      </c>
      <c r="D19" s="496"/>
      <c r="E19" s="496">
        <f t="shared" si="13"/>
        <v>15000</v>
      </c>
      <c r="F19" s="506">
        <f t="shared" si="9"/>
        <v>0</v>
      </c>
      <c r="G19" s="507">
        <f>E19/C19*100</f>
        <v>100</v>
      </c>
      <c r="H19" s="496">
        <f>'Biểu 22'!G16</f>
        <v>15000</v>
      </c>
      <c r="I19" s="496">
        <v>15000</v>
      </c>
      <c r="J19" s="496">
        <f t="shared" si="14"/>
        <v>0</v>
      </c>
      <c r="K19" s="496"/>
      <c r="L19" s="511"/>
      <c r="M19" s="511"/>
      <c r="N19" s="508"/>
      <c r="O19" s="508"/>
      <c r="P19" s="596"/>
      <c r="Q19" s="609"/>
      <c r="R19" s="596"/>
      <c r="S19" s="596"/>
      <c r="T19" s="596"/>
      <c r="U19" s="496"/>
      <c r="V19" s="334"/>
      <c r="W19" s="334"/>
      <c r="X19" s="508"/>
      <c r="Y19" s="508"/>
      <c r="Z19" s="508"/>
      <c r="AA19" s="508"/>
      <c r="AB19" s="477"/>
      <c r="AC19" s="477"/>
      <c r="AD19" s="478"/>
      <c r="AE19" s="478"/>
      <c r="AF19" s="478"/>
    </row>
    <row r="20" spans="1:32" ht="16.5" customHeight="1" x14ac:dyDescent="0.2">
      <c r="A20" s="505">
        <v>4</v>
      </c>
      <c r="B20" s="496" t="s">
        <v>1259</v>
      </c>
      <c r="C20" s="496">
        <v>17100</v>
      </c>
      <c r="D20" s="496"/>
      <c r="E20" s="496">
        <f t="shared" si="13"/>
        <v>0</v>
      </c>
      <c r="F20" s="506"/>
      <c r="G20" s="507">
        <f t="shared" ref="G20:G21" si="15">E20/C20*100</f>
        <v>0</v>
      </c>
      <c r="H20" s="496">
        <v>17100</v>
      </c>
      <c r="I20" s="496"/>
      <c r="J20" s="496">
        <f t="shared" si="14"/>
        <v>0</v>
      </c>
      <c r="K20" s="496"/>
      <c r="L20" s="511"/>
      <c r="M20" s="511"/>
      <c r="N20" s="508"/>
      <c r="O20" s="508"/>
      <c r="P20" s="596"/>
      <c r="Q20" s="609"/>
      <c r="R20" s="596"/>
      <c r="S20" s="596"/>
      <c r="T20" s="596"/>
      <c r="U20" s="496"/>
      <c r="V20" s="334"/>
      <c r="W20" s="334"/>
      <c r="X20" s="508"/>
      <c r="Y20" s="508"/>
      <c r="Z20" s="508"/>
      <c r="AA20" s="508"/>
      <c r="AB20" s="477"/>
      <c r="AC20" s="477"/>
      <c r="AD20" s="478"/>
      <c r="AE20" s="478"/>
      <c r="AF20" s="478"/>
    </row>
    <row r="21" spans="1:32" ht="16.5" customHeight="1" x14ac:dyDescent="0.2">
      <c r="A21" s="505">
        <v>5</v>
      </c>
      <c r="B21" s="496" t="s">
        <v>1046</v>
      </c>
      <c r="C21" s="496">
        <v>6000</v>
      </c>
      <c r="D21" s="496"/>
      <c r="E21" s="496">
        <f t="shared" si="13"/>
        <v>6000</v>
      </c>
      <c r="F21" s="506"/>
      <c r="G21" s="507">
        <f t="shared" si="15"/>
        <v>100</v>
      </c>
      <c r="H21" s="496">
        <v>6000</v>
      </c>
      <c r="I21" s="496">
        <v>6000</v>
      </c>
      <c r="J21" s="496">
        <f t="shared" si="14"/>
        <v>0</v>
      </c>
      <c r="K21" s="496"/>
      <c r="L21" s="511"/>
      <c r="M21" s="511"/>
      <c r="N21" s="508"/>
      <c r="O21" s="508"/>
      <c r="P21" s="596"/>
      <c r="Q21" s="609"/>
      <c r="R21" s="596"/>
      <c r="S21" s="596"/>
      <c r="T21" s="596"/>
      <c r="U21" s="496"/>
      <c r="V21" s="334"/>
      <c r="W21" s="334"/>
      <c r="X21" s="508"/>
      <c r="Y21" s="508"/>
      <c r="Z21" s="508"/>
      <c r="AA21" s="508"/>
      <c r="AB21" s="477"/>
      <c r="AC21" s="477"/>
      <c r="AD21" s="478"/>
      <c r="AE21" s="478"/>
      <c r="AF21" s="478"/>
    </row>
    <row r="22" spans="1:32" s="460" customFormat="1" ht="16.5" customHeight="1" x14ac:dyDescent="0.2">
      <c r="A22" s="505">
        <v>6</v>
      </c>
      <c r="B22" s="334" t="s">
        <v>446</v>
      </c>
      <c r="C22" s="496">
        <f t="shared" si="12"/>
        <v>0</v>
      </c>
      <c r="D22" s="496"/>
      <c r="E22" s="496">
        <f t="shared" si="13"/>
        <v>33589</v>
      </c>
      <c r="F22" s="506"/>
      <c r="G22" s="507"/>
      <c r="H22" s="334"/>
      <c r="I22" s="334"/>
      <c r="J22" s="496">
        <f t="shared" si="14"/>
        <v>0</v>
      </c>
      <c r="K22" s="496">
        <f t="shared" si="14"/>
        <v>33589</v>
      </c>
      <c r="L22" s="512"/>
      <c r="M22" s="512">
        <v>6262</v>
      </c>
      <c r="N22" s="334"/>
      <c r="O22" s="334"/>
      <c r="P22" s="596"/>
      <c r="Q22" s="609">
        <v>16548</v>
      </c>
      <c r="R22" s="596"/>
      <c r="S22" s="596"/>
      <c r="T22" s="334"/>
      <c r="U22" s="334"/>
      <c r="V22" s="334"/>
      <c r="W22" s="334">
        <v>929</v>
      </c>
      <c r="X22" s="334"/>
      <c r="Y22" s="334"/>
      <c r="Z22" s="334"/>
      <c r="AA22" s="334">
        <v>9850</v>
      </c>
      <c r="AB22" s="477"/>
      <c r="AC22" s="514"/>
    </row>
    <row r="23" spans="1:32" ht="16.5" hidden="1" customHeight="1" x14ac:dyDescent="0.2">
      <c r="A23" s="493">
        <v>2</v>
      </c>
      <c r="B23" s="492" t="s">
        <v>448</v>
      </c>
      <c r="C23" s="492">
        <f>SUM(C24:C36)</f>
        <v>481279</v>
      </c>
      <c r="D23" s="492">
        <f>D14</f>
        <v>0</v>
      </c>
      <c r="E23" s="492">
        <f>SUM(E24:E36)-1</f>
        <v>516251.141</v>
      </c>
      <c r="F23" s="494">
        <f t="shared" si="9"/>
        <v>0</v>
      </c>
      <c r="G23" s="495">
        <f>E23/C23*100</f>
        <v>107.26650051217692</v>
      </c>
      <c r="H23" s="492">
        <f>SUM(H24:H36)</f>
        <v>360746</v>
      </c>
      <c r="I23" s="492">
        <f>SUM(I24:I36)</f>
        <v>361878</v>
      </c>
      <c r="J23" s="492">
        <f t="shared" ref="J23:K23" si="16">SUM(J24:J36)</f>
        <v>120533</v>
      </c>
      <c r="K23" s="492">
        <f t="shared" si="16"/>
        <v>154374.141</v>
      </c>
      <c r="L23" s="492">
        <f>SUM(L24:L36)</f>
        <v>9405</v>
      </c>
      <c r="M23" s="492">
        <f t="shared" ref="M23:T23" si="17">SUM(M24:M36)</f>
        <v>11842.141</v>
      </c>
      <c r="N23" s="594">
        <f t="shared" si="17"/>
        <v>9502</v>
      </c>
      <c r="O23" s="594">
        <f t="shared" si="17"/>
        <v>12482</v>
      </c>
      <c r="P23" s="594">
        <f t="shared" si="17"/>
        <v>16417</v>
      </c>
      <c r="Q23" s="594">
        <f t="shared" si="17"/>
        <v>32965</v>
      </c>
      <c r="R23" s="594">
        <f>SUM(R24:R36)</f>
        <v>47681</v>
      </c>
      <c r="S23" s="594">
        <f>SUM(S24:S36)</f>
        <v>53735</v>
      </c>
      <c r="T23" s="594">
        <f t="shared" si="17"/>
        <v>10101</v>
      </c>
      <c r="U23" s="594">
        <f>SUM(U24:U36)</f>
        <v>13134</v>
      </c>
      <c r="V23" s="330">
        <f>V24+V33+V36</f>
        <v>6380</v>
      </c>
      <c r="W23" s="330">
        <f>W24+W33</f>
        <v>7205</v>
      </c>
      <c r="X23" s="330">
        <f>SUM(X24:X36)</f>
        <v>13674</v>
      </c>
      <c r="Y23" s="330">
        <f>SUM(Y24:Y36)</f>
        <v>14851</v>
      </c>
      <c r="Z23" s="330">
        <f>SUM(Z24:Z36)</f>
        <v>7373</v>
      </c>
      <c r="AA23" s="330">
        <f>SUM(AA24:AA36)</f>
        <v>8160</v>
      </c>
      <c r="AB23" s="477"/>
      <c r="AC23" s="477"/>
      <c r="AD23" s="478"/>
      <c r="AE23" s="478"/>
      <c r="AF23" s="478"/>
    </row>
    <row r="24" spans="1:32" ht="16.5" hidden="1" customHeight="1" x14ac:dyDescent="0.2">
      <c r="A24" s="505" t="s">
        <v>288</v>
      </c>
      <c r="B24" s="496" t="s">
        <v>28</v>
      </c>
      <c r="C24" s="496">
        <f>H24+J24</f>
        <v>72447</v>
      </c>
      <c r="D24" s="492"/>
      <c r="E24" s="496">
        <f>I24+K24</f>
        <v>87057.842000000004</v>
      </c>
      <c r="F24" s="494">
        <f t="shared" si="9"/>
        <v>0</v>
      </c>
      <c r="G24" s="507">
        <f>E24/C24*100</f>
        <v>120.16762874929259</v>
      </c>
      <c r="H24" s="496">
        <v>44050</v>
      </c>
      <c r="I24" s="496">
        <f>H24</f>
        <v>44050</v>
      </c>
      <c r="J24" s="496">
        <f>L24+N24+P24+R24+T24+V24+X24+Z24</f>
        <v>28397</v>
      </c>
      <c r="K24" s="496">
        <f>M24+O24+Q24+S24+U24+W24+Y24+AA24</f>
        <v>43007.842000000004</v>
      </c>
      <c r="L24" s="511">
        <v>1000</v>
      </c>
      <c r="M24" s="511">
        <v>2299.8420000000001</v>
      </c>
      <c r="N24" s="596">
        <v>400</v>
      </c>
      <c r="O24" s="596">
        <v>400</v>
      </c>
      <c r="P24" s="596">
        <v>5268</v>
      </c>
      <c r="Q24" s="609">
        <v>8098</v>
      </c>
      <c r="R24" s="596">
        <v>7693</v>
      </c>
      <c r="S24" s="596">
        <v>12904</v>
      </c>
      <c r="T24" s="596">
        <v>6192</v>
      </c>
      <c r="U24" s="596">
        <v>7747</v>
      </c>
      <c r="V24" s="334">
        <v>5030</v>
      </c>
      <c r="W24" s="334">
        <v>5030</v>
      </c>
      <c r="X24" s="508">
        <v>1400</v>
      </c>
      <c r="Y24" s="508">
        <v>4777</v>
      </c>
      <c r="Z24" s="508">
        <v>1414</v>
      </c>
      <c r="AA24" s="508">
        <v>1752</v>
      </c>
      <c r="AB24" s="477"/>
      <c r="AC24" s="477"/>
      <c r="AD24" s="478"/>
      <c r="AE24" s="478"/>
      <c r="AF24" s="478"/>
    </row>
    <row r="25" spans="1:32" ht="16.5" hidden="1" customHeight="1" x14ac:dyDescent="0.2">
      <c r="A25" s="505" t="s">
        <v>288</v>
      </c>
      <c r="B25" s="496" t="s">
        <v>29</v>
      </c>
      <c r="C25" s="496">
        <f t="shared" ref="C25:C36" si="18">H25+J25</f>
        <v>7000</v>
      </c>
      <c r="D25" s="492"/>
      <c r="E25" s="496">
        <f t="shared" ref="E25:E36" si="19">I25+K25</f>
        <v>8132</v>
      </c>
      <c r="F25" s="494">
        <f t="shared" si="9"/>
        <v>0</v>
      </c>
      <c r="G25" s="507"/>
      <c r="H25" s="496">
        <v>7000</v>
      </c>
      <c r="I25" s="496">
        <f>'Biểu 25'!E7</f>
        <v>8132</v>
      </c>
      <c r="J25" s="496">
        <f t="shared" ref="J25:J36" si="20">L25+N25+P25+R25+T25+V25+X25+Z25</f>
        <v>0</v>
      </c>
      <c r="K25" s="496">
        <f t="shared" ref="K25:K36" si="21">M25+O25+Q25+S25+U25+W25+Y25+AA25</f>
        <v>0</v>
      </c>
      <c r="L25" s="511"/>
      <c r="M25" s="511"/>
      <c r="N25" s="596"/>
      <c r="O25" s="596"/>
      <c r="P25" s="596"/>
      <c r="Q25" s="609"/>
      <c r="R25" s="596"/>
      <c r="S25" s="596"/>
      <c r="T25" s="596"/>
      <c r="U25" s="596"/>
      <c r="V25" s="334"/>
      <c r="W25" s="334"/>
      <c r="X25" s="334"/>
      <c r="Y25" s="334"/>
      <c r="Z25" s="334"/>
      <c r="AA25" s="334"/>
      <c r="AB25" s="477"/>
      <c r="AC25" s="477"/>
      <c r="AD25" s="478"/>
      <c r="AE25" s="478"/>
      <c r="AF25" s="478"/>
    </row>
    <row r="26" spans="1:32" ht="16.5" hidden="1" customHeight="1" x14ac:dyDescent="0.2">
      <c r="A26" s="505" t="s">
        <v>288</v>
      </c>
      <c r="B26" s="496" t="s">
        <v>75</v>
      </c>
      <c r="C26" s="496">
        <f t="shared" si="18"/>
        <v>13639</v>
      </c>
      <c r="D26" s="492"/>
      <c r="E26" s="496">
        <f t="shared" si="19"/>
        <v>13533</v>
      </c>
      <c r="F26" s="494">
        <f t="shared" si="9"/>
        <v>0</v>
      </c>
      <c r="G26" s="507">
        <f>E26/C26*100</f>
        <v>99.222816922061725</v>
      </c>
      <c r="H26" s="496">
        <v>6816</v>
      </c>
      <c r="I26" s="496">
        <f>H26</f>
        <v>6816</v>
      </c>
      <c r="J26" s="496">
        <f t="shared" si="20"/>
        <v>6823</v>
      </c>
      <c r="K26" s="496">
        <f t="shared" si="21"/>
        <v>6717</v>
      </c>
      <c r="L26" s="511"/>
      <c r="M26" s="511">
        <v>200</v>
      </c>
      <c r="N26" s="596">
        <v>382</v>
      </c>
      <c r="O26" s="596">
        <v>382</v>
      </c>
      <c r="P26" s="596"/>
      <c r="Q26" s="609"/>
      <c r="R26" s="596">
        <v>4999</v>
      </c>
      <c r="S26" s="596">
        <v>4693</v>
      </c>
      <c r="T26" s="596"/>
      <c r="U26" s="596"/>
      <c r="V26" s="334"/>
      <c r="W26" s="334"/>
      <c r="X26" s="508">
        <v>1364</v>
      </c>
      <c r="Y26" s="508">
        <v>1364</v>
      </c>
      <c r="Z26" s="508">
        <v>78</v>
      </c>
      <c r="AA26" s="508">
        <v>78</v>
      </c>
      <c r="AB26" s="477"/>
      <c r="AC26" s="477"/>
      <c r="AD26" s="478"/>
      <c r="AE26" s="478"/>
      <c r="AF26" s="478"/>
    </row>
    <row r="27" spans="1:32" ht="16.5" hidden="1" customHeight="1" x14ac:dyDescent="0.2">
      <c r="A27" s="505" t="s">
        <v>288</v>
      </c>
      <c r="B27" s="496" t="s">
        <v>450</v>
      </c>
      <c r="C27" s="496">
        <f t="shared" si="18"/>
        <v>320</v>
      </c>
      <c r="D27" s="492"/>
      <c r="E27" s="496">
        <f t="shared" si="19"/>
        <v>500</v>
      </c>
      <c r="F27" s="494"/>
      <c r="G27" s="507"/>
      <c r="H27" s="496">
        <f>'Biểu 23'!C15</f>
        <v>0</v>
      </c>
      <c r="I27" s="496">
        <f t="shared" ref="I27:I36" si="22">H27</f>
        <v>0</v>
      </c>
      <c r="J27" s="496">
        <f t="shared" si="20"/>
        <v>320</v>
      </c>
      <c r="K27" s="496">
        <f t="shared" si="21"/>
        <v>500</v>
      </c>
      <c r="L27" s="511"/>
      <c r="M27" s="511"/>
      <c r="N27" s="596"/>
      <c r="O27" s="596"/>
      <c r="P27" s="596"/>
      <c r="Q27" s="609"/>
      <c r="R27" s="596">
        <v>320</v>
      </c>
      <c r="S27" s="596">
        <v>500</v>
      </c>
      <c r="T27" s="596"/>
      <c r="U27" s="596"/>
      <c r="V27" s="334"/>
      <c r="W27" s="334"/>
      <c r="X27" s="334"/>
      <c r="Y27" s="334"/>
      <c r="Z27" s="334"/>
      <c r="AA27" s="334"/>
      <c r="AB27" s="477"/>
      <c r="AC27" s="477"/>
      <c r="AD27" s="478"/>
      <c r="AE27" s="478"/>
      <c r="AF27" s="478"/>
    </row>
    <row r="28" spans="1:32" ht="16.5" hidden="1" customHeight="1" x14ac:dyDescent="0.2">
      <c r="A28" s="505" t="s">
        <v>288</v>
      </c>
      <c r="B28" s="496" t="s">
        <v>77</v>
      </c>
      <c r="C28" s="496">
        <f t="shared" si="18"/>
        <v>15821</v>
      </c>
      <c r="D28" s="492"/>
      <c r="E28" s="496">
        <f t="shared" si="19"/>
        <v>17142</v>
      </c>
      <c r="F28" s="494">
        <f t="shared" si="9"/>
        <v>0</v>
      </c>
      <c r="G28" s="507">
        <f t="shared" ref="G28:G34" si="23">E28/C28*100</f>
        <v>108.34966184185578</v>
      </c>
      <c r="H28" s="496">
        <v>14141</v>
      </c>
      <c r="I28" s="496">
        <f t="shared" si="22"/>
        <v>14141</v>
      </c>
      <c r="J28" s="496">
        <f t="shared" si="20"/>
        <v>1680</v>
      </c>
      <c r="K28" s="496">
        <f t="shared" si="21"/>
        <v>3001</v>
      </c>
      <c r="L28" s="511"/>
      <c r="M28" s="511"/>
      <c r="N28" s="596"/>
      <c r="O28" s="596"/>
      <c r="P28" s="596">
        <v>500</v>
      </c>
      <c r="Q28" s="609">
        <v>500</v>
      </c>
      <c r="R28" s="596">
        <v>1180</v>
      </c>
      <c r="S28" s="596">
        <v>2068</v>
      </c>
      <c r="T28" s="596"/>
      <c r="U28" s="596">
        <v>433</v>
      </c>
      <c r="V28" s="334"/>
      <c r="W28" s="334"/>
      <c r="X28" s="334"/>
      <c r="Y28" s="334"/>
      <c r="Z28" s="334"/>
      <c r="AA28" s="334"/>
      <c r="AB28" s="477"/>
      <c r="AC28" s="477"/>
      <c r="AD28" s="478"/>
      <c r="AE28" s="478"/>
      <c r="AF28" s="478"/>
    </row>
    <row r="29" spans="1:32" ht="16.5" hidden="1" customHeight="1" x14ac:dyDescent="0.2">
      <c r="A29" s="505" t="s">
        <v>288</v>
      </c>
      <c r="B29" s="496" t="s">
        <v>78</v>
      </c>
      <c r="C29" s="496">
        <f t="shared" si="18"/>
        <v>2900</v>
      </c>
      <c r="D29" s="496"/>
      <c r="E29" s="496">
        <f t="shared" si="19"/>
        <v>2900</v>
      </c>
      <c r="F29" s="494">
        <f t="shared" si="9"/>
        <v>0</v>
      </c>
      <c r="G29" s="507">
        <f t="shared" si="23"/>
        <v>100</v>
      </c>
      <c r="H29" s="496">
        <f>'Biểu 23'!C17</f>
        <v>2700</v>
      </c>
      <c r="I29" s="496">
        <f t="shared" si="22"/>
        <v>2700</v>
      </c>
      <c r="J29" s="496">
        <f t="shared" si="20"/>
        <v>200</v>
      </c>
      <c r="K29" s="496">
        <f t="shared" si="21"/>
        <v>200</v>
      </c>
      <c r="L29" s="511"/>
      <c r="M29" s="511"/>
      <c r="N29" s="596"/>
      <c r="O29" s="596"/>
      <c r="P29" s="596"/>
      <c r="Q29" s="609"/>
      <c r="R29" s="596"/>
      <c r="S29" s="596"/>
      <c r="T29" s="596"/>
      <c r="U29" s="596"/>
      <c r="V29" s="334"/>
      <c r="W29" s="334"/>
      <c r="X29" s="508">
        <v>200</v>
      </c>
      <c r="Y29" s="508">
        <v>200</v>
      </c>
      <c r="Z29" s="508"/>
      <c r="AA29" s="508"/>
      <c r="AB29" s="477"/>
      <c r="AC29" s="477"/>
      <c r="AD29" s="478"/>
      <c r="AE29" s="478"/>
      <c r="AF29" s="478"/>
    </row>
    <row r="30" spans="1:32" ht="16.5" hidden="1" customHeight="1" x14ac:dyDescent="0.2">
      <c r="A30" s="505" t="s">
        <v>288</v>
      </c>
      <c r="B30" s="496" t="s">
        <v>454</v>
      </c>
      <c r="C30" s="496">
        <f t="shared" si="18"/>
        <v>1174</v>
      </c>
      <c r="D30" s="496"/>
      <c r="E30" s="496">
        <f t="shared" si="19"/>
        <v>1174</v>
      </c>
      <c r="F30" s="494">
        <f t="shared" si="9"/>
        <v>0</v>
      </c>
      <c r="G30" s="507">
        <f t="shared" si="23"/>
        <v>100</v>
      </c>
      <c r="H30" s="496">
        <f>'Biểu 23'!C18</f>
        <v>174</v>
      </c>
      <c r="I30" s="496">
        <f t="shared" si="22"/>
        <v>174</v>
      </c>
      <c r="J30" s="496">
        <f t="shared" si="20"/>
        <v>1000</v>
      </c>
      <c r="K30" s="496">
        <f t="shared" si="21"/>
        <v>1000</v>
      </c>
      <c r="L30" s="511"/>
      <c r="M30" s="511"/>
      <c r="N30" s="596"/>
      <c r="O30" s="596"/>
      <c r="P30" s="596">
        <v>1000</v>
      </c>
      <c r="Q30" s="609">
        <v>1000</v>
      </c>
      <c r="R30" s="596"/>
      <c r="S30" s="596"/>
      <c r="T30" s="596"/>
      <c r="U30" s="596"/>
      <c r="V30" s="334"/>
      <c r="W30" s="334"/>
      <c r="X30" s="334"/>
      <c r="Y30" s="334"/>
      <c r="Z30" s="334"/>
      <c r="AA30" s="334"/>
      <c r="AB30" s="477"/>
      <c r="AC30" s="477"/>
      <c r="AD30" s="478"/>
      <c r="AE30" s="478"/>
      <c r="AF30" s="478"/>
    </row>
    <row r="31" spans="1:32" ht="16.5" hidden="1" customHeight="1" x14ac:dyDescent="0.2">
      <c r="A31" s="505" t="s">
        <v>288</v>
      </c>
      <c r="B31" s="496" t="s">
        <v>456</v>
      </c>
      <c r="C31" s="496">
        <f t="shared" si="18"/>
        <v>1216</v>
      </c>
      <c r="D31" s="496"/>
      <c r="E31" s="496">
        <f t="shared" si="19"/>
        <v>1716</v>
      </c>
      <c r="F31" s="494">
        <f t="shared" si="9"/>
        <v>0</v>
      </c>
      <c r="G31" s="507">
        <f t="shared" si="23"/>
        <v>141.11842105263156</v>
      </c>
      <c r="H31" s="496">
        <f>'Biểu 23'!C19</f>
        <v>0</v>
      </c>
      <c r="I31" s="496">
        <f t="shared" si="22"/>
        <v>0</v>
      </c>
      <c r="J31" s="496">
        <f t="shared" si="20"/>
        <v>1216</v>
      </c>
      <c r="K31" s="496">
        <f t="shared" si="21"/>
        <v>1716</v>
      </c>
      <c r="L31" s="511"/>
      <c r="M31" s="511"/>
      <c r="N31" s="596"/>
      <c r="O31" s="596"/>
      <c r="P31" s="596">
        <v>1216</v>
      </c>
      <c r="Q31" s="609">
        <v>1716</v>
      </c>
      <c r="R31" s="596"/>
      <c r="S31" s="596"/>
      <c r="T31" s="596"/>
      <c r="U31" s="596"/>
      <c r="V31" s="334"/>
      <c r="W31" s="334"/>
      <c r="X31" s="334"/>
      <c r="Y31" s="334"/>
      <c r="Z31" s="334"/>
      <c r="AA31" s="334"/>
      <c r="AB31" s="477"/>
      <c r="AC31" s="477"/>
      <c r="AD31" s="478"/>
      <c r="AE31" s="478"/>
      <c r="AF31" s="478"/>
    </row>
    <row r="32" spans="1:32" ht="16.5" hidden="1" customHeight="1" x14ac:dyDescent="0.2">
      <c r="A32" s="505" t="s">
        <v>288</v>
      </c>
      <c r="B32" s="496" t="s">
        <v>81</v>
      </c>
      <c r="C32" s="496">
        <f t="shared" si="18"/>
        <v>9662</v>
      </c>
      <c r="D32" s="496"/>
      <c r="E32" s="496">
        <f t="shared" si="19"/>
        <v>9485</v>
      </c>
      <c r="F32" s="494">
        <f t="shared" si="9"/>
        <v>0</v>
      </c>
      <c r="G32" s="507">
        <f t="shared" si="23"/>
        <v>98.168081142620579</v>
      </c>
      <c r="H32" s="496">
        <v>6622</v>
      </c>
      <c r="I32" s="496">
        <f t="shared" si="22"/>
        <v>6622</v>
      </c>
      <c r="J32" s="496">
        <f t="shared" si="20"/>
        <v>3040</v>
      </c>
      <c r="K32" s="496">
        <f t="shared" si="21"/>
        <v>2863</v>
      </c>
      <c r="L32" s="511"/>
      <c r="M32" s="511"/>
      <c r="N32" s="596">
        <v>700</v>
      </c>
      <c r="O32" s="596">
        <v>700</v>
      </c>
      <c r="P32" s="596">
        <v>150</v>
      </c>
      <c r="Q32" s="609">
        <v>150</v>
      </c>
      <c r="R32" s="596">
        <v>1600</v>
      </c>
      <c r="S32" s="596">
        <v>1423</v>
      </c>
      <c r="T32" s="596"/>
      <c r="U32" s="596"/>
      <c r="V32" s="334"/>
      <c r="W32" s="334"/>
      <c r="X32" s="334"/>
      <c r="Y32" s="334"/>
      <c r="Z32" s="508">
        <v>590</v>
      </c>
      <c r="AA32" s="508">
        <v>590</v>
      </c>
      <c r="AB32" s="477"/>
      <c r="AC32" s="477"/>
      <c r="AD32" s="478"/>
      <c r="AE32" s="478"/>
      <c r="AF32" s="478"/>
    </row>
    <row r="33" spans="1:32" ht="16.5" hidden="1" customHeight="1" x14ac:dyDescent="0.2">
      <c r="A33" s="505" t="s">
        <v>288</v>
      </c>
      <c r="B33" s="496" t="s">
        <v>459</v>
      </c>
      <c r="C33" s="496">
        <f t="shared" si="18"/>
        <v>278791</v>
      </c>
      <c r="D33" s="496"/>
      <c r="E33" s="496">
        <f t="shared" si="19"/>
        <v>287682</v>
      </c>
      <c r="F33" s="494">
        <f t="shared" si="9"/>
        <v>0</v>
      </c>
      <c r="G33" s="507">
        <f t="shared" si="23"/>
        <v>103.18912733911783</v>
      </c>
      <c r="H33" s="496">
        <v>233167</v>
      </c>
      <c r="I33" s="496">
        <f t="shared" si="22"/>
        <v>233167</v>
      </c>
      <c r="J33" s="496">
        <f t="shared" si="20"/>
        <v>45624</v>
      </c>
      <c r="K33" s="496">
        <f t="shared" si="21"/>
        <v>54515</v>
      </c>
      <c r="L33" s="511">
        <v>6555</v>
      </c>
      <c r="M33" s="511">
        <f>7177</f>
        <v>7177</v>
      </c>
      <c r="N33" s="596"/>
      <c r="O33" s="596">
        <f>N33</f>
        <v>0</v>
      </c>
      <c r="P33" s="596">
        <v>1470</v>
      </c>
      <c r="Q33" s="609">
        <v>9945</v>
      </c>
      <c r="R33" s="596">
        <v>27559</v>
      </c>
      <c r="S33" s="596">
        <v>26973</v>
      </c>
      <c r="T33" s="596">
        <v>2651</v>
      </c>
      <c r="U33" s="596">
        <v>3651</v>
      </c>
      <c r="V33" s="334">
        <f>V17</f>
        <v>0</v>
      </c>
      <c r="W33" s="334">
        <f>W17</f>
        <v>2175</v>
      </c>
      <c r="X33" s="508">
        <v>3780</v>
      </c>
      <c r="Y33" s="508">
        <v>880</v>
      </c>
      <c r="Z33" s="508">
        <v>3609</v>
      </c>
      <c r="AA33" s="508">
        <v>3714</v>
      </c>
      <c r="AB33" s="477"/>
      <c r="AC33" s="477"/>
      <c r="AD33" s="478"/>
      <c r="AE33" s="478"/>
      <c r="AF33" s="478"/>
    </row>
    <row r="34" spans="1:32" ht="16.5" hidden="1" customHeight="1" x14ac:dyDescent="0.2">
      <c r="A34" s="505" t="s">
        <v>288</v>
      </c>
      <c r="B34" s="496" t="s">
        <v>461</v>
      </c>
      <c r="C34" s="496">
        <f t="shared" si="18"/>
        <v>62886</v>
      </c>
      <c r="D34" s="496"/>
      <c r="E34" s="496">
        <f t="shared" si="19"/>
        <v>69871.298999999999</v>
      </c>
      <c r="F34" s="494">
        <f t="shared" si="9"/>
        <v>0</v>
      </c>
      <c r="G34" s="507">
        <f t="shared" si="23"/>
        <v>111.10787615685527</v>
      </c>
      <c r="H34" s="496">
        <v>36576</v>
      </c>
      <c r="I34" s="496">
        <f t="shared" si="22"/>
        <v>36576</v>
      </c>
      <c r="J34" s="496">
        <f t="shared" si="20"/>
        <v>26310</v>
      </c>
      <c r="K34" s="496">
        <f t="shared" si="21"/>
        <v>33295.298999999999</v>
      </c>
      <c r="L34" s="511">
        <v>1380</v>
      </c>
      <c r="M34" s="511">
        <v>1695.299</v>
      </c>
      <c r="N34" s="596">
        <v>6147</v>
      </c>
      <c r="O34" s="596">
        <v>9127</v>
      </c>
      <c r="P34" s="596">
        <v>6813</v>
      </c>
      <c r="Q34" s="609">
        <v>8695</v>
      </c>
      <c r="R34" s="596">
        <v>3000</v>
      </c>
      <c r="S34" s="596">
        <v>3844</v>
      </c>
      <c r="T34" s="596">
        <v>1258</v>
      </c>
      <c r="U34" s="596">
        <v>1303</v>
      </c>
      <c r="V34" s="334"/>
      <c r="W34" s="334"/>
      <c r="X34" s="508">
        <v>6930</v>
      </c>
      <c r="Y34" s="508">
        <v>7630</v>
      </c>
      <c r="Z34" s="508">
        <v>782</v>
      </c>
      <c r="AA34" s="508">
        <v>1001</v>
      </c>
      <c r="AB34" s="477"/>
      <c r="AC34" s="477"/>
      <c r="AD34" s="478"/>
      <c r="AE34" s="478"/>
      <c r="AF34" s="478"/>
    </row>
    <row r="35" spans="1:32" ht="16.5" hidden="1" customHeight="1" x14ac:dyDescent="0.2">
      <c r="A35" s="505" t="s">
        <v>288</v>
      </c>
      <c r="B35" s="496" t="s">
        <v>84</v>
      </c>
      <c r="C35" s="496">
        <f t="shared" si="18"/>
        <v>4250</v>
      </c>
      <c r="D35" s="496"/>
      <c r="E35" s="496">
        <f t="shared" si="19"/>
        <v>7111</v>
      </c>
      <c r="F35" s="494">
        <f t="shared" si="9"/>
        <v>0</v>
      </c>
      <c r="G35" s="507"/>
      <c r="H35" s="496">
        <v>4000</v>
      </c>
      <c r="I35" s="496">
        <f t="shared" si="22"/>
        <v>4000</v>
      </c>
      <c r="J35" s="496">
        <f t="shared" si="20"/>
        <v>250</v>
      </c>
      <c r="K35" s="496">
        <f t="shared" si="21"/>
        <v>3111</v>
      </c>
      <c r="L35" s="511"/>
      <c r="M35" s="511"/>
      <c r="N35" s="596"/>
      <c r="O35" s="596"/>
      <c r="P35" s="596"/>
      <c r="Q35" s="609">
        <v>2861</v>
      </c>
      <c r="R35" s="596">
        <v>250</v>
      </c>
      <c r="S35" s="596">
        <v>250</v>
      </c>
      <c r="T35" s="596"/>
      <c r="U35" s="596"/>
      <c r="V35" s="334"/>
      <c r="W35" s="334"/>
      <c r="X35" s="334"/>
      <c r="Y35" s="334"/>
      <c r="Z35" s="334"/>
      <c r="AA35" s="334"/>
      <c r="AB35" s="477"/>
      <c r="AC35" s="477"/>
      <c r="AD35" s="478"/>
      <c r="AE35" s="478"/>
      <c r="AF35" s="478"/>
    </row>
    <row r="36" spans="1:32" ht="16.5" hidden="1" customHeight="1" x14ac:dyDescent="0.2">
      <c r="A36" s="505" t="s">
        <v>288</v>
      </c>
      <c r="B36" s="496" t="s">
        <v>464</v>
      </c>
      <c r="C36" s="496">
        <f t="shared" si="18"/>
        <v>11173</v>
      </c>
      <c r="D36" s="496"/>
      <c r="E36" s="496">
        <f t="shared" si="19"/>
        <v>9948</v>
      </c>
      <c r="F36" s="494">
        <f t="shared" si="9"/>
        <v>0</v>
      </c>
      <c r="G36" s="507">
        <f t="shared" ref="G36:G124" si="24">E36/C36*100</f>
        <v>89.036069095140064</v>
      </c>
      <c r="H36" s="496">
        <v>5500</v>
      </c>
      <c r="I36" s="496">
        <f t="shared" si="22"/>
        <v>5500</v>
      </c>
      <c r="J36" s="496">
        <f t="shared" si="20"/>
        <v>5673</v>
      </c>
      <c r="K36" s="496">
        <f t="shared" si="21"/>
        <v>4448</v>
      </c>
      <c r="L36" s="511">
        <v>470</v>
      </c>
      <c r="M36" s="511">
        <v>470</v>
      </c>
      <c r="N36" s="596">
        <v>1873</v>
      </c>
      <c r="O36" s="596">
        <v>1873</v>
      </c>
      <c r="P36" s="334"/>
      <c r="Q36" s="597"/>
      <c r="R36" s="596">
        <v>1080</v>
      </c>
      <c r="S36" s="596">
        <v>1080</v>
      </c>
      <c r="T36" s="496"/>
      <c r="U36" s="496"/>
      <c r="V36" s="334">
        <v>1350</v>
      </c>
      <c r="W36" s="334"/>
      <c r="X36" s="334"/>
      <c r="Y36" s="334"/>
      <c r="Z36" s="508">
        <v>900</v>
      </c>
      <c r="AA36" s="508">
        <v>1025</v>
      </c>
      <c r="AB36" s="477"/>
      <c r="AC36" s="477"/>
      <c r="AD36" s="478"/>
      <c r="AE36" s="478"/>
      <c r="AF36" s="478"/>
    </row>
    <row r="37" spans="1:32" ht="16.5" customHeight="1" x14ac:dyDescent="0.2">
      <c r="A37" s="493" t="s">
        <v>11</v>
      </c>
      <c r="B37" s="492" t="s">
        <v>19</v>
      </c>
      <c r="C37" s="492">
        <f>SUM(C38:C51)</f>
        <v>2906780</v>
      </c>
      <c r="D37" s="492">
        <f>SUM(D38:D50)</f>
        <v>0</v>
      </c>
      <c r="E37" s="492">
        <f>SUM(E38:E50)</f>
        <v>2967088</v>
      </c>
      <c r="F37" s="494">
        <f t="shared" si="9"/>
        <v>0</v>
      </c>
      <c r="G37" s="495">
        <f t="shared" si="24"/>
        <v>102.07473561810663</v>
      </c>
      <c r="H37" s="492"/>
      <c r="I37" s="492">
        <f>SUM(I38:I50)</f>
        <v>1010722</v>
      </c>
      <c r="J37" s="492">
        <f t="shared" ref="J37:K37" si="25">SUM(J38:J50)</f>
        <v>0</v>
      </c>
      <c r="K37" s="492">
        <f t="shared" si="25"/>
        <v>1956366</v>
      </c>
      <c r="L37" s="492">
        <f>SUM(L38:L50)</f>
        <v>0</v>
      </c>
      <c r="M37" s="492">
        <f>SUM(M38:M50)</f>
        <v>323255</v>
      </c>
      <c r="N37" s="492">
        <f>SUM(N38:N50)</f>
        <v>0</v>
      </c>
      <c r="O37" s="492">
        <f>SUM(O38:O50)</f>
        <v>191419</v>
      </c>
      <c r="P37" s="492"/>
      <c r="Q37" s="594">
        <f>SUM(Q38:Q50)</f>
        <v>305520</v>
      </c>
      <c r="R37" s="492"/>
      <c r="S37" s="594">
        <f>SUM(S38:S50)</f>
        <v>181608</v>
      </c>
      <c r="T37" s="492"/>
      <c r="U37" s="492">
        <f>SUM(U38:U50)</f>
        <v>232981</v>
      </c>
      <c r="V37" s="330"/>
      <c r="W37" s="330">
        <f>SUM(W38:W50)</f>
        <v>260063</v>
      </c>
      <c r="X37" s="330"/>
      <c r="Y37" s="330">
        <f>SUM(Y38:Y50)</f>
        <v>330551</v>
      </c>
      <c r="Z37" s="330">
        <f>SUM(Z38:Z50)</f>
        <v>0</v>
      </c>
      <c r="AA37" s="330">
        <f>SUM(AA38:AA50)</f>
        <v>239351</v>
      </c>
      <c r="AB37" s="477"/>
      <c r="AC37" s="477"/>
      <c r="AD37" s="478"/>
      <c r="AE37" s="478"/>
      <c r="AF37" s="478"/>
    </row>
    <row r="38" spans="1:32" ht="16.5" customHeight="1" x14ac:dyDescent="0.2">
      <c r="A38" s="505">
        <v>1</v>
      </c>
      <c r="B38" s="496" t="s">
        <v>28</v>
      </c>
      <c r="C38" s="496">
        <v>1175538</v>
      </c>
      <c r="D38" s="496"/>
      <c r="E38" s="496">
        <f>I38+K38</f>
        <v>1195432</v>
      </c>
      <c r="F38" s="506">
        <f t="shared" si="9"/>
        <v>0</v>
      </c>
      <c r="G38" s="507">
        <f t="shared" si="24"/>
        <v>101.69233151118893</v>
      </c>
      <c r="H38" s="496"/>
      <c r="I38" s="496">
        <f>'Biểu 26'!H7-25261-1500</f>
        <v>211830</v>
      </c>
      <c r="J38" s="496">
        <f>L38+N38+P38+R38+T38+V38+X38+Z38</f>
        <v>0</v>
      </c>
      <c r="K38" s="496">
        <f>M38+O38+Q38+S38+U38+W38+Y38+AA38-K82-K83-K86</f>
        <v>983602</v>
      </c>
      <c r="L38" s="496"/>
      <c r="M38" s="496">
        <v>163602</v>
      </c>
      <c r="N38" s="496"/>
      <c r="O38" s="596">
        <v>90578</v>
      </c>
      <c r="P38" s="496"/>
      <c r="Q38" s="609">
        <v>149425</v>
      </c>
      <c r="R38" s="496"/>
      <c r="S38" s="596">
        <v>75222</v>
      </c>
      <c r="T38" s="496"/>
      <c r="U38" s="496">
        <v>108889</v>
      </c>
      <c r="V38" s="334"/>
      <c r="W38" s="334">
        <v>133105</v>
      </c>
      <c r="X38" s="334"/>
      <c r="Y38" s="508">
        <v>176381</v>
      </c>
      <c r="Z38" s="508"/>
      <c r="AA38" s="508">
        <v>125500</v>
      </c>
      <c r="AC38" s="477"/>
      <c r="AD38" s="478"/>
      <c r="AE38" s="478"/>
      <c r="AF38" s="478"/>
    </row>
    <row r="39" spans="1:32" ht="16.5" customHeight="1" x14ac:dyDescent="0.2">
      <c r="A39" s="505">
        <v>2</v>
      </c>
      <c r="B39" s="496" t="s">
        <v>29</v>
      </c>
      <c r="C39" s="496">
        <v>11627</v>
      </c>
      <c r="D39" s="496"/>
      <c r="E39" s="496">
        <f t="shared" ref="E39:E49" si="26">I39+K39</f>
        <v>11407</v>
      </c>
      <c r="F39" s="506">
        <f t="shared" si="9"/>
        <v>0</v>
      </c>
      <c r="G39" s="507">
        <f t="shared" si="24"/>
        <v>98.107852412488171</v>
      </c>
      <c r="H39" s="496"/>
      <c r="I39" s="496">
        <f>'Biểu 26'!I7-250</f>
        <v>11407</v>
      </c>
      <c r="J39" s="496">
        <f t="shared" ref="J39:J54" si="27">L39+N39+P39+R39+T39+V39+X39+Z39</f>
        <v>0</v>
      </c>
      <c r="K39" s="496">
        <f t="shared" ref="K39:K46" si="28">M39+O39+Q39+S39+U39+W39+Y39+AA39</f>
        <v>0</v>
      </c>
      <c r="L39" s="496"/>
      <c r="M39" s="496"/>
      <c r="N39" s="496"/>
      <c r="O39" s="596"/>
      <c r="P39" s="496"/>
      <c r="Q39" s="609"/>
      <c r="R39" s="496"/>
      <c r="S39" s="596"/>
      <c r="T39" s="496"/>
      <c r="U39" s="496"/>
      <c r="V39" s="334"/>
      <c r="W39" s="334"/>
      <c r="X39" s="334"/>
      <c r="Y39" s="508"/>
      <c r="Z39" s="334"/>
      <c r="AA39" s="508"/>
      <c r="AC39" s="477"/>
      <c r="AD39" s="478"/>
      <c r="AE39" s="478"/>
      <c r="AF39" s="478"/>
    </row>
    <row r="40" spans="1:32" ht="16.5" customHeight="1" x14ac:dyDescent="0.2">
      <c r="A40" s="505">
        <v>3</v>
      </c>
      <c r="B40" s="496" t="s">
        <v>75</v>
      </c>
      <c r="C40" s="496">
        <v>59126</v>
      </c>
      <c r="D40" s="496"/>
      <c r="E40" s="496">
        <f>I40+K40</f>
        <v>68985</v>
      </c>
      <c r="F40" s="506">
        <f t="shared" si="9"/>
        <v>0</v>
      </c>
      <c r="G40" s="507">
        <f t="shared" si="24"/>
        <v>116.67455941548556</v>
      </c>
      <c r="H40" s="496"/>
      <c r="I40" s="496">
        <f>'Biểu 26'!J7-1695</f>
        <v>21021</v>
      </c>
      <c r="J40" s="496">
        <f t="shared" si="27"/>
        <v>0</v>
      </c>
      <c r="K40" s="496">
        <f t="shared" si="28"/>
        <v>47964</v>
      </c>
      <c r="L40" s="496"/>
      <c r="M40" s="496">
        <v>6976</v>
      </c>
      <c r="N40" s="496"/>
      <c r="O40" s="596">
        <v>2858</v>
      </c>
      <c r="P40" s="496"/>
      <c r="Q40" s="609">
        <v>10592</v>
      </c>
      <c r="R40" s="496"/>
      <c r="S40" s="610">
        <v>3952</v>
      </c>
      <c r="T40" s="496"/>
      <c r="U40" s="496">
        <v>7474</v>
      </c>
      <c r="V40" s="334"/>
      <c r="W40" s="334">
        <v>4864</v>
      </c>
      <c r="X40" s="334"/>
      <c r="Y40" s="508">
        <v>6398</v>
      </c>
      <c r="Z40" s="508"/>
      <c r="AA40" s="508">
        <v>4850</v>
      </c>
      <c r="AC40" s="477"/>
      <c r="AD40" s="478"/>
      <c r="AE40" s="478"/>
      <c r="AF40" s="478"/>
    </row>
    <row r="41" spans="1:32" ht="16.5" customHeight="1" x14ac:dyDescent="0.2">
      <c r="A41" s="505">
        <v>4</v>
      </c>
      <c r="B41" s="496" t="s">
        <v>450</v>
      </c>
      <c r="C41" s="496">
        <v>15868</v>
      </c>
      <c r="D41" s="496"/>
      <c r="E41" s="496">
        <f t="shared" si="26"/>
        <v>26657</v>
      </c>
      <c r="F41" s="506">
        <f t="shared" si="9"/>
        <v>0</v>
      </c>
      <c r="G41" s="507">
        <f t="shared" si="24"/>
        <v>167.99218553062767</v>
      </c>
      <c r="H41" s="496"/>
      <c r="I41" s="496">
        <f>'Biểu 26'!K7-5387-80</f>
        <v>9766</v>
      </c>
      <c r="J41" s="496">
        <f t="shared" si="27"/>
        <v>0</v>
      </c>
      <c r="K41" s="496">
        <f>M41+O41+Q41+S41+U41+W41+Y41+AA41-K107</f>
        <v>16891</v>
      </c>
      <c r="L41" s="496"/>
      <c r="M41" s="496">
        <v>925</v>
      </c>
      <c r="N41" s="496"/>
      <c r="O41" s="596">
        <v>554</v>
      </c>
      <c r="P41" s="496"/>
      <c r="Q41" s="609">
        <v>5729</v>
      </c>
      <c r="R41" s="496"/>
      <c r="S41" s="610">
        <v>695</v>
      </c>
      <c r="T41" s="598"/>
      <c r="U41" s="598">
        <v>3973</v>
      </c>
      <c r="V41" s="334"/>
      <c r="W41" s="334">
        <v>640</v>
      </c>
      <c r="X41" s="334"/>
      <c r="Y41" s="508">
        <v>2860</v>
      </c>
      <c r="Z41" s="508"/>
      <c r="AA41" s="508">
        <v>2850</v>
      </c>
      <c r="AC41" s="477"/>
      <c r="AD41" s="478"/>
      <c r="AE41" s="478"/>
      <c r="AF41" s="478"/>
    </row>
    <row r="42" spans="1:32" ht="16.5" customHeight="1" x14ac:dyDescent="0.2">
      <c r="A42" s="505">
        <v>5</v>
      </c>
      <c r="B42" s="496" t="s">
        <v>465</v>
      </c>
      <c r="C42" s="496">
        <v>318171</v>
      </c>
      <c r="D42" s="496"/>
      <c r="E42" s="496">
        <f>I42+K42</f>
        <v>304607</v>
      </c>
      <c r="F42" s="506">
        <f t="shared" si="9"/>
        <v>0</v>
      </c>
      <c r="G42" s="507">
        <f t="shared" si="24"/>
        <v>95.736883625471833</v>
      </c>
      <c r="H42" s="496"/>
      <c r="I42" s="496">
        <f>'Biểu 26'!L7-130353</f>
        <v>304607</v>
      </c>
      <c r="J42" s="496">
        <f t="shared" si="27"/>
        <v>0</v>
      </c>
      <c r="K42" s="496">
        <f t="shared" si="28"/>
        <v>0</v>
      </c>
      <c r="L42" s="496"/>
      <c r="M42" s="496"/>
      <c r="N42" s="496"/>
      <c r="O42" s="596"/>
      <c r="P42" s="496"/>
      <c r="Q42" s="609"/>
      <c r="R42" s="496"/>
      <c r="S42" s="596"/>
      <c r="T42" s="496"/>
      <c r="U42" s="496"/>
      <c r="V42" s="334"/>
      <c r="W42" s="334"/>
      <c r="X42" s="334"/>
      <c r="Y42" s="508"/>
      <c r="Z42" s="334"/>
      <c r="AA42" s="508"/>
      <c r="AC42" s="477"/>
      <c r="AD42" s="478"/>
      <c r="AE42" s="478"/>
      <c r="AF42" s="478"/>
    </row>
    <row r="43" spans="1:32" ht="16.5" customHeight="1" x14ac:dyDescent="0.2">
      <c r="A43" s="505">
        <v>6</v>
      </c>
      <c r="B43" s="496" t="s">
        <v>466</v>
      </c>
      <c r="C43" s="496">
        <v>27857</v>
      </c>
      <c r="D43" s="496"/>
      <c r="E43" s="496">
        <f t="shared" si="26"/>
        <v>30104</v>
      </c>
      <c r="F43" s="506">
        <f t="shared" si="9"/>
        <v>0</v>
      </c>
      <c r="G43" s="507">
        <f t="shared" si="24"/>
        <v>108.06619521125749</v>
      </c>
      <c r="H43" s="496"/>
      <c r="I43" s="496">
        <f>'Biểu 26'!M7-3809-1200</f>
        <v>18370</v>
      </c>
      <c r="J43" s="496">
        <f t="shared" si="27"/>
        <v>0</v>
      </c>
      <c r="K43" s="496">
        <f t="shared" si="28"/>
        <v>11734</v>
      </c>
      <c r="L43" s="496"/>
      <c r="M43" s="496">
        <v>1041</v>
      </c>
      <c r="N43" s="496"/>
      <c r="O43" s="596">
        <f>2107-1199+260</f>
        <v>1168</v>
      </c>
      <c r="P43" s="496"/>
      <c r="Q43" s="609">
        <f>4713-900</f>
        <v>3813</v>
      </c>
      <c r="R43" s="496"/>
      <c r="S43" s="596">
        <v>1216</v>
      </c>
      <c r="T43" s="496"/>
      <c r="U43" s="496">
        <f>2230-900</f>
        <v>1330</v>
      </c>
      <c r="V43" s="334"/>
      <c r="W43" s="334">
        <f>1100-55</f>
        <v>1045</v>
      </c>
      <c r="X43" s="334"/>
      <c r="Y43" s="508">
        <v>1171</v>
      </c>
      <c r="Z43" s="508"/>
      <c r="AA43" s="508">
        <v>950</v>
      </c>
      <c r="AC43" s="477"/>
      <c r="AD43" s="478"/>
      <c r="AE43" s="478"/>
      <c r="AF43" s="478"/>
    </row>
    <row r="44" spans="1:32" ht="16.5" customHeight="1" x14ac:dyDescent="0.2">
      <c r="A44" s="505">
        <v>7</v>
      </c>
      <c r="B44" s="496" t="s">
        <v>467</v>
      </c>
      <c r="C44" s="496">
        <v>26969</v>
      </c>
      <c r="D44" s="496"/>
      <c r="E44" s="496">
        <f t="shared" si="26"/>
        <v>27275</v>
      </c>
      <c r="F44" s="506">
        <f t="shared" si="9"/>
        <v>0</v>
      </c>
      <c r="G44" s="507">
        <f t="shared" si="24"/>
        <v>101.13463606362861</v>
      </c>
      <c r="H44" s="496"/>
      <c r="I44" s="496">
        <f>'Biểu 26'!N7-10</f>
        <v>16553</v>
      </c>
      <c r="J44" s="496">
        <f t="shared" si="27"/>
        <v>0</v>
      </c>
      <c r="K44" s="496">
        <f t="shared" si="28"/>
        <v>10722</v>
      </c>
      <c r="L44" s="496"/>
      <c r="M44" s="496">
        <v>1449</v>
      </c>
      <c r="N44" s="496"/>
      <c r="O44" s="596">
        <v>1199</v>
      </c>
      <c r="P44" s="496"/>
      <c r="Q44" s="609">
        <f>1385+900</f>
        <v>2285</v>
      </c>
      <c r="R44" s="496"/>
      <c r="S44" s="596">
        <v>839</v>
      </c>
      <c r="T44" s="496"/>
      <c r="U44" s="496">
        <f>111+900</f>
        <v>1011</v>
      </c>
      <c r="V44" s="334"/>
      <c r="W44" s="334">
        <v>1071</v>
      </c>
      <c r="X44" s="334"/>
      <c r="Y44" s="508">
        <v>1518</v>
      </c>
      <c r="Z44" s="508"/>
      <c r="AA44" s="508">
        <v>1350</v>
      </c>
      <c r="AC44" s="477"/>
      <c r="AD44" s="478"/>
      <c r="AE44" s="478"/>
      <c r="AF44" s="478"/>
    </row>
    <row r="45" spans="1:32" ht="16.5" customHeight="1" x14ac:dyDescent="0.2">
      <c r="A45" s="505">
        <v>8</v>
      </c>
      <c r="B45" s="496" t="s">
        <v>468</v>
      </c>
      <c r="C45" s="496">
        <v>7245</v>
      </c>
      <c r="D45" s="496"/>
      <c r="E45" s="496">
        <f t="shared" si="26"/>
        <v>8393</v>
      </c>
      <c r="F45" s="506">
        <f t="shared" si="9"/>
        <v>0</v>
      </c>
      <c r="G45" s="507">
        <f t="shared" si="24"/>
        <v>115.84541062801932</v>
      </c>
      <c r="H45" s="496"/>
      <c r="I45" s="496">
        <f>'Biểu 26'!O7</f>
        <v>6164</v>
      </c>
      <c r="J45" s="496">
        <f t="shared" si="27"/>
        <v>0</v>
      </c>
      <c r="K45" s="496">
        <f t="shared" si="28"/>
        <v>2229</v>
      </c>
      <c r="L45" s="496"/>
      <c r="M45" s="496">
        <v>192</v>
      </c>
      <c r="N45" s="496"/>
      <c r="O45" s="596"/>
      <c r="P45" s="496"/>
      <c r="Q45" s="609">
        <v>476</v>
      </c>
      <c r="R45" s="496"/>
      <c r="S45" s="596">
        <v>324</v>
      </c>
      <c r="T45" s="496"/>
      <c r="U45" s="496">
        <v>37</v>
      </c>
      <c r="V45" s="334"/>
      <c r="W45" s="334">
        <v>55</v>
      </c>
      <c r="X45" s="334"/>
      <c r="Y45" s="508">
        <v>515</v>
      </c>
      <c r="Z45" s="508"/>
      <c r="AA45" s="508">
        <v>630</v>
      </c>
      <c r="AC45" s="477"/>
      <c r="AD45" s="478"/>
      <c r="AE45" s="478"/>
      <c r="AF45" s="478"/>
    </row>
    <row r="46" spans="1:32" ht="16.5" customHeight="1" x14ac:dyDescent="0.2">
      <c r="A46" s="505">
        <v>9</v>
      </c>
      <c r="B46" s="496" t="s">
        <v>469</v>
      </c>
      <c r="C46" s="496">
        <v>23114</v>
      </c>
      <c r="D46" s="496"/>
      <c r="E46" s="496">
        <f t="shared" si="26"/>
        <v>22701</v>
      </c>
      <c r="F46" s="506">
        <f t="shared" si="9"/>
        <v>0</v>
      </c>
      <c r="G46" s="507">
        <f t="shared" si="24"/>
        <v>98.213204118715922</v>
      </c>
      <c r="H46" s="496"/>
      <c r="I46" s="496">
        <f>'Biểu 26'!P7</f>
        <v>16867</v>
      </c>
      <c r="J46" s="496">
        <f t="shared" si="27"/>
        <v>0</v>
      </c>
      <c r="K46" s="496">
        <f t="shared" si="28"/>
        <v>5834</v>
      </c>
      <c r="L46" s="496"/>
      <c r="M46" s="496">
        <v>150</v>
      </c>
      <c r="N46" s="496"/>
      <c r="O46" s="596">
        <v>400</v>
      </c>
      <c r="P46" s="496"/>
      <c r="Q46" s="609">
        <v>684</v>
      </c>
      <c r="R46" s="496"/>
      <c r="S46" s="596">
        <v>3000</v>
      </c>
      <c r="T46" s="496"/>
      <c r="U46" s="496">
        <v>400</v>
      </c>
      <c r="V46" s="334"/>
      <c r="W46" s="334">
        <v>400</v>
      </c>
      <c r="X46" s="334"/>
      <c r="Y46" s="508">
        <v>400</v>
      </c>
      <c r="Z46" s="508"/>
      <c r="AA46" s="508">
        <v>400</v>
      </c>
      <c r="AC46" s="477"/>
      <c r="AD46" s="478"/>
      <c r="AE46" s="478"/>
      <c r="AF46" s="478"/>
    </row>
    <row r="47" spans="1:32" ht="16.5" customHeight="1" x14ac:dyDescent="0.2">
      <c r="A47" s="505">
        <v>10</v>
      </c>
      <c r="B47" s="496" t="s">
        <v>459</v>
      </c>
      <c r="C47" s="496">
        <v>272321</v>
      </c>
      <c r="D47" s="496"/>
      <c r="E47" s="496">
        <f t="shared" si="26"/>
        <v>268811</v>
      </c>
      <c r="F47" s="506">
        <f t="shared" si="9"/>
        <v>0</v>
      </c>
      <c r="G47" s="507">
        <f t="shared" si="24"/>
        <v>98.711079938748753</v>
      </c>
      <c r="H47" s="496"/>
      <c r="I47" s="496">
        <f>'Biểu 26'!Q7-52953-3757</f>
        <v>120593</v>
      </c>
      <c r="J47" s="496">
        <f t="shared" si="27"/>
        <v>0</v>
      </c>
      <c r="K47" s="496">
        <f>M47+O47+Q47+S47+U47+W47+Y47+AA47-K98-K101-K108-K110-K115</f>
        <v>148218</v>
      </c>
      <c r="L47" s="496"/>
      <c r="M47" s="496">
        <v>22710</v>
      </c>
      <c r="N47" s="496"/>
      <c r="O47" s="596">
        <v>11919</v>
      </c>
      <c r="P47" s="496"/>
      <c r="Q47" s="609">
        <v>24688</v>
      </c>
      <c r="R47" s="496"/>
      <c r="S47" s="596">
        <f>32861-3000</f>
        <v>29861</v>
      </c>
      <c r="T47" s="496"/>
      <c r="U47" s="496">
        <v>14708</v>
      </c>
      <c r="V47" s="334"/>
      <c r="W47" s="334">
        <v>29568</v>
      </c>
      <c r="X47" s="334"/>
      <c r="Y47" s="508">
        <v>20020</v>
      </c>
      <c r="Z47" s="508"/>
      <c r="AA47" s="508">
        <v>17931</v>
      </c>
      <c r="AC47" s="477"/>
      <c r="AD47" s="478"/>
      <c r="AE47" s="478"/>
      <c r="AF47" s="478"/>
    </row>
    <row r="48" spans="1:32" ht="16.5" customHeight="1" x14ac:dyDescent="0.2">
      <c r="A48" s="505">
        <v>11</v>
      </c>
      <c r="B48" s="496" t="s">
        <v>461</v>
      </c>
      <c r="C48" s="496">
        <v>879716</v>
      </c>
      <c r="D48" s="496"/>
      <c r="E48" s="496">
        <f t="shared" si="26"/>
        <v>916919</v>
      </c>
      <c r="F48" s="506">
        <f t="shared" si="9"/>
        <v>0</v>
      </c>
      <c r="G48" s="507">
        <f t="shared" si="24"/>
        <v>104.22897844304298</v>
      </c>
      <c r="H48" s="496"/>
      <c r="I48" s="496">
        <f>'Biểu 26'!T7-14612-12837</f>
        <v>265113</v>
      </c>
      <c r="J48" s="496">
        <f t="shared" si="27"/>
        <v>0</v>
      </c>
      <c r="K48" s="496">
        <f>M48+O48+Q48+S48+U48+W48+Y48+AA48-K96-K121</f>
        <v>651806</v>
      </c>
      <c r="L48" s="496"/>
      <c r="M48" s="496">
        <f>107870+630</f>
        <v>108500</v>
      </c>
      <c r="N48" s="496"/>
      <c r="O48" s="596">
        <f>69638</f>
        <v>69638</v>
      </c>
      <c r="P48" s="496"/>
      <c r="Q48" s="609">
        <v>90541</v>
      </c>
      <c r="R48" s="496"/>
      <c r="S48" s="596">
        <v>55872</v>
      </c>
      <c r="T48" s="496"/>
      <c r="U48" s="496">
        <v>79693</v>
      </c>
      <c r="V48" s="334"/>
      <c r="W48" s="334">
        <v>77755</v>
      </c>
      <c r="X48" s="334"/>
      <c r="Y48" s="508">
        <v>104363</v>
      </c>
      <c r="Z48" s="508"/>
      <c r="AA48" s="508">
        <v>70500</v>
      </c>
      <c r="AC48" s="477"/>
      <c r="AD48" s="478"/>
      <c r="AE48" s="478"/>
      <c r="AF48" s="478"/>
    </row>
    <row r="49" spans="1:32" ht="16.5" customHeight="1" x14ac:dyDescent="0.2">
      <c r="A49" s="505">
        <v>12</v>
      </c>
      <c r="B49" s="496" t="s">
        <v>84</v>
      </c>
      <c r="C49" s="496">
        <v>74627</v>
      </c>
      <c r="D49" s="496"/>
      <c r="E49" s="496">
        <f t="shared" si="26"/>
        <v>74754</v>
      </c>
      <c r="F49" s="506">
        <f t="shared" si="9"/>
        <v>0</v>
      </c>
      <c r="G49" s="507">
        <f t="shared" si="24"/>
        <v>100.17017969367654</v>
      </c>
      <c r="H49" s="496"/>
      <c r="I49" s="496">
        <f>'Biểu 26'!U7-20130</f>
        <v>7384</v>
      </c>
      <c r="J49" s="496">
        <f t="shared" si="27"/>
        <v>0</v>
      </c>
      <c r="K49" s="496">
        <f>M49+O49+Q49+S49+U49+W49+Y49+AA49-K94-K95-K116-K117</f>
        <v>67370</v>
      </c>
      <c r="L49" s="496"/>
      <c r="M49" s="496">
        <v>16378</v>
      </c>
      <c r="N49" s="496"/>
      <c r="O49" s="596">
        <f>10552+173+450+180+170+350</f>
        <v>11875</v>
      </c>
      <c r="P49" s="496"/>
      <c r="Q49" s="609">
        <f>14591+202+980+250+150</f>
        <v>16173</v>
      </c>
      <c r="R49" s="496"/>
      <c r="S49" s="596">
        <f>8308+227+580+260+120+180+120</f>
        <v>9795</v>
      </c>
      <c r="T49" s="496"/>
      <c r="U49" s="496">
        <f>10112+214+1960+350+350+450</f>
        <v>13436</v>
      </c>
      <c r="V49" s="334"/>
      <c r="W49" s="334">
        <v>10552</v>
      </c>
      <c r="X49" s="334"/>
      <c r="Y49" s="508">
        <f>12092+483+520+270+650+580+420+350</f>
        <v>15365</v>
      </c>
      <c r="Z49" s="508"/>
      <c r="AA49" s="508">
        <v>13500</v>
      </c>
      <c r="AC49" s="477"/>
      <c r="AD49" s="478"/>
      <c r="AE49" s="478"/>
      <c r="AF49" s="478"/>
    </row>
    <row r="50" spans="1:32" ht="16.5" customHeight="1" x14ac:dyDescent="0.2">
      <c r="A50" s="505">
        <v>13</v>
      </c>
      <c r="B50" s="496" t="s">
        <v>464</v>
      </c>
      <c r="C50" s="496">
        <v>10698</v>
      </c>
      <c r="D50" s="496"/>
      <c r="E50" s="496">
        <f>I50+K50</f>
        <v>11043</v>
      </c>
      <c r="F50" s="506">
        <f t="shared" si="9"/>
        <v>0</v>
      </c>
      <c r="G50" s="507">
        <f>E50/C50*100</f>
        <v>103.22490185081324</v>
      </c>
      <c r="H50" s="496"/>
      <c r="I50" s="496">
        <f>'Biểu 26'!V7-60</f>
        <v>1047</v>
      </c>
      <c r="J50" s="496">
        <f t="shared" si="27"/>
        <v>0</v>
      </c>
      <c r="K50" s="496">
        <f>M50+O50+Q50+S50+U50+W50+Y50+AA50</f>
        <v>9996</v>
      </c>
      <c r="L50" s="496"/>
      <c r="M50" s="496">
        <v>1332</v>
      </c>
      <c r="N50" s="496"/>
      <c r="O50" s="596">
        <v>1230</v>
      </c>
      <c r="P50" s="496"/>
      <c r="Q50" s="609">
        <v>1114</v>
      </c>
      <c r="R50" s="496"/>
      <c r="S50" s="596">
        <f>767+65</f>
        <v>832</v>
      </c>
      <c r="T50" s="496"/>
      <c r="U50" s="496">
        <v>2030</v>
      </c>
      <c r="V50" s="334"/>
      <c r="W50" s="334">
        <v>1008</v>
      </c>
      <c r="X50" s="334"/>
      <c r="Y50" s="508">
        <v>1560</v>
      </c>
      <c r="Z50" s="508"/>
      <c r="AA50" s="508">
        <v>890</v>
      </c>
      <c r="AC50" s="477"/>
      <c r="AD50" s="478"/>
      <c r="AE50" s="478"/>
      <c r="AF50" s="478"/>
    </row>
    <row r="51" spans="1:32" ht="16.5" customHeight="1" x14ac:dyDescent="0.2">
      <c r="A51" s="505">
        <v>14</v>
      </c>
      <c r="B51" s="496" t="s">
        <v>1428</v>
      </c>
      <c r="C51" s="496">
        <v>3903</v>
      </c>
      <c r="D51" s="496"/>
      <c r="E51" s="496"/>
      <c r="F51" s="506"/>
      <c r="G51" s="507"/>
      <c r="H51" s="496"/>
      <c r="I51" s="496"/>
      <c r="J51" s="496"/>
      <c r="K51" s="496"/>
      <c r="L51" s="496"/>
      <c r="M51" s="496"/>
      <c r="N51" s="496"/>
      <c r="O51" s="596"/>
      <c r="P51" s="496"/>
      <c r="Q51" s="609"/>
      <c r="R51" s="496"/>
      <c r="S51" s="596"/>
      <c r="T51" s="496"/>
      <c r="U51" s="496"/>
      <c r="V51" s="334"/>
      <c r="W51" s="334"/>
      <c r="X51" s="334"/>
      <c r="Y51" s="508"/>
      <c r="Z51" s="508"/>
      <c r="AA51" s="508"/>
      <c r="AC51" s="477"/>
      <c r="AD51" s="478"/>
      <c r="AE51" s="478"/>
      <c r="AF51" s="478"/>
    </row>
    <row r="52" spans="1:32" ht="16.5" customHeight="1" x14ac:dyDescent="0.2">
      <c r="A52" s="493">
        <v>3</v>
      </c>
      <c r="B52" s="492" t="s">
        <v>470</v>
      </c>
      <c r="C52" s="492">
        <v>548</v>
      </c>
      <c r="D52" s="492"/>
      <c r="E52" s="444">
        <f>548-50</f>
        <v>498</v>
      </c>
      <c r="F52" s="494">
        <f t="shared" si="9"/>
        <v>0</v>
      </c>
      <c r="G52" s="495">
        <f t="shared" si="24"/>
        <v>90.87591240875912</v>
      </c>
      <c r="H52" s="492"/>
      <c r="I52" s="492"/>
      <c r="J52" s="496">
        <f t="shared" si="27"/>
        <v>0</v>
      </c>
      <c r="K52" s="496">
        <f t="shared" ref="K52:K142" si="29">M52+O52+Q52+S52+U52+W52+Y52+AA52</f>
        <v>0</v>
      </c>
      <c r="L52" s="496"/>
      <c r="M52" s="496"/>
      <c r="N52" s="515"/>
      <c r="O52" s="515"/>
      <c r="P52" s="515"/>
      <c r="Q52" s="594"/>
      <c r="R52" s="515"/>
      <c r="S52" s="594"/>
      <c r="T52" s="515"/>
      <c r="U52" s="515"/>
      <c r="V52" s="330"/>
      <c r="W52" s="330"/>
      <c r="X52" s="330"/>
      <c r="Y52" s="330"/>
      <c r="Z52" s="330"/>
      <c r="AA52" s="330"/>
      <c r="AC52" s="477"/>
      <c r="AD52" s="478"/>
      <c r="AE52" s="478"/>
      <c r="AF52" s="478"/>
    </row>
    <row r="53" spans="1:32" x14ac:dyDescent="0.2">
      <c r="A53" s="493" t="s">
        <v>14</v>
      </c>
      <c r="B53" s="492" t="s">
        <v>20</v>
      </c>
      <c r="C53" s="492">
        <f>H53</f>
        <v>1000</v>
      </c>
      <c r="D53" s="492"/>
      <c r="E53" s="492">
        <f>I53+K53</f>
        <v>1000</v>
      </c>
      <c r="F53" s="494">
        <f t="shared" si="9"/>
        <v>0</v>
      </c>
      <c r="G53" s="495">
        <f t="shared" si="24"/>
        <v>100</v>
      </c>
      <c r="H53" s="492">
        <v>1000</v>
      </c>
      <c r="I53" s="492">
        <v>1000</v>
      </c>
      <c r="J53" s="496">
        <f t="shared" si="27"/>
        <v>0</v>
      </c>
      <c r="K53" s="496"/>
      <c r="L53" s="496"/>
      <c r="M53" s="496"/>
      <c r="N53" s="515"/>
      <c r="O53" s="508"/>
      <c r="P53" s="515"/>
      <c r="Q53" s="596"/>
      <c r="R53" s="515"/>
      <c r="S53" s="596"/>
      <c r="T53" s="515"/>
      <c r="U53" s="508"/>
      <c r="V53" s="330"/>
      <c r="W53" s="334"/>
      <c r="X53" s="330"/>
      <c r="Y53" s="334"/>
      <c r="Z53" s="330"/>
      <c r="AA53" s="334"/>
      <c r="AC53" s="477"/>
      <c r="AD53" s="478"/>
      <c r="AE53" s="478"/>
      <c r="AF53" s="478"/>
    </row>
    <row r="54" spans="1:32" ht="18" customHeight="1" x14ac:dyDescent="0.2">
      <c r="A54" s="493" t="s">
        <v>15</v>
      </c>
      <c r="B54" s="492" t="s">
        <v>471</v>
      </c>
      <c r="C54" s="492">
        <v>77180</v>
      </c>
      <c r="D54" s="492"/>
      <c r="E54" s="492"/>
      <c r="F54" s="492"/>
      <c r="G54" s="495">
        <f t="shared" si="24"/>
        <v>0</v>
      </c>
      <c r="H54" s="492">
        <v>29313</v>
      </c>
      <c r="I54" s="492"/>
      <c r="J54" s="492">
        <f t="shared" si="27"/>
        <v>33529</v>
      </c>
      <c r="K54" s="496">
        <f>M54+O54+Q54+S54+U54+W54+Y54+AA54</f>
        <v>0</v>
      </c>
      <c r="L54" s="492">
        <f>C210</f>
        <v>5550</v>
      </c>
      <c r="M54" s="492"/>
      <c r="N54" s="515"/>
      <c r="O54" s="515"/>
      <c r="P54" s="515">
        <v>5647</v>
      </c>
      <c r="Q54" s="515"/>
      <c r="R54" s="492">
        <v>4350</v>
      </c>
      <c r="S54" s="515"/>
      <c r="T54" s="492">
        <v>4153</v>
      </c>
      <c r="U54" s="492"/>
      <c r="V54" s="330">
        <v>4218</v>
      </c>
      <c r="W54" s="330"/>
      <c r="X54" s="515">
        <v>5864</v>
      </c>
      <c r="Y54" s="330"/>
      <c r="Z54" s="515">
        <v>3747</v>
      </c>
      <c r="AA54" s="330"/>
      <c r="AC54" s="477"/>
      <c r="AD54" s="478"/>
      <c r="AE54" s="478"/>
      <c r="AF54" s="478"/>
    </row>
    <row r="55" spans="1:32" ht="15" hidden="1" customHeight="1" x14ac:dyDescent="0.2">
      <c r="A55" s="493">
        <v>6</v>
      </c>
      <c r="B55" s="492" t="s">
        <v>472</v>
      </c>
      <c r="C55" s="492"/>
      <c r="D55" s="492"/>
      <c r="E55" s="492"/>
      <c r="F55" s="492"/>
      <c r="G55" s="495" t="e">
        <f t="shared" si="24"/>
        <v>#DIV/0!</v>
      </c>
      <c r="H55" s="492"/>
      <c r="I55" s="492"/>
      <c r="J55" s="492"/>
      <c r="K55" s="496">
        <f t="shared" si="29"/>
        <v>0</v>
      </c>
      <c r="L55" s="496"/>
      <c r="M55" s="496"/>
      <c r="N55" s="515"/>
      <c r="O55" s="515"/>
      <c r="P55" s="515"/>
      <c r="Q55" s="515"/>
      <c r="R55" s="516"/>
      <c r="S55" s="515"/>
      <c r="T55" s="517"/>
      <c r="U55" s="517"/>
      <c r="V55" s="330"/>
      <c r="W55" s="330"/>
      <c r="X55" s="330"/>
      <c r="Y55" s="330"/>
      <c r="Z55" s="515"/>
      <c r="AA55" s="330"/>
      <c r="AC55" s="477"/>
      <c r="AD55" s="478"/>
      <c r="AE55" s="478"/>
      <c r="AF55" s="478"/>
    </row>
    <row r="56" spans="1:32" ht="29.25" customHeight="1" x14ac:dyDescent="0.2">
      <c r="A56" s="493" t="s">
        <v>3</v>
      </c>
      <c r="B56" s="492" t="s">
        <v>49</v>
      </c>
      <c r="C56" s="492">
        <f>C57+C122</f>
        <v>1712039</v>
      </c>
      <c r="D56" s="492">
        <f t="shared" ref="D56" si="30">D57+D122</f>
        <v>0</v>
      </c>
      <c r="E56" s="492">
        <f>E57+E122</f>
        <v>1464456</v>
      </c>
      <c r="F56" s="492"/>
      <c r="G56" s="601">
        <f>E56/C56*100</f>
        <v>85.538705601916774</v>
      </c>
      <c r="H56" s="492"/>
      <c r="I56" s="492"/>
      <c r="J56" s="492"/>
      <c r="K56" s="496"/>
      <c r="L56" s="496"/>
      <c r="M56" s="496"/>
      <c r="N56" s="515"/>
      <c r="O56" s="515"/>
      <c r="P56" s="515"/>
      <c r="Q56" s="515"/>
      <c r="R56" s="516"/>
      <c r="S56" s="515">
        <f>S57+S122</f>
        <v>2154</v>
      </c>
      <c r="T56" s="517"/>
      <c r="U56" s="517"/>
      <c r="V56" s="330"/>
      <c r="W56" s="330"/>
      <c r="X56" s="330"/>
      <c r="Y56" s="330"/>
      <c r="Z56" s="515"/>
      <c r="AA56" s="330"/>
      <c r="AC56" s="477"/>
      <c r="AD56" s="478"/>
      <c r="AE56" s="478"/>
      <c r="AF56" s="478"/>
    </row>
    <row r="57" spans="1:32" ht="21" customHeight="1" x14ac:dyDescent="0.2">
      <c r="A57" s="493" t="s">
        <v>9</v>
      </c>
      <c r="B57" s="492" t="s">
        <v>42</v>
      </c>
      <c r="C57" s="492">
        <f>C58+C74</f>
        <v>1373930</v>
      </c>
      <c r="D57" s="492">
        <f t="shared" ref="D57:E57" si="31">D58+D74</f>
        <v>0</v>
      </c>
      <c r="E57" s="492">
        <f t="shared" si="31"/>
        <v>1082231</v>
      </c>
      <c r="F57" s="492"/>
      <c r="G57" s="601">
        <f t="shared" ref="G57:G120" si="32">E57/C57*100</f>
        <v>78.769005698980294</v>
      </c>
      <c r="H57" s="492"/>
      <c r="I57" s="492"/>
      <c r="J57" s="492"/>
      <c r="K57" s="496"/>
      <c r="L57" s="496"/>
      <c r="M57" s="496"/>
      <c r="N57" s="515"/>
      <c r="O57" s="515"/>
      <c r="P57" s="515"/>
      <c r="Q57" s="515"/>
      <c r="R57" s="516"/>
      <c r="S57" s="515"/>
      <c r="T57" s="517"/>
      <c r="U57" s="517"/>
      <c r="V57" s="330"/>
      <c r="W57" s="330"/>
      <c r="X57" s="330"/>
      <c r="Y57" s="330"/>
      <c r="Z57" s="515"/>
      <c r="AA57" s="330"/>
      <c r="AC57" s="477"/>
      <c r="AD57" s="478"/>
      <c r="AE57" s="478"/>
      <c r="AF57" s="478"/>
    </row>
    <row r="58" spans="1:32" ht="21.75" customHeight="1" x14ac:dyDescent="0.2">
      <c r="A58" s="611">
        <v>1</v>
      </c>
      <c r="B58" s="612" t="s">
        <v>301</v>
      </c>
      <c r="C58" s="492">
        <f>C59+C72+C73</f>
        <v>1142579</v>
      </c>
      <c r="D58" s="492"/>
      <c r="E58" s="492">
        <f>I58+K58</f>
        <v>719329</v>
      </c>
      <c r="F58" s="492"/>
      <c r="G58" s="601">
        <f t="shared" si="32"/>
        <v>62.956609564852847</v>
      </c>
      <c r="H58" s="613">
        <f>H59+H72+H73</f>
        <v>1110379</v>
      </c>
      <c r="I58" s="613">
        <f>I59+I72+I73</f>
        <v>692904</v>
      </c>
      <c r="J58" s="613">
        <f>J59+J72+J73</f>
        <v>32200</v>
      </c>
      <c r="K58" s="613">
        <f>K59+K72+K73</f>
        <v>26425</v>
      </c>
      <c r="L58" s="496"/>
      <c r="M58" s="496"/>
      <c r="N58" s="515"/>
      <c r="O58" s="515"/>
      <c r="P58" s="515"/>
      <c r="Q58" s="515"/>
      <c r="R58" s="516"/>
      <c r="S58" s="515"/>
      <c r="T58" s="517"/>
      <c r="U58" s="517"/>
      <c r="V58" s="330"/>
      <c r="W58" s="330"/>
      <c r="X58" s="330"/>
      <c r="Y58" s="330"/>
      <c r="Z58" s="515"/>
      <c r="AA58" s="330"/>
      <c r="AC58" s="477"/>
      <c r="AD58" s="478"/>
      <c r="AE58" s="478"/>
      <c r="AF58" s="478"/>
    </row>
    <row r="59" spans="1:32" ht="19.5" customHeight="1" x14ac:dyDescent="0.2">
      <c r="A59" s="614" t="s">
        <v>146</v>
      </c>
      <c r="B59" s="615" t="s">
        <v>111</v>
      </c>
      <c r="C59" s="600">
        <f>H59+J59</f>
        <v>204200</v>
      </c>
      <c r="D59" s="492"/>
      <c r="E59" s="600">
        <f>I59+K59</f>
        <v>243512</v>
      </c>
      <c r="F59" s="492"/>
      <c r="G59" s="507">
        <f t="shared" si="32"/>
        <v>119.25171400587659</v>
      </c>
      <c r="H59" s="616">
        <f>SUM(H60:H71)</f>
        <v>172000</v>
      </c>
      <c r="I59" s="616">
        <f>SUM(I60:I71)</f>
        <v>217087</v>
      </c>
      <c r="J59" s="616">
        <f>SUM(J60:J71)</f>
        <v>32200</v>
      </c>
      <c r="K59" s="616">
        <f>SUM(K60:K71)</f>
        <v>26425</v>
      </c>
      <c r="L59" s="496"/>
      <c r="M59" s="496"/>
      <c r="N59" s="515"/>
      <c r="O59" s="515"/>
      <c r="P59" s="515"/>
      <c r="Q59" s="515"/>
      <c r="R59" s="516"/>
      <c r="S59" s="515"/>
      <c r="T59" s="517"/>
      <c r="U59" s="517"/>
      <c r="V59" s="330"/>
      <c r="W59" s="330"/>
      <c r="X59" s="330"/>
      <c r="Y59" s="330"/>
      <c r="Z59" s="515"/>
      <c r="AA59" s="330"/>
      <c r="AC59" s="477"/>
      <c r="AD59" s="478"/>
      <c r="AE59" s="478"/>
      <c r="AF59" s="478"/>
    </row>
    <row r="60" spans="1:32" ht="23.25" customHeight="1" x14ac:dyDescent="0.2">
      <c r="A60" s="617" t="s">
        <v>288</v>
      </c>
      <c r="B60" s="334" t="s">
        <v>294</v>
      </c>
      <c r="C60" s="258">
        <f t="shared" ref="C60:C73" si="33">H60+J60</f>
        <v>48973</v>
      </c>
      <c r="D60" s="492"/>
      <c r="E60" s="258">
        <f>I60+K60</f>
        <v>50568</v>
      </c>
      <c r="F60" s="492"/>
      <c r="G60" s="507">
        <f t="shared" si="32"/>
        <v>103.25689665734178</v>
      </c>
      <c r="H60" s="618">
        <v>48973</v>
      </c>
      <c r="I60" s="619">
        <f>'Biểu 22'!G42</f>
        <v>50568</v>
      </c>
      <c r="J60" s="492"/>
      <c r="K60" s="496"/>
      <c r="L60" s="496"/>
      <c r="M60" s="496"/>
      <c r="N60" s="515"/>
      <c r="O60" s="515"/>
      <c r="P60" s="515"/>
      <c r="Q60" s="515"/>
      <c r="R60" s="516"/>
      <c r="S60" s="515"/>
      <c r="T60" s="517"/>
      <c r="U60" s="517"/>
      <c r="V60" s="330"/>
      <c r="W60" s="330"/>
      <c r="X60" s="330"/>
      <c r="Y60" s="330"/>
      <c r="Z60" s="515"/>
      <c r="AA60" s="330"/>
      <c r="AC60" s="477"/>
      <c r="AD60" s="478"/>
      <c r="AE60" s="478"/>
      <c r="AF60" s="478"/>
    </row>
    <row r="61" spans="1:32" ht="28.5" customHeight="1" x14ac:dyDescent="0.2">
      <c r="A61" s="617" t="s">
        <v>288</v>
      </c>
      <c r="B61" s="334" t="s">
        <v>295</v>
      </c>
      <c r="C61" s="258">
        <f t="shared" si="33"/>
        <v>20650</v>
      </c>
      <c r="D61" s="492"/>
      <c r="E61" s="258">
        <f t="shared" ref="E61:E72" si="34">I61+K61</f>
        <v>20680</v>
      </c>
      <c r="F61" s="492"/>
      <c r="G61" s="507">
        <f t="shared" si="32"/>
        <v>100.14527845036321</v>
      </c>
      <c r="H61" s="618">
        <v>20650</v>
      </c>
      <c r="I61" s="619">
        <f>'Biểu 22'!G43</f>
        <v>20680</v>
      </c>
      <c r="J61" s="492"/>
      <c r="K61" s="496"/>
      <c r="L61" s="496"/>
      <c r="M61" s="496"/>
      <c r="N61" s="515"/>
      <c r="O61" s="515"/>
      <c r="P61" s="515"/>
      <c r="Q61" s="515"/>
      <c r="R61" s="516"/>
      <c r="S61" s="515"/>
      <c r="T61" s="517"/>
      <c r="U61" s="517"/>
      <c r="V61" s="330"/>
      <c r="W61" s="330"/>
      <c r="X61" s="330"/>
      <c r="Y61" s="330"/>
      <c r="Z61" s="515"/>
      <c r="AA61" s="330"/>
      <c r="AC61" s="477"/>
      <c r="AD61" s="478"/>
      <c r="AE61" s="478"/>
      <c r="AF61" s="478"/>
    </row>
    <row r="62" spans="1:32" ht="23.25" customHeight="1" x14ac:dyDescent="0.2">
      <c r="A62" s="617" t="s">
        <v>288</v>
      </c>
      <c r="B62" s="620" t="s">
        <v>296</v>
      </c>
      <c r="C62" s="258">
        <f t="shared" si="33"/>
        <v>0</v>
      </c>
      <c r="D62" s="492"/>
      <c r="E62" s="258">
        <f t="shared" si="34"/>
        <v>1145</v>
      </c>
      <c r="F62" s="492"/>
      <c r="G62" s="507"/>
      <c r="H62" s="618"/>
      <c r="I62" s="619">
        <f>'Biểu 22'!G44</f>
        <v>1145</v>
      </c>
      <c r="J62" s="492"/>
      <c r="K62" s="496"/>
      <c r="L62" s="496"/>
      <c r="M62" s="496"/>
      <c r="N62" s="515"/>
      <c r="O62" s="515"/>
      <c r="P62" s="515"/>
      <c r="Q62" s="515"/>
      <c r="R62" s="516"/>
      <c r="S62" s="515"/>
      <c r="T62" s="517"/>
      <c r="U62" s="517"/>
      <c r="V62" s="330"/>
      <c r="W62" s="330"/>
      <c r="X62" s="330"/>
      <c r="Y62" s="330"/>
      <c r="Z62" s="515"/>
      <c r="AA62" s="330"/>
      <c r="AC62" s="477"/>
      <c r="AD62" s="478"/>
      <c r="AE62" s="478"/>
      <c r="AF62" s="478"/>
    </row>
    <row r="63" spans="1:32" ht="23.25" customHeight="1" x14ac:dyDescent="0.2">
      <c r="A63" s="617" t="s">
        <v>288</v>
      </c>
      <c r="B63" s="620" t="s">
        <v>297</v>
      </c>
      <c r="C63" s="258">
        <f t="shared" si="33"/>
        <v>35777</v>
      </c>
      <c r="D63" s="492"/>
      <c r="E63" s="258">
        <f t="shared" si="34"/>
        <v>35789</v>
      </c>
      <c r="F63" s="492"/>
      <c r="G63" s="507">
        <f t="shared" si="32"/>
        <v>100.03354110182518</v>
      </c>
      <c r="H63" s="618">
        <v>35777</v>
      </c>
      <c r="I63" s="619">
        <f>'Biểu 22'!G45</f>
        <v>35789</v>
      </c>
      <c r="J63" s="492"/>
      <c r="K63" s="496"/>
      <c r="L63" s="496"/>
      <c r="M63" s="496"/>
      <c r="N63" s="515"/>
      <c r="O63" s="515"/>
      <c r="P63" s="515"/>
      <c r="Q63" s="515"/>
      <c r="R63" s="516"/>
      <c r="S63" s="515"/>
      <c r="T63" s="517"/>
      <c r="U63" s="517"/>
      <c r="V63" s="330"/>
      <c r="W63" s="330"/>
      <c r="X63" s="330"/>
      <c r="Y63" s="330"/>
      <c r="Z63" s="515"/>
      <c r="AA63" s="330"/>
      <c r="AC63" s="477"/>
      <c r="AD63" s="478"/>
      <c r="AE63" s="478"/>
      <c r="AF63" s="478"/>
    </row>
    <row r="64" spans="1:32" ht="58.5" customHeight="1" x14ac:dyDescent="0.2">
      <c r="A64" s="617" t="s">
        <v>288</v>
      </c>
      <c r="B64" s="620" t="s">
        <v>298</v>
      </c>
      <c r="C64" s="258">
        <f t="shared" si="33"/>
        <v>5000</v>
      </c>
      <c r="D64" s="492"/>
      <c r="E64" s="258">
        <f t="shared" si="34"/>
        <v>5000</v>
      </c>
      <c r="F64" s="492"/>
      <c r="G64" s="507">
        <f t="shared" si="32"/>
        <v>100</v>
      </c>
      <c r="H64" s="618">
        <v>5000</v>
      </c>
      <c r="I64" s="619">
        <f>'Biểu 22'!G46</f>
        <v>5000</v>
      </c>
      <c r="J64" s="492"/>
      <c r="K64" s="496"/>
      <c r="L64" s="496"/>
      <c r="M64" s="496"/>
      <c r="N64" s="515"/>
      <c r="O64" s="515"/>
      <c r="P64" s="515"/>
      <c r="Q64" s="515"/>
      <c r="R64" s="516"/>
      <c r="S64" s="515"/>
      <c r="T64" s="517"/>
      <c r="U64" s="517"/>
      <c r="V64" s="330"/>
      <c r="W64" s="330"/>
      <c r="X64" s="330"/>
      <c r="Y64" s="330"/>
      <c r="Z64" s="515"/>
      <c r="AA64" s="330"/>
      <c r="AC64" s="477"/>
      <c r="AD64" s="478"/>
      <c r="AE64" s="478"/>
      <c r="AF64" s="478"/>
    </row>
    <row r="65" spans="1:32" ht="22.5" customHeight="1" x14ac:dyDescent="0.2">
      <c r="A65" s="617" t="s">
        <v>288</v>
      </c>
      <c r="B65" s="620" t="s">
        <v>299</v>
      </c>
      <c r="C65" s="258">
        <f t="shared" si="33"/>
        <v>10000</v>
      </c>
      <c r="D65" s="492"/>
      <c r="E65" s="258">
        <f t="shared" si="34"/>
        <v>10000</v>
      </c>
      <c r="F65" s="492"/>
      <c r="G65" s="507">
        <f t="shared" si="32"/>
        <v>100</v>
      </c>
      <c r="H65" s="618">
        <v>10000</v>
      </c>
      <c r="I65" s="619">
        <f>'Biểu 22'!G47</f>
        <v>10000</v>
      </c>
      <c r="J65" s="492"/>
      <c r="K65" s="496"/>
      <c r="L65" s="496"/>
      <c r="M65" s="496"/>
      <c r="N65" s="515"/>
      <c r="O65" s="515"/>
      <c r="P65" s="515"/>
      <c r="Q65" s="515"/>
      <c r="R65" s="516"/>
      <c r="S65" s="515"/>
      <c r="T65" s="517"/>
      <c r="U65" s="517"/>
      <c r="V65" s="330"/>
      <c r="W65" s="330"/>
      <c r="X65" s="330"/>
      <c r="Y65" s="330"/>
      <c r="Z65" s="515"/>
      <c r="AA65" s="330"/>
      <c r="AC65" s="477"/>
      <c r="AD65" s="478"/>
      <c r="AE65" s="478"/>
      <c r="AF65" s="478"/>
    </row>
    <row r="66" spans="1:32" ht="22.5" customHeight="1" x14ac:dyDescent="0.2">
      <c r="A66" s="617" t="s">
        <v>288</v>
      </c>
      <c r="B66" s="620" t="s">
        <v>300</v>
      </c>
      <c r="C66" s="258">
        <f t="shared" si="33"/>
        <v>43600</v>
      </c>
      <c r="D66" s="492"/>
      <c r="E66" s="258">
        <f t="shared" si="34"/>
        <v>43886</v>
      </c>
      <c r="F66" s="492"/>
      <c r="G66" s="507">
        <f t="shared" si="32"/>
        <v>100.65596330275228</v>
      </c>
      <c r="H66" s="618">
        <v>43600</v>
      </c>
      <c r="I66" s="619">
        <f>'Biểu 22'!G48</f>
        <v>43886</v>
      </c>
      <c r="J66" s="492"/>
      <c r="K66" s="496"/>
      <c r="L66" s="496"/>
      <c r="M66" s="496"/>
      <c r="N66" s="515"/>
      <c r="O66" s="515"/>
      <c r="P66" s="515"/>
      <c r="Q66" s="515"/>
      <c r="R66" s="516"/>
      <c r="S66" s="515"/>
      <c r="T66" s="517"/>
      <c r="U66" s="517"/>
      <c r="V66" s="330"/>
      <c r="W66" s="330"/>
      <c r="X66" s="330"/>
      <c r="Y66" s="330"/>
      <c r="Z66" s="515"/>
      <c r="AA66" s="330"/>
      <c r="AC66" s="477"/>
      <c r="AD66" s="478"/>
      <c r="AE66" s="478"/>
      <c r="AF66" s="478"/>
    </row>
    <row r="67" spans="1:32" ht="43.5" customHeight="1" x14ac:dyDescent="0.2">
      <c r="A67" s="617" t="s">
        <v>288</v>
      </c>
      <c r="B67" s="620" t="s">
        <v>1260</v>
      </c>
      <c r="C67" s="258">
        <f t="shared" si="33"/>
        <v>8000</v>
      </c>
      <c r="D67" s="492"/>
      <c r="E67" s="258">
        <f t="shared" si="34"/>
        <v>8030</v>
      </c>
      <c r="F67" s="492"/>
      <c r="G67" s="507">
        <f t="shared" si="32"/>
        <v>100.37499999999999</v>
      </c>
      <c r="H67" s="618">
        <v>8000</v>
      </c>
      <c r="I67" s="619">
        <f>'Biểu 22'!G49</f>
        <v>8030</v>
      </c>
      <c r="J67" s="492"/>
      <c r="K67" s="496"/>
      <c r="L67" s="496"/>
      <c r="M67" s="496"/>
      <c r="N67" s="515"/>
      <c r="O67" s="515"/>
      <c r="P67" s="515"/>
      <c r="Q67" s="515"/>
      <c r="R67" s="516"/>
      <c r="S67" s="515"/>
      <c r="T67" s="517"/>
      <c r="U67" s="517"/>
      <c r="V67" s="330"/>
      <c r="W67" s="330"/>
      <c r="X67" s="330"/>
      <c r="Y67" s="330"/>
      <c r="Z67" s="515"/>
      <c r="AA67" s="330"/>
      <c r="AC67" s="477"/>
      <c r="AD67" s="478"/>
      <c r="AE67" s="478"/>
      <c r="AF67" s="478"/>
    </row>
    <row r="68" spans="1:32" ht="27.75" customHeight="1" x14ac:dyDescent="0.2">
      <c r="A68" s="617" t="s">
        <v>288</v>
      </c>
      <c r="B68" s="620" t="s">
        <v>1261</v>
      </c>
      <c r="C68" s="258">
        <f t="shared" si="33"/>
        <v>0</v>
      </c>
      <c r="D68" s="492"/>
      <c r="E68" s="258">
        <f t="shared" si="34"/>
        <v>0</v>
      </c>
      <c r="F68" s="492"/>
      <c r="G68" s="507"/>
      <c r="H68" s="613"/>
      <c r="I68" s="619">
        <f>'Biểu 22'!G50</f>
        <v>0</v>
      </c>
      <c r="J68" s="492"/>
      <c r="K68" s="496"/>
      <c r="L68" s="496"/>
      <c r="M68" s="496"/>
      <c r="N68" s="515"/>
      <c r="O68" s="515"/>
      <c r="P68" s="515"/>
      <c r="Q68" s="515"/>
      <c r="R68" s="516"/>
      <c r="S68" s="515"/>
      <c r="T68" s="517"/>
      <c r="U68" s="517"/>
      <c r="V68" s="330"/>
      <c r="W68" s="330"/>
      <c r="X68" s="330"/>
      <c r="Y68" s="330"/>
      <c r="Z68" s="515"/>
      <c r="AA68" s="330"/>
      <c r="AC68" s="477"/>
      <c r="AD68" s="478"/>
      <c r="AE68" s="478"/>
      <c r="AF68" s="478"/>
    </row>
    <row r="69" spans="1:32" ht="27.75" customHeight="1" x14ac:dyDescent="0.2">
      <c r="A69" s="617"/>
      <c r="B69" s="620" t="str">
        <f>'Biểu 22'!B51</f>
        <v>Nguồn dự phòng ngân sách Trung ương</v>
      </c>
      <c r="C69" s="258">
        <f t="shared" si="33"/>
        <v>0</v>
      </c>
      <c r="D69" s="492"/>
      <c r="E69" s="258">
        <f t="shared" si="34"/>
        <v>41969</v>
      </c>
      <c r="F69" s="492"/>
      <c r="G69" s="507"/>
      <c r="H69" s="613"/>
      <c r="I69" s="619">
        <f>'Biểu 22'!G51</f>
        <v>41969</v>
      </c>
      <c r="J69" s="492"/>
      <c r="K69" s="496"/>
      <c r="L69" s="496"/>
      <c r="M69" s="496"/>
      <c r="N69" s="515"/>
      <c r="O69" s="515"/>
      <c r="P69" s="515"/>
      <c r="Q69" s="515"/>
      <c r="R69" s="516"/>
      <c r="S69" s="515"/>
      <c r="T69" s="517"/>
      <c r="U69" s="517"/>
      <c r="V69" s="330"/>
      <c r="W69" s="330"/>
      <c r="X69" s="330"/>
      <c r="Y69" s="330"/>
      <c r="Z69" s="515"/>
      <c r="AA69" s="330"/>
      <c r="AC69" s="477"/>
      <c r="AD69" s="478"/>
      <c r="AE69" s="478"/>
      <c r="AF69" s="478"/>
    </row>
    <row r="70" spans="1:32" ht="27.75" customHeight="1" x14ac:dyDescent="0.2">
      <c r="A70" s="617"/>
      <c r="B70" s="620" t="str">
        <f>'Biểu 22'!B52</f>
        <v>Chính sách hỗ trợ di dân thực hiện định canh, định cư cho đồng bào dân tộc thiểu số theo Quyết định 33</v>
      </c>
      <c r="C70" s="258">
        <f t="shared" si="33"/>
        <v>0</v>
      </c>
      <c r="D70" s="492"/>
      <c r="E70" s="258">
        <f t="shared" si="34"/>
        <v>20</v>
      </c>
      <c r="F70" s="492"/>
      <c r="G70" s="507"/>
      <c r="H70" s="613"/>
      <c r="I70" s="619">
        <f>'Biểu 22'!G52</f>
        <v>20</v>
      </c>
      <c r="J70" s="492"/>
      <c r="K70" s="496"/>
      <c r="L70" s="496"/>
      <c r="M70" s="496"/>
      <c r="N70" s="515"/>
      <c r="O70" s="515"/>
      <c r="P70" s="515"/>
      <c r="Q70" s="515"/>
      <c r="R70" s="516"/>
      <c r="S70" s="515"/>
      <c r="T70" s="517"/>
      <c r="U70" s="517"/>
      <c r="V70" s="330"/>
      <c r="W70" s="330"/>
      <c r="X70" s="330"/>
      <c r="Y70" s="330"/>
      <c r="Z70" s="515"/>
      <c r="AA70" s="330"/>
      <c r="AC70" s="477"/>
      <c r="AD70" s="478"/>
      <c r="AE70" s="478"/>
      <c r="AF70" s="478"/>
    </row>
    <row r="71" spans="1:32" ht="27.75" customHeight="1" x14ac:dyDescent="0.2">
      <c r="A71" s="617" t="s">
        <v>288</v>
      </c>
      <c r="B71" s="620" t="s">
        <v>1262</v>
      </c>
      <c r="C71" s="258">
        <f t="shared" si="33"/>
        <v>32200</v>
      </c>
      <c r="D71" s="492"/>
      <c r="E71" s="258">
        <f t="shared" si="34"/>
        <v>26425</v>
      </c>
      <c r="F71" s="492"/>
      <c r="G71" s="507">
        <f t="shared" si="32"/>
        <v>82.065217391304344</v>
      </c>
      <c r="H71" s="613"/>
      <c r="I71" s="619"/>
      <c r="J71" s="496">
        <v>32200</v>
      </c>
      <c r="K71" s="496">
        <v>26425</v>
      </c>
      <c r="L71" s="496"/>
      <c r="M71" s="496"/>
      <c r="N71" s="515"/>
      <c r="O71" s="515"/>
      <c r="P71" s="515"/>
      <c r="Q71" s="515"/>
      <c r="R71" s="516"/>
      <c r="S71" s="515"/>
      <c r="T71" s="517"/>
      <c r="U71" s="517"/>
      <c r="V71" s="330"/>
      <c r="W71" s="330"/>
      <c r="X71" s="330"/>
      <c r="Y71" s="330"/>
      <c r="Z71" s="515"/>
      <c r="AA71" s="330"/>
      <c r="AC71" s="477"/>
      <c r="AD71" s="478"/>
      <c r="AE71" s="478"/>
      <c r="AF71" s="478"/>
    </row>
    <row r="72" spans="1:32" ht="22.5" customHeight="1" x14ac:dyDescent="0.2">
      <c r="A72" s="621" t="s">
        <v>147</v>
      </c>
      <c r="B72" s="622" t="s">
        <v>557</v>
      </c>
      <c r="C72" s="600">
        <f t="shared" si="33"/>
        <v>488000</v>
      </c>
      <c r="D72" s="492"/>
      <c r="E72" s="600">
        <f t="shared" si="34"/>
        <v>321774</v>
      </c>
      <c r="F72" s="492"/>
      <c r="G72" s="507">
        <f t="shared" si="32"/>
        <v>65.937295081967221</v>
      </c>
      <c r="H72" s="623">
        <v>488000</v>
      </c>
      <c r="I72" s="624">
        <f>'Biểu 22'!G54</f>
        <v>321774</v>
      </c>
      <c r="J72" s="492"/>
      <c r="K72" s="496"/>
      <c r="L72" s="496"/>
      <c r="M72" s="496"/>
      <c r="N72" s="515"/>
      <c r="O72" s="515"/>
      <c r="P72" s="515"/>
      <c r="Q72" s="515"/>
      <c r="R72" s="516"/>
      <c r="S72" s="515"/>
      <c r="T72" s="517"/>
      <c r="U72" s="517"/>
      <c r="V72" s="330"/>
      <c r="W72" s="330"/>
      <c r="X72" s="330"/>
      <c r="Y72" s="330"/>
      <c r="Z72" s="515"/>
      <c r="AA72" s="330"/>
      <c r="AC72" s="477"/>
      <c r="AD72" s="478"/>
      <c r="AE72" s="478"/>
      <c r="AF72" s="478"/>
    </row>
    <row r="73" spans="1:32" ht="22.5" customHeight="1" x14ac:dyDescent="0.2">
      <c r="A73" s="621" t="s">
        <v>445</v>
      </c>
      <c r="B73" s="622" t="s">
        <v>302</v>
      </c>
      <c r="C73" s="600">
        <f t="shared" si="33"/>
        <v>450379</v>
      </c>
      <c r="D73" s="492"/>
      <c r="E73" s="600">
        <f>I73+K73</f>
        <v>154043</v>
      </c>
      <c r="F73" s="492"/>
      <c r="G73" s="507">
        <f t="shared" si="32"/>
        <v>34.202971275303689</v>
      </c>
      <c r="H73" s="623">
        <v>450379</v>
      </c>
      <c r="I73" s="624">
        <f>154043</f>
        <v>154043</v>
      </c>
      <c r="J73" s="492"/>
      <c r="K73" s="496"/>
      <c r="L73" s="496"/>
      <c r="M73" s="496"/>
      <c r="N73" s="515"/>
      <c r="O73" s="515"/>
      <c r="P73" s="515"/>
      <c r="Q73" s="515"/>
      <c r="R73" s="516"/>
      <c r="S73" s="515"/>
      <c r="T73" s="517"/>
      <c r="U73" s="517"/>
      <c r="V73" s="330"/>
      <c r="W73" s="330"/>
      <c r="X73" s="330"/>
      <c r="Y73" s="330"/>
      <c r="Z73" s="515"/>
      <c r="AA73" s="330"/>
      <c r="AC73" s="477"/>
      <c r="AD73" s="478"/>
      <c r="AE73" s="478"/>
      <c r="AF73" s="478"/>
    </row>
    <row r="74" spans="1:32" ht="22.5" customHeight="1" x14ac:dyDescent="0.2">
      <c r="A74" s="611">
        <v>2</v>
      </c>
      <c r="B74" s="612" t="s">
        <v>303</v>
      </c>
      <c r="C74" s="518">
        <f t="shared" ref="C74:F74" si="35">C75+C76</f>
        <v>231351</v>
      </c>
      <c r="D74" s="518">
        <f t="shared" si="35"/>
        <v>0</v>
      </c>
      <c r="E74" s="518">
        <f>E75+E76</f>
        <v>362902</v>
      </c>
      <c r="F74" s="518">
        <f t="shared" si="35"/>
        <v>0</v>
      </c>
      <c r="G74" s="601">
        <f t="shared" si="32"/>
        <v>156.86208401952013</v>
      </c>
      <c r="H74" s="518">
        <f>H75+H76</f>
        <v>147792</v>
      </c>
      <c r="I74" s="518">
        <f>I75+I76</f>
        <v>254520</v>
      </c>
      <c r="J74" s="518">
        <f>J75+J76</f>
        <v>83559</v>
      </c>
      <c r="K74" s="518">
        <f>K75+K76</f>
        <v>108382</v>
      </c>
      <c r="L74" s="496"/>
      <c r="M74" s="496"/>
      <c r="N74" s="515"/>
      <c r="O74" s="515"/>
      <c r="P74" s="515"/>
      <c r="Q74" s="515"/>
      <c r="R74" s="516"/>
      <c r="S74" s="515"/>
      <c r="T74" s="517"/>
      <c r="U74" s="517"/>
      <c r="V74" s="330"/>
      <c r="W74" s="330"/>
      <c r="X74" s="330"/>
      <c r="Y74" s="330"/>
      <c r="Z74" s="515"/>
      <c r="AA74" s="330"/>
      <c r="AC74" s="477"/>
      <c r="AD74" s="478"/>
      <c r="AE74" s="478"/>
      <c r="AF74" s="478"/>
    </row>
    <row r="75" spans="1:32" ht="22.5" customHeight="1" x14ac:dyDescent="0.2">
      <c r="A75" s="617" t="s">
        <v>146</v>
      </c>
      <c r="B75" s="97" t="s">
        <v>302</v>
      </c>
      <c r="C75" s="444">
        <f t="shared" ref="C75:C121" si="36">H75+J75</f>
        <v>23810</v>
      </c>
      <c r="D75" s="492"/>
      <c r="E75" s="492">
        <f>I75</f>
        <v>23780</v>
      </c>
      <c r="F75" s="492"/>
      <c r="G75" s="601">
        <f t="shared" si="32"/>
        <v>99.874002519949599</v>
      </c>
      <c r="H75" s="518">
        <v>23810</v>
      </c>
      <c r="I75" s="518">
        <f>260+1200+150+11300+10500+370</f>
        <v>23780</v>
      </c>
      <c r="J75" s="492"/>
      <c r="K75" s="496"/>
      <c r="L75" s="496"/>
      <c r="M75" s="496"/>
      <c r="N75" s="515"/>
      <c r="O75" s="515"/>
      <c r="P75" s="515"/>
      <c r="Q75" s="515"/>
      <c r="R75" s="516"/>
      <c r="S75" s="515"/>
      <c r="T75" s="517"/>
      <c r="U75" s="517"/>
      <c r="V75" s="330"/>
      <c r="W75" s="330"/>
      <c r="X75" s="330"/>
      <c r="Y75" s="330"/>
      <c r="Z75" s="515"/>
      <c r="AA75" s="330"/>
      <c r="AC75" s="477"/>
      <c r="AD75" s="478"/>
      <c r="AE75" s="478"/>
      <c r="AF75" s="478"/>
    </row>
    <row r="76" spans="1:32" ht="22.5" customHeight="1" x14ac:dyDescent="0.2">
      <c r="A76" s="617" t="s">
        <v>147</v>
      </c>
      <c r="B76" s="97" t="s">
        <v>111</v>
      </c>
      <c r="C76" s="518">
        <f t="shared" ref="C76:F76" si="37">SUM(C77:C102)+SUM(C120:C121)</f>
        <v>207541</v>
      </c>
      <c r="D76" s="518">
        <f t="shared" si="37"/>
        <v>0</v>
      </c>
      <c r="E76" s="518">
        <f>SUM(E77:E102)+SUM(E110:E121)</f>
        <v>339122</v>
      </c>
      <c r="F76" s="518">
        <f t="shared" si="37"/>
        <v>0</v>
      </c>
      <c r="G76" s="601">
        <f t="shared" si="32"/>
        <v>163.40000289099504</v>
      </c>
      <c r="H76" s="518">
        <f>SUM(H77:H102)+SUM(H120:H121)</f>
        <v>123982</v>
      </c>
      <c r="I76" s="518">
        <f>SUM(I77:I102)+SUM(I120:I121)+SUM(I110:I119)</f>
        <v>230740</v>
      </c>
      <c r="J76" s="518">
        <f>SUM(J77:J102)+SUM(J120:J121)+SUM(J110:J119)</f>
        <v>83559</v>
      </c>
      <c r="K76" s="518">
        <f>SUM(K77:K102)+SUM(K120:K121)+SUM(K110:K119)</f>
        <v>108382</v>
      </c>
      <c r="L76" s="496"/>
      <c r="M76" s="496"/>
      <c r="N76" s="515"/>
      <c r="O76" s="515"/>
      <c r="P76" s="515"/>
      <c r="Q76" s="515"/>
      <c r="R76" s="516"/>
      <c r="S76" s="515"/>
      <c r="T76" s="517"/>
      <c r="U76" s="517"/>
      <c r="V76" s="330"/>
      <c r="W76" s="330"/>
      <c r="X76" s="330"/>
      <c r="Y76" s="330"/>
      <c r="Z76" s="515"/>
      <c r="AA76" s="330"/>
      <c r="AC76" s="477"/>
      <c r="AD76" s="478"/>
      <c r="AE76" s="478"/>
      <c r="AF76" s="478"/>
    </row>
    <row r="77" spans="1:32" ht="21.75" customHeight="1" x14ac:dyDescent="0.2">
      <c r="A77" s="621" t="s">
        <v>288</v>
      </c>
      <c r="B77" s="337" t="s">
        <v>1270</v>
      </c>
      <c r="C77" s="258">
        <f t="shared" si="36"/>
        <v>470</v>
      </c>
      <c r="D77" s="492"/>
      <c r="E77" s="258">
        <f>I77+K77</f>
        <v>470</v>
      </c>
      <c r="F77" s="492"/>
      <c r="G77" s="507">
        <f t="shared" si="32"/>
        <v>100</v>
      </c>
      <c r="H77" s="519">
        <v>470</v>
      </c>
      <c r="I77" s="519">
        <v>470</v>
      </c>
      <c r="J77" s="492"/>
      <c r="K77" s="496"/>
      <c r="L77" s="496"/>
      <c r="M77" s="496"/>
      <c r="N77" s="515"/>
      <c r="O77" s="515"/>
      <c r="P77" s="515"/>
      <c r="Q77" s="515"/>
      <c r="R77" s="516"/>
      <c r="S77" s="515"/>
      <c r="T77" s="517"/>
      <c r="U77" s="517"/>
      <c r="V77" s="330"/>
      <c r="W77" s="330"/>
      <c r="X77" s="330"/>
      <c r="Y77" s="330"/>
      <c r="Z77" s="515"/>
      <c r="AA77" s="330"/>
      <c r="AC77" s="477"/>
      <c r="AD77" s="478"/>
      <c r="AE77" s="478"/>
      <c r="AF77" s="478"/>
    </row>
    <row r="78" spans="1:32" ht="21.75" customHeight="1" x14ac:dyDescent="0.2">
      <c r="A78" s="621" t="s">
        <v>288</v>
      </c>
      <c r="B78" s="337" t="s">
        <v>199</v>
      </c>
      <c r="C78" s="258">
        <f t="shared" si="36"/>
        <v>90</v>
      </c>
      <c r="D78" s="492"/>
      <c r="E78" s="258">
        <f t="shared" ref="E78:E121" si="38">I78+K78</f>
        <v>90</v>
      </c>
      <c r="F78" s="492"/>
      <c r="G78" s="507">
        <f t="shared" si="32"/>
        <v>100</v>
      </c>
      <c r="H78" s="519">
        <v>90</v>
      </c>
      <c r="I78" s="519">
        <v>90</v>
      </c>
      <c r="J78" s="492"/>
      <c r="K78" s="496"/>
      <c r="L78" s="496"/>
      <c r="M78" s="496"/>
      <c r="N78" s="515"/>
      <c r="O78" s="515"/>
      <c r="P78" s="515"/>
      <c r="Q78" s="515"/>
      <c r="R78" s="516"/>
      <c r="S78" s="515"/>
      <c r="T78" s="517"/>
      <c r="U78" s="517"/>
      <c r="V78" s="330"/>
      <c r="W78" s="330"/>
      <c r="X78" s="330"/>
      <c r="Y78" s="330"/>
      <c r="Z78" s="515"/>
      <c r="AA78" s="330"/>
      <c r="AC78" s="477"/>
      <c r="AD78" s="478"/>
      <c r="AE78" s="478"/>
      <c r="AF78" s="478"/>
    </row>
    <row r="79" spans="1:32" ht="21.75" customHeight="1" x14ac:dyDescent="0.2">
      <c r="A79" s="621" t="s">
        <v>288</v>
      </c>
      <c r="B79" s="337" t="s">
        <v>1263</v>
      </c>
      <c r="C79" s="258">
        <f t="shared" si="36"/>
        <v>600</v>
      </c>
      <c r="D79" s="492"/>
      <c r="E79" s="258">
        <f t="shared" si="38"/>
        <v>1750</v>
      </c>
      <c r="F79" s="492"/>
      <c r="G79" s="507">
        <f t="shared" si="32"/>
        <v>291.66666666666663</v>
      </c>
      <c r="H79" s="519">
        <v>600</v>
      </c>
      <c r="I79" s="519">
        <v>1750</v>
      </c>
      <c r="J79" s="492"/>
      <c r="K79" s="496"/>
      <c r="L79" s="496"/>
      <c r="M79" s="496"/>
      <c r="N79" s="515"/>
      <c r="O79" s="515"/>
      <c r="P79" s="515"/>
      <c r="Q79" s="515"/>
      <c r="R79" s="516"/>
      <c r="S79" s="515"/>
      <c r="T79" s="517"/>
      <c r="U79" s="517"/>
      <c r="V79" s="330"/>
      <c r="W79" s="330"/>
      <c r="X79" s="330"/>
      <c r="Y79" s="330"/>
      <c r="Z79" s="515"/>
      <c r="AA79" s="330"/>
      <c r="AC79" s="477"/>
      <c r="AD79" s="478"/>
      <c r="AE79" s="478"/>
      <c r="AF79" s="478"/>
    </row>
    <row r="80" spans="1:32" ht="26.25" customHeight="1" x14ac:dyDescent="0.2">
      <c r="A80" s="621" t="s">
        <v>288</v>
      </c>
      <c r="B80" s="337" t="s">
        <v>1271</v>
      </c>
      <c r="C80" s="258">
        <f t="shared" si="36"/>
        <v>500</v>
      </c>
      <c r="D80" s="492"/>
      <c r="E80" s="258">
        <f t="shared" si="38"/>
        <v>250</v>
      </c>
      <c r="F80" s="492"/>
      <c r="G80" s="507">
        <f t="shared" si="32"/>
        <v>50</v>
      </c>
      <c r="H80" s="519">
        <v>500</v>
      </c>
      <c r="I80" s="519">
        <v>250</v>
      </c>
      <c r="J80" s="492"/>
      <c r="K80" s="496"/>
      <c r="L80" s="496"/>
      <c r="M80" s="496"/>
      <c r="N80" s="515"/>
      <c r="O80" s="515"/>
      <c r="P80" s="515"/>
      <c r="Q80" s="515"/>
      <c r="R80" s="516"/>
      <c r="S80" s="515"/>
      <c r="T80" s="517"/>
      <c r="U80" s="517"/>
      <c r="V80" s="330"/>
      <c r="W80" s="330"/>
      <c r="X80" s="330"/>
      <c r="Y80" s="330"/>
      <c r="Z80" s="515"/>
      <c r="AA80" s="330"/>
      <c r="AC80" s="477"/>
      <c r="AD80" s="478"/>
      <c r="AE80" s="478"/>
      <c r="AF80" s="478"/>
    </row>
    <row r="81" spans="1:32" ht="21.75" customHeight="1" x14ac:dyDescent="0.2">
      <c r="A81" s="621" t="s">
        <v>288</v>
      </c>
      <c r="B81" s="337" t="s">
        <v>1272</v>
      </c>
      <c r="C81" s="258">
        <f t="shared" si="36"/>
        <v>431</v>
      </c>
      <c r="D81" s="492"/>
      <c r="E81" s="258">
        <f t="shared" si="38"/>
        <v>431</v>
      </c>
      <c r="F81" s="492"/>
      <c r="G81" s="507">
        <f t="shared" si="32"/>
        <v>100</v>
      </c>
      <c r="H81" s="519">
        <v>431</v>
      </c>
      <c r="I81" s="519">
        <v>431</v>
      </c>
      <c r="J81" s="492"/>
      <c r="K81" s="496"/>
      <c r="L81" s="496"/>
      <c r="M81" s="496"/>
      <c r="N81" s="515"/>
      <c r="O81" s="515"/>
      <c r="P81" s="515"/>
      <c r="Q81" s="515"/>
      <c r="R81" s="516"/>
      <c r="S81" s="515"/>
      <c r="T81" s="517"/>
      <c r="U81" s="517"/>
      <c r="V81" s="330"/>
      <c r="W81" s="330"/>
      <c r="X81" s="330"/>
      <c r="Y81" s="330"/>
      <c r="Z81" s="515"/>
      <c r="AA81" s="330"/>
      <c r="AC81" s="477"/>
      <c r="AD81" s="478"/>
      <c r="AE81" s="478"/>
      <c r="AF81" s="478"/>
    </row>
    <row r="82" spans="1:32" ht="27.75" customHeight="1" x14ac:dyDescent="0.2">
      <c r="A82" s="621" t="s">
        <v>288</v>
      </c>
      <c r="B82" s="337" t="s">
        <v>1273</v>
      </c>
      <c r="C82" s="258">
        <f t="shared" si="36"/>
        <v>26438</v>
      </c>
      <c r="D82" s="492"/>
      <c r="E82" s="258">
        <f t="shared" si="38"/>
        <v>28984</v>
      </c>
      <c r="F82" s="492"/>
      <c r="G82" s="507">
        <f t="shared" si="32"/>
        <v>109.63007791814812</v>
      </c>
      <c r="H82" s="519">
        <v>5235</v>
      </c>
      <c r="I82" s="519">
        <f>3822+3298</f>
        <v>7120</v>
      </c>
      <c r="J82" s="258">
        <v>21203</v>
      </c>
      <c r="K82" s="496">
        <v>21864</v>
      </c>
      <c r="L82" s="496"/>
      <c r="M82" s="496"/>
      <c r="N82" s="515"/>
      <c r="O82" s="515"/>
      <c r="P82" s="515"/>
      <c r="Q82" s="515"/>
      <c r="R82" s="516"/>
      <c r="S82" s="515"/>
      <c r="T82" s="517"/>
      <c r="U82" s="517"/>
      <c r="V82" s="330"/>
      <c r="W82" s="330"/>
      <c r="X82" s="330"/>
      <c r="Y82" s="330"/>
      <c r="Z82" s="515"/>
      <c r="AA82" s="330"/>
      <c r="AC82" s="477"/>
      <c r="AD82" s="478"/>
      <c r="AE82" s="478"/>
      <c r="AF82" s="478"/>
    </row>
    <row r="83" spans="1:32" ht="27.75" customHeight="1" x14ac:dyDescent="0.2">
      <c r="A83" s="621" t="s">
        <v>288</v>
      </c>
      <c r="B83" s="337" t="s">
        <v>1264</v>
      </c>
      <c r="C83" s="258">
        <f t="shared" si="36"/>
        <v>6965</v>
      </c>
      <c r="D83" s="492"/>
      <c r="E83" s="258">
        <f t="shared" si="38"/>
        <v>15348</v>
      </c>
      <c r="F83" s="492"/>
      <c r="G83" s="507">
        <f t="shared" si="32"/>
        <v>220.35893754486716</v>
      </c>
      <c r="H83" s="519">
        <v>6</v>
      </c>
      <c r="I83" s="519">
        <v>632</v>
      </c>
      <c r="J83" s="258">
        <v>6959</v>
      </c>
      <c r="K83" s="496">
        <v>14716</v>
      </c>
      <c r="L83" s="496"/>
      <c r="M83" s="496"/>
      <c r="N83" s="515"/>
      <c r="O83" s="515"/>
      <c r="P83" s="515"/>
      <c r="Q83" s="515"/>
      <c r="R83" s="516"/>
      <c r="S83" s="515"/>
      <c r="T83" s="517"/>
      <c r="U83" s="517"/>
      <c r="V83" s="330"/>
      <c r="W83" s="330"/>
      <c r="X83" s="330"/>
      <c r="Y83" s="330"/>
      <c r="Z83" s="515"/>
      <c r="AA83" s="330"/>
      <c r="AC83" s="477"/>
      <c r="AD83" s="478"/>
      <c r="AE83" s="478"/>
      <c r="AF83" s="478"/>
    </row>
    <row r="84" spans="1:32" ht="27.75" customHeight="1" x14ac:dyDescent="0.2">
      <c r="A84" s="621" t="s">
        <v>288</v>
      </c>
      <c r="B84" s="337" t="s">
        <v>1274</v>
      </c>
      <c r="C84" s="258">
        <f t="shared" si="36"/>
        <v>1540</v>
      </c>
      <c r="D84" s="492"/>
      <c r="E84" s="258">
        <f t="shared" si="38"/>
        <v>0</v>
      </c>
      <c r="F84" s="492"/>
      <c r="G84" s="507">
        <f t="shared" si="32"/>
        <v>0</v>
      </c>
      <c r="H84" s="613"/>
      <c r="I84" s="613"/>
      <c r="J84" s="258">
        <v>1540</v>
      </c>
      <c r="K84" s="496"/>
      <c r="L84" s="496"/>
      <c r="M84" s="496"/>
      <c r="N84" s="515"/>
      <c r="O84" s="515"/>
      <c r="P84" s="515"/>
      <c r="Q84" s="515"/>
      <c r="R84" s="516"/>
      <c r="S84" s="515"/>
      <c r="T84" s="517"/>
      <c r="U84" s="517"/>
      <c r="V84" s="330"/>
      <c r="W84" s="330"/>
      <c r="X84" s="330"/>
      <c r="Y84" s="330"/>
      <c r="Z84" s="515"/>
      <c r="AA84" s="330"/>
      <c r="AC84" s="477"/>
      <c r="AD84" s="478"/>
      <c r="AE84" s="478"/>
      <c r="AF84" s="478"/>
    </row>
    <row r="85" spans="1:32" ht="27.75" customHeight="1" x14ac:dyDescent="0.2">
      <c r="A85" s="621" t="s">
        <v>288</v>
      </c>
      <c r="B85" s="337" t="s">
        <v>539</v>
      </c>
      <c r="C85" s="258">
        <f t="shared" si="36"/>
        <v>1988</v>
      </c>
      <c r="D85" s="492"/>
      <c r="E85" s="258">
        <f t="shared" si="38"/>
        <v>1988</v>
      </c>
      <c r="F85" s="492"/>
      <c r="G85" s="507">
        <f t="shared" si="32"/>
        <v>100</v>
      </c>
      <c r="H85" s="519">
        <v>1988</v>
      </c>
      <c r="I85" s="519">
        <v>1988</v>
      </c>
      <c r="J85" s="258"/>
      <c r="K85" s="496"/>
      <c r="L85" s="496"/>
      <c r="M85" s="496"/>
      <c r="N85" s="515"/>
      <c r="O85" s="515"/>
      <c r="P85" s="515"/>
      <c r="Q85" s="515"/>
      <c r="R85" s="516"/>
      <c r="S85" s="515"/>
      <c r="T85" s="517"/>
      <c r="U85" s="517"/>
      <c r="V85" s="330"/>
      <c r="W85" s="330"/>
      <c r="X85" s="330"/>
      <c r="Y85" s="330"/>
      <c r="Z85" s="515"/>
      <c r="AA85" s="330"/>
      <c r="AC85" s="477"/>
      <c r="AD85" s="478"/>
      <c r="AE85" s="478"/>
      <c r="AF85" s="478"/>
    </row>
    <row r="86" spans="1:32" ht="27.75" customHeight="1" x14ac:dyDescent="0.2">
      <c r="A86" s="621" t="s">
        <v>288</v>
      </c>
      <c r="B86" s="520" t="s">
        <v>540</v>
      </c>
      <c r="C86" s="258">
        <f t="shared" si="36"/>
        <v>2410</v>
      </c>
      <c r="D86" s="492"/>
      <c r="E86" s="258">
        <f t="shared" si="38"/>
        <v>2743</v>
      </c>
      <c r="F86" s="492"/>
      <c r="G86" s="507">
        <f t="shared" si="32"/>
        <v>113.81742738589212</v>
      </c>
      <c r="H86" s="519">
        <v>223</v>
      </c>
      <c r="I86" s="519">
        <v>223</v>
      </c>
      <c r="J86" s="258">
        <v>2187</v>
      </c>
      <c r="K86" s="496">
        <v>2520</v>
      </c>
      <c r="L86" s="496"/>
      <c r="M86" s="496"/>
      <c r="N86" s="515"/>
      <c r="O86" s="515"/>
      <c r="P86" s="515"/>
      <c r="Q86" s="515"/>
      <c r="R86" s="516"/>
      <c r="S86" s="515"/>
      <c r="T86" s="517"/>
      <c r="U86" s="517"/>
      <c r="V86" s="330"/>
      <c r="W86" s="330"/>
      <c r="X86" s="330"/>
      <c r="Y86" s="330"/>
      <c r="Z86" s="515"/>
      <c r="AA86" s="330"/>
      <c r="AC86" s="477"/>
      <c r="AD86" s="478"/>
      <c r="AE86" s="478"/>
      <c r="AF86" s="478"/>
    </row>
    <row r="87" spans="1:32" ht="27.75" customHeight="1" x14ac:dyDescent="0.2">
      <c r="A87" s="621" t="s">
        <v>288</v>
      </c>
      <c r="B87" s="337" t="s">
        <v>1265</v>
      </c>
      <c r="C87" s="258">
        <f t="shared" si="36"/>
        <v>5116</v>
      </c>
      <c r="D87" s="492"/>
      <c r="E87" s="258">
        <f t="shared" si="38"/>
        <v>5259</v>
      </c>
      <c r="F87" s="492"/>
      <c r="G87" s="507">
        <f t="shared" si="32"/>
        <v>102.79515246286162</v>
      </c>
      <c r="H87" s="519">
        <v>5116</v>
      </c>
      <c r="I87" s="519">
        <f>1809+3450</f>
        <v>5259</v>
      </c>
      <c r="J87" s="492"/>
      <c r="K87" s="496"/>
      <c r="L87" s="496"/>
      <c r="M87" s="496"/>
      <c r="N87" s="515"/>
      <c r="O87" s="515"/>
      <c r="P87" s="515"/>
      <c r="Q87" s="515"/>
      <c r="R87" s="516"/>
      <c r="S87" s="515"/>
      <c r="T87" s="517"/>
      <c r="U87" s="517"/>
      <c r="V87" s="330"/>
      <c r="W87" s="330"/>
      <c r="X87" s="330"/>
      <c r="Y87" s="330"/>
      <c r="Z87" s="515"/>
      <c r="AA87" s="330"/>
      <c r="AC87" s="477"/>
      <c r="AD87" s="478"/>
      <c r="AE87" s="478"/>
      <c r="AF87" s="478"/>
    </row>
    <row r="88" spans="1:32" ht="27.75" customHeight="1" x14ac:dyDescent="0.2">
      <c r="A88" s="621" t="s">
        <v>288</v>
      </c>
      <c r="B88" s="337" t="s">
        <v>542</v>
      </c>
      <c r="C88" s="258">
        <f t="shared" si="36"/>
        <v>2990</v>
      </c>
      <c r="D88" s="492"/>
      <c r="E88" s="258">
        <f t="shared" si="38"/>
        <v>2779</v>
      </c>
      <c r="F88" s="492"/>
      <c r="G88" s="507">
        <f t="shared" si="32"/>
        <v>92.943143812709025</v>
      </c>
      <c r="H88" s="519">
        <v>2990</v>
      </c>
      <c r="I88" s="519">
        <v>2779</v>
      </c>
      <c r="J88" s="492"/>
      <c r="K88" s="496"/>
      <c r="L88" s="496"/>
      <c r="M88" s="496"/>
      <c r="N88" s="515"/>
      <c r="O88" s="515"/>
      <c r="P88" s="515"/>
      <c r="Q88" s="515"/>
      <c r="R88" s="516"/>
      <c r="S88" s="515"/>
      <c r="T88" s="517"/>
      <c r="U88" s="517"/>
      <c r="V88" s="330"/>
      <c r="W88" s="330"/>
      <c r="X88" s="330"/>
      <c r="Y88" s="330"/>
      <c r="Z88" s="515"/>
      <c r="AA88" s="330"/>
      <c r="AC88" s="477"/>
      <c r="AD88" s="478"/>
      <c r="AE88" s="478"/>
      <c r="AF88" s="478"/>
    </row>
    <row r="89" spans="1:32" ht="39" customHeight="1" x14ac:dyDescent="0.2">
      <c r="A89" s="621" t="s">
        <v>288</v>
      </c>
      <c r="B89" s="337" t="s">
        <v>543</v>
      </c>
      <c r="C89" s="258">
        <f t="shared" si="36"/>
        <v>44742</v>
      </c>
      <c r="D89" s="492"/>
      <c r="E89" s="258">
        <f t="shared" si="38"/>
        <v>80882</v>
      </c>
      <c r="F89" s="492"/>
      <c r="G89" s="507">
        <f t="shared" si="32"/>
        <v>180.77421661973091</v>
      </c>
      <c r="H89" s="519">
        <v>44742</v>
      </c>
      <c r="I89" s="519">
        <f>H89+36140</f>
        <v>80882</v>
      </c>
      <c r="J89" s="492"/>
      <c r="K89" s="496"/>
      <c r="L89" s="496"/>
      <c r="M89" s="496"/>
      <c r="N89" s="515"/>
      <c r="O89" s="515"/>
      <c r="P89" s="515"/>
      <c r="Q89" s="515"/>
      <c r="R89" s="516"/>
      <c r="S89" s="515"/>
      <c r="T89" s="517"/>
      <c r="U89" s="517"/>
      <c r="V89" s="330"/>
      <c r="W89" s="330"/>
      <c r="X89" s="330"/>
      <c r="Y89" s="330"/>
      <c r="Z89" s="515"/>
      <c r="AA89" s="330"/>
      <c r="AC89" s="477"/>
      <c r="AD89" s="478"/>
      <c r="AE89" s="478"/>
      <c r="AF89" s="478"/>
    </row>
    <row r="90" spans="1:32" ht="27.75" customHeight="1" x14ac:dyDescent="0.2">
      <c r="A90" s="621" t="s">
        <v>288</v>
      </c>
      <c r="B90" s="337" t="s">
        <v>544</v>
      </c>
      <c r="C90" s="258">
        <f t="shared" si="36"/>
        <v>4105</v>
      </c>
      <c r="D90" s="492"/>
      <c r="E90" s="258">
        <f t="shared" si="38"/>
        <v>4105</v>
      </c>
      <c r="F90" s="492"/>
      <c r="G90" s="507">
        <f t="shared" si="32"/>
        <v>100</v>
      </c>
      <c r="H90" s="519">
        <v>4105</v>
      </c>
      <c r="I90" s="519">
        <f t="shared" ref="I90:I93" si="39">H90</f>
        <v>4105</v>
      </c>
      <c r="J90" s="492"/>
      <c r="K90" s="496"/>
      <c r="L90" s="496"/>
      <c r="M90" s="496"/>
      <c r="N90" s="515"/>
      <c r="O90" s="515"/>
      <c r="P90" s="515"/>
      <c r="Q90" s="515"/>
      <c r="R90" s="516"/>
      <c r="S90" s="515"/>
      <c r="T90" s="517"/>
      <c r="U90" s="517"/>
      <c r="V90" s="330"/>
      <c r="W90" s="330"/>
      <c r="X90" s="330"/>
      <c r="Y90" s="330"/>
      <c r="Z90" s="515"/>
      <c r="AA90" s="330"/>
      <c r="AC90" s="477"/>
      <c r="AD90" s="478"/>
      <c r="AE90" s="478"/>
      <c r="AF90" s="478"/>
    </row>
    <row r="91" spans="1:32" ht="27.75" customHeight="1" x14ac:dyDescent="0.2">
      <c r="A91" s="621" t="s">
        <v>288</v>
      </c>
      <c r="B91" s="337" t="s">
        <v>545</v>
      </c>
      <c r="C91" s="258">
        <f t="shared" si="36"/>
        <v>108</v>
      </c>
      <c r="D91" s="492"/>
      <c r="E91" s="258">
        <f t="shared" si="38"/>
        <v>108</v>
      </c>
      <c r="F91" s="492"/>
      <c r="G91" s="507">
        <f t="shared" si="32"/>
        <v>100</v>
      </c>
      <c r="H91" s="519">
        <v>108</v>
      </c>
      <c r="I91" s="519">
        <f t="shared" si="39"/>
        <v>108</v>
      </c>
      <c r="J91" s="492"/>
      <c r="K91" s="496"/>
      <c r="L91" s="496"/>
      <c r="M91" s="496"/>
      <c r="N91" s="515"/>
      <c r="O91" s="515"/>
      <c r="P91" s="515"/>
      <c r="Q91" s="515"/>
      <c r="R91" s="516"/>
      <c r="S91" s="515"/>
      <c r="T91" s="517"/>
      <c r="U91" s="517"/>
      <c r="V91" s="330"/>
      <c r="W91" s="330"/>
      <c r="X91" s="330"/>
      <c r="Y91" s="330"/>
      <c r="Z91" s="515"/>
      <c r="AA91" s="330"/>
      <c r="AC91" s="477"/>
      <c r="AD91" s="478"/>
      <c r="AE91" s="478"/>
      <c r="AF91" s="478"/>
    </row>
    <row r="92" spans="1:32" ht="27.75" customHeight="1" x14ac:dyDescent="0.2">
      <c r="A92" s="621" t="s">
        <v>288</v>
      </c>
      <c r="B92" s="337" t="s">
        <v>546</v>
      </c>
      <c r="C92" s="258">
        <f t="shared" si="36"/>
        <v>183</v>
      </c>
      <c r="D92" s="492"/>
      <c r="E92" s="258">
        <f t="shared" si="38"/>
        <v>183</v>
      </c>
      <c r="F92" s="492"/>
      <c r="G92" s="507">
        <f t="shared" si="32"/>
        <v>100</v>
      </c>
      <c r="H92" s="519">
        <v>183</v>
      </c>
      <c r="I92" s="519">
        <f t="shared" si="39"/>
        <v>183</v>
      </c>
      <c r="J92" s="492"/>
      <c r="K92" s="496"/>
      <c r="L92" s="496"/>
      <c r="M92" s="496"/>
      <c r="N92" s="515"/>
      <c r="O92" s="515"/>
      <c r="P92" s="515"/>
      <c r="Q92" s="515"/>
      <c r="R92" s="516"/>
      <c r="S92" s="515"/>
      <c r="T92" s="517"/>
      <c r="U92" s="517"/>
      <c r="V92" s="330"/>
      <c r="W92" s="330"/>
      <c r="X92" s="330"/>
      <c r="Y92" s="330"/>
      <c r="Z92" s="515"/>
      <c r="AA92" s="330"/>
      <c r="AC92" s="477"/>
      <c r="AD92" s="478"/>
      <c r="AE92" s="478"/>
      <c r="AF92" s="478"/>
    </row>
    <row r="93" spans="1:32" ht="27.75" customHeight="1" x14ac:dyDescent="0.2">
      <c r="A93" s="621" t="s">
        <v>288</v>
      </c>
      <c r="B93" s="337" t="s">
        <v>547</v>
      </c>
      <c r="C93" s="258">
        <f t="shared" si="36"/>
        <v>2006</v>
      </c>
      <c r="D93" s="492"/>
      <c r="E93" s="258">
        <f t="shared" si="38"/>
        <v>2006</v>
      </c>
      <c r="F93" s="492"/>
      <c r="G93" s="507">
        <f t="shared" si="32"/>
        <v>100</v>
      </c>
      <c r="H93" s="519">
        <v>2006</v>
      </c>
      <c r="I93" s="519">
        <f t="shared" si="39"/>
        <v>2006</v>
      </c>
      <c r="J93" s="492"/>
      <c r="K93" s="496"/>
      <c r="L93" s="496"/>
      <c r="M93" s="496"/>
      <c r="N93" s="515"/>
      <c r="O93" s="515"/>
      <c r="P93" s="515"/>
      <c r="Q93" s="515"/>
      <c r="R93" s="516"/>
      <c r="S93" s="515"/>
      <c r="T93" s="517"/>
      <c r="U93" s="517"/>
      <c r="V93" s="330"/>
      <c r="W93" s="330"/>
      <c r="X93" s="330"/>
      <c r="Y93" s="330"/>
      <c r="Z93" s="515"/>
      <c r="AA93" s="330"/>
      <c r="AC93" s="477"/>
      <c r="AD93" s="478"/>
      <c r="AE93" s="478"/>
      <c r="AF93" s="478"/>
    </row>
    <row r="94" spans="1:32" ht="21.75" customHeight="1" x14ac:dyDescent="0.2">
      <c r="A94" s="621" t="s">
        <v>288</v>
      </c>
      <c r="B94" s="521" t="s">
        <v>1275</v>
      </c>
      <c r="C94" s="258">
        <f t="shared" si="36"/>
        <v>13663</v>
      </c>
      <c r="D94" s="492"/>
      <c r="E94" s="258">
        <f t="shared" si="38"/>
        <v>17041</v>
      </c>
      <c r="F94" s="492"/>
      <c r="G94" s="507">
        <f t="shared" si="32"/>
        <v>124.72370636024299</v>
      </c>
      <c r="H94" s="519">
        <v>417</v>
      </c>
      <c r="I94" s="519">
        <v>417</v>
      </c>
      <c r="J94" s="258">
        <v>13246</v>
      </c>
      <c r="K94" s="496">
        <v>16624</v>
      </c>
      <c r="L94" s="496"/>
      <c r="M94" s="496"/>
      <c r="N94" s="515"/>
      <c r="O94" s="515"/>
      <c r="P94" s="515"/>
      <c r="Q94" s="515"/>
      <c r="R94" s="516"/>
      <c r="S94" s="515"/>
      <c r="T94" s="517"/>
      <c r="U94" s="517"/>
      <c r="V94" s="330"/>
      <c r="W94" s="330"/>
      <c r="X94" s="330"/>
      <c r="Y94" s="330"/>
      <c r="Z94" s="515"/>
      <c r="AA94" s="330"/>
      <c r="AC94" s="477"/>
      <c r="AD94" s="478"/>
      <c r="AE94" s="478"/>
      <c r="AF94" s="478"/>
    </row>
    <row r="95" spans="1:32" ht="27.75" customHeight="1" x14ac:dyDescent="0.2">
      <c r="A95" s="621" t="s">
        <v>288</v>
      </c>
      <c r="B95" s="334" t="s">
        <v>549</v>
      </c>
      <c r="C95" s="258">
        <f t="shared" si="36"/>
        <v>12796</v>
      </c>
      <c r="D95" s="492"/>
      <c r="E95" s="258">
        <f t="shared" si="38"/>
        <v>14669</v>
      </c>
      <c r="F95" s="492"/>
      <c r="G95" s="507">
        <f t="shared" si="32"/>
        <v>114.63738668333853</v>
      </c>
      <c r="H95" s="519"/>
      <c r="I95" s="519"/>
      <c r="J95" s="258">
        <v>12796</v>
      </c>
      <c r="K95" s="496">
        <f>11851+2818</f>
        <v>14669</v>
      </c>
      <c r="L95" s="496"/>
      <c r="M95" s="496"/>
      <c r="N95" s="515"/>
      <c r="O95" s="515"/>
      <c r="P95" s="515"/>
      <c r="Q95" s="515"/>
      <c r="R95" s="516"/>
      <c r="S95" s="515"/>
      <c r="T95" s="517"/>
      <c r="U95" s="517"/>
      <c r="V95" s="330"/>
      <c r="W95" s="330"/>
      <c r="X95" s="330"/>
      <c r="Y95" s="330"/>
      <c r="Z95" s="515"/>
      <c r="AA95" s="330"/>
      <c r="AC95" s="477"/>
      <c r="AD95" s="478"/>
      <c r="AE95" s="478"/>
      <c r="AF95" s="478"/>
    </row>
    <row r="96" spans="1:32" ht="27.75" customHeight="1" x14ac:dyDescent="0.2">
      <c r="A96" s="621" t="s">
        <v>288</v>
      </c>
      <c r="B96" s="334" t="s">
        <v>550</v>
      </c>
      <c r="C96" s="258">
        <f t="shared" si="36"/>
        <v>2490</v>
      </c>
      <c r="D96" s="492"/>
      <c r="E96" s="258">
        <f t="shared" si="38"/>
        <v>3178</v>
      </c>
      <c r="F96" s="492"/>
      <c r="G96" s="507">
        <f t="shared" si="32"/>
        <v>127.63052208835342</v>
      </c>
      <c r="H96" s="519">
        <v>1543</v>
      </c>
      <c r="I96" s="519">
        <v>2222</v>
      </c>
      <c r="J96" s="258">
        <v>947</v>
      </c>
      <c r="K96" s="496">
        <v>956</v>
      </c>
      <c r="L96" s="496"/>
      <c r="M96" s="496"/>
      <c r="N96" s="515"/>
      <c r="O96" s="515"/>
      <c r="P96" s="515"/>
      <c r="Q96" s="515"/>
      <c r="R96" s="516"/>
      <c r="S96" s="515"/>
      <c r="T96" s="517"/>
      <c r="U96" s="517"/>
      <c r="V96" s="330"/>
      <c r="W96" s="330"/>
      <c r="X96" s="330"/>
      <c r="Y96" s="330"/>
      <c r="Z96" s="515"/>
      <c r="AA96" s="330"/>
      <c r="AC96" s="477"/>
      <c r="AD96" s="478"/>
      <c r="AE96" s="478"/>
      <c r="AF96" s="478"/>
    </row>
    <row r="97" spans="1:32" ht="27.75" customHeight="1" x14ac:dyDescent="0.2">
      <c r="A97" s="621" t="s">
        <v>288</v>
      </c>
      <c r="B97" s="337" t="s">
        <v>551</v>
      </c>
      <c r="C97" s="258">
        <f t="shared" si="36"/>
        <v>1058</v>
      </c>
      <c r="D97" s="492"/>
      <c r="E97" s="258">
        <f t="shared" si="38"/>
        <v>1372</v>
      </c>
      <c r="F97" s="492"/>
      <c r="G97" s="507">
        <f t="shared" si="32"/>
        <v>129.67863894139887</v>
      </c>
      <c r="H97" s="519">
        <v>1058</v>
      </c>
      <c r="I97" s="519">
        <f>802+374+196</f>
        <v>1372</v>
      </c>
      <c r="J97" s="258"/>
      <c r="K97" s="496"/>
      <c r="L97" s="496"/>
      <c r="M97" s="496"/>
      <c r="N97" s="515"/>
      <c r="O97" s="515"/>
      <c r="P97" s="515"/>
      <c r="Q97" s="515"/>
      <c r="R97" s="516"/>
      <c r="S97" s="515"/>
      <c r="T97" s="517"/>
      <c r="U97" s="517"/>
      <c r="V97" s="330"/>
      <c r="W97" s="330"/>
      <c r="X97" s="330"/>
      <c r="Y97" s="330"/>
      <c r="Z97" s="515"/>
      <c r="AA97" s="330"/>
      <c r="AC97" s="477"/>
      <c r="AD97" s="478"/>
      <c r="AE97" s="478"/>
      <c r="AF97" s="478"/>
    </row>
    <row r="98" spans="1:32" ht="27.75" customHeight="1" x14ac:dyDescent="0.2">
      <c r="A98" s="621" t="s">
        <v>288</v>
      </c>
      <c r="B98" s="334" t="s">
        <v>552</v>
      </c>
      <c r="C98" s="258">
        <f t="shared" si="36"/>
        <v>150</v>
      </c>
      <c r="D98" s="492"/>
      <c r="E98" s="258">
        <f t="shared" si="38"/>
        <v>350</v>
      </c>
      <c r="F98" s="492"/>
      <c r="G98" s="507">
        <f t="shared" si="32"/>
        <v>233.33333333333334</v>
      </c>
      <c r="H98" s="519"/>
      <c r="I98" s="519"/>
      <c r="J98" s="258">
        <v>150</v>
      </c>
      <c r="K98" s="496">
        <v>350</v>
      </c>
      <c r="L98" s="496"/>
      <c r="M98" s="496"/>
      <c r="N98" s="515"/>
      <c r="O98" s="515"/>
      <c r="P98" s="515"/>
      <c r="Q98" s="515"/>
      <c r="R98" s="516"/>
      <c r="S98" s="515"/>
      <c r="T98" s="517"/>
      <c r="U98" s="517"/>
      <c r="V98" s="330"/>
      <c r="W98" s="330"/>
      <c r="X98" s="330"/>
      <c r="Y98" s="330"/>
      <c r="Z98" s="515"/>
      <c r="AA98" s="330"/>
      <c r="AC98" s="477"/>
      <c r="AD98" s="478"/>
      <c r="AE98" s="478"/>
      <c r="AF98" s="478"/>
    </row>
    <row r="99" spans="1:32" ht="44.25" customHeight="1" x14ac:dyDescent="0.2">
      <c r="A99" s="621" t="s">
        <v>288</v>
      </c>
      <c r="B99" s="334" t="s">
        <v>553</v>
      </c>
      <c r="C99" s="258">
        <f t="shared" si="36"/>
        <v>1397</v>
      </c>
      <c r="D99" s="492"/>
      <c r="E99" s="258">
        <f t="shared" si="38"/>
        <v>1199</v>
      </c>
      <c r="F99" s="492"/>
      <c r="G99" s="507">
        <f t="shared" si="32"/>
        <v>85.826771653543304</v>
      </c>
      <c r="H99" s="519">
        <v>1397</v>
      </c>
      <c r="I99" s="519">
        <f>838+361</f>
        <v>1199</v>
      </c>
      <c r="J99" s="258"/>
      <c r="K99" s="496"/>
      <c r="L99" s="496"/>
      <c r="M99" s="496"/>
      <c r="N99" s="515"/>
      <c r="O99" s="515"/>
      <c r="P99" s="515"/>
      <c r="Q99" s="515"/>
      <c r="R99" s="516"/>
      <c r="S99" s="515"/>
      <c r="T99" s="517"/>
      <c r="U99" s="517"/>
      <c r="V99" s="330"/>
      <c r="W99" s="330"/>
      <c r="X99" s="330"/>
      <c r="Y99" s="330"/>
      <c r="Z99" s="515"/>
      <c r="AA99" s="330"/>
      <c r="AC99" s="477"/>
      <c r="AD99" s="478"/>
      <c r="AE99" s="478"/>
      <c r="AF99" s="478"/>
    </row>
    <row r="100" spans="1:32" ht="38.25" customHeight="1" x14ac:dyDescent="0.2">
      <c r="A100" s="621" t="s">
        <v>288</v>
      </c>
      <c r="B100" s="334" t="s">
        <v>1276</v>
      </c>
      <c r="C100" s="258">
        <f t="shared" si="36"/>
        <v>2500</v>
      </c>
      <c r="D100" s="492"/>
      <c r="E100" s="258">
        <f t="shared" si="38"/>
        <v>2527</v>
      </c>
      <c r="F100" s="492"/>
      <c r="G100" s="507">
        <f t="shared" si="32"/>
        <v>101.08</v>
      </c>
      <c r="H100" s="519">
        <v>2500</v>
      </c>
      <c r="I100" s="519">
        <v>2527</v>
      </c>
      <c r="J100" s="258"/>
      <c r="K100" s="496"/>
      <c r="L100" s="496"/>
      <c r="M100" s="496"/>
      <c r="N100" s="515"/>
      <c r="O100" s="515"/>
      <c r="P100" s="515"/>
      <c r="Q100" s="515"/>
      <c r="R100" s="516"/>
      <c r="S100" s="515"/>
      <c r="T100" s="517"/>
      <c r="U100" s="517"/>
      <c r="V100" s="330"/>
      <c r="W100" s="330"/>
      <c r="X100" s="330"/>
      <c r="Y100" s="330"/>
      <c r="Z100" s="515"/>
      <c r="AA100" s="330"/>
      <c r="AC100" s="477"/>
      <c r="AD100" s="478"/>
      <c r="AE100" s="478"/>
      <c r="AF100" s="478"/>
    </row>
    <row r="101" spans="1:32" ht="27.75" customHeight="1" x14ac:dyDescent="0.2">
      <c r="A101" s="621" t="s">
        <v>288</v>
      </c>
      <c r="B101" s="334" t="s">
        <v>554</v>
      </c>
      <c r="C101" s="258">
        <f t="shared" si="36"/>
        <v>4110</v>
      </c>
      <c r="D101" s="492"/>
      <c r="E101" s="258">
        <f t="shared" si="38"/>
        <v>4110</v>
      </c>
      <c r="F101" s="492"/>
      <c r="G101" s="507">
        <f t="shared" si="32"/>
        <v>100</v>
      </c>
      <c r="H101" s="519">
        <v>3120</v>
      </c>
      <c r="I101" s="519">
        <v>3120</v>
      </c>
      <c r="J101" s="258">
        <v>990</v>
      </c>
      <c r="K101" s="496">
        <v>990</v>
      </c>
      <c r="L101" s="496"/>
      <c r="M101" s="496"/>
      <c r="N101" s="515"/>
      <c r="O101" s="515"/>
      <c r="P101" s="515"/>
      <c r="Q101" s="515"/>
      <c r="R101" s="516"/>
      <c r="S101" s="515"/>
      <c r="T101" s="517"/>
      <c r="U101" s="517"/>
      <c r="V101" s="330"/>
      <c r="W101" s="330"/>
      <c r="X101" s="330"/>
      <c r="Y101" s="330"/>
      <c r="Z101" s="515"/>
      <c r="AA101" s="330"/>
      <c r="AC101" s="477"/>
      <c r="AD101" s="478"/>
      <c r="AE101" s="478"/>
      <c r="AF101" s="478"/>
    </row>
    <row r="102" spans="1:32" ht="27.75" customHeight="1" x14ac:dyDescent="0.2">
      <c r="A102" s="621" t="s">
        <v>288</v>
      </c>
      <c r="B102" s="334" t="s">
        <v>555</v>
      </c>
      <c r="C102" s="258">
        <f t="shared" si="36"/>
        <v>56165</v>
      </c>
      <c r="D102" s="492"/>
      <c r="E102" s="258">
        <f t="shared" si="38"/>
        <v>79008</v>
      </c>
      <c r="F102" s="492"/>
      <c r="G102" s="507">
        <f t="shared" si="32"/>
        <v>140.67123653520878</v>
      </c>
      <c r="H102" s="519">
        <f>SUM(H103:H109)</f>
        <v>36724</v>
      </c>
      <c r="I102" s="519">
        <f>SUM(I103:I109)</f>
        <v>58702</v>
      </c>
      <c r="J102" s="519">
        <f t="shared" ref="J102:K102" si="40">SUM(J103:J109)</f>
        <v>19441</v>
      </c>
      <c r="K102" s="519">
        <f t="shared" si="40"/>
        <v>20306</v>
      </c>
      <c r="L102" s="496"/>
      <c r="M102" s="496"/>
      <c r="N102" s="515"/>
      <c r="O102" s="515"/>
      <c r="P102" s="515"/>
      <c r="Q102" s="515"/>
      <c r="R102" s="516"/>
      <c r="S102" s="515"/>
      <c r="T102" s="517"/>
      <c r="U102" s="517"/>
      <c r="V102" s="330"/>
      <c r="W102" s="330"/>
      <c r="X102" s="330"/>
      <c r="Y102" s="330"/>
      <c r="Z102" s="515"/>
      <c r="AA102" s="330"/>
      <c r="AC102" s="477"/>
      <c r="AD102" s="478"/>
      <c r="AE102" s="478"/>
      <c r="AF102" s="478"/>
    </row>
    <row r="103" spans="1:32" ht="27.75" customHeight="1" x14ac:dyDescent="0.2">
      <c r="A103" s="625" t="s">
        <v>492</v>
      </c>
      <c r="B103" s="334" t="s">
        <v>625</v>
      </c>
      <c r="C103" s="258">
        <f t="shared" si="36"/>
        <v>2630</v>
      </c>
      <c r="D103" s="492"/>
      <c r="E103" s="258">
        <f t="shared" si="38"/>
        <v>8323</v>
      </c>
      <c r="F103" s="492"/>
      <c r="G103" s="507">
        <f t="shared" si="32"/>
        <v>316.46387832699617</v>
      </c>
      <c r="H103" s="519">
        <v>2630</v>
      </c>
      <c r="I103" s="519">
        <f>1323+7000</f>
        <v>8323</v>
      </c>
      <c r="J103" s="258"/>
      <c r="K103" s="496"/>
      <c r="L103" s="496"/>
      <c r="M103" s="496"/>
      <c r="N103" s="515"/>
      <c r="O103" s="515"/>
      <c r="P103" s="515"/>
      <c r="Q103" s="515"/>
      <c r="R103" s="516"/>
      <c r="S103" s="515"/>
      <c r="T103" s="517"/>
      <c r="U103" s="517"/>
      <c r="V103" s="330"/>
      <c r="W103" s="330"/>
      <c r="X103" s="330"/>
      <c r="Y103" s="330"/>
      <c r="Z103" s="515"/>
      <c r="AA103" s="330"/>
      <c r="AC103" s="477"/>
      <c r="AD103" s="478"/>
      <c r="AE103" s="478"/>
      <c r="AF103" s="478"/>
    </row>
    <row r="104" spans="1:32" ht="27.75" customHeight="1" x14ac:dyDescent="0.2">
      <c r="A104" s="625" t="s">
        <v>492</v>
      </c>
      <c r="B104" s="334" t="s">
        <v>626</v>
      </c>
      <c r="C104" s="258">
        <f t="shared" si="36"/>
        <v>19203</v>
      </c>
      <c r="D104" s="492"/>
      <c r="E104" s="258">
        <f t="shared" si="38"/>
        <v>19713</v>
      </c>
      <c r="F104" s="492"/>
      <c r="G104" s="507">
        <f t="shared" si="32"/>
        <v>102.65583502577722</v>
      </c>
      <c r="H104" s="519">
        <v>19203</v>
      </c>
      <c r="I104" s="519">
        <f>1713+18000</f>
        <v>19713</v>
      </c>
      <c r="J104" s="258"/>
      <c r="K104" s="496"/>
      <c r="L104" s="496"/>
      <c r="M104" s="496"/>
      <c r="N104" s="515"/>
      <c r="O104" s="515"/>
      <c r="P104" s="515"/>
      <c r="Q104" s="515"/>
      <c r="R104" s="516"/>
      <c r="S104" s="515"/>
      <c r="T104" s="517"/>
      <c r="U104" s="517"/>
      <c r="V104" s="330"/>
      <c r="W104" s="330"/>
      <c r="X104" s="330"/>
      <c r="Y104" s="330"/>
      <c r="Z104" s="515"/>
      <c r="AA104" s="330"/>
      <c r="AC104" s="477"/>
      <c r="AD104" s="478"/>
      <c r="AE104" s="478"/>
      <c r="AF104" s="478"/>
    </row>
    <row r="105" spans="1:32" ht="27.75" customHeight="1" x14ac:dyDescent="0.2">
      <c r="A105" s="625" t="s">
        <v>492</v>
      </c>
      <c r="B105" s="334" t="s">
        <v>627</v>
      </c>
      <c r="C105" s="258">
        <f t="shared" si="36"/>
        <v>8239</v>
      </c>
      <c r="D105" s="492"/>
      <c r="E105" s="258">
        <f t="shared" si="38"/>
        <v>20440</v>
      </c>
      <c r="F105" s="492"/>
      <c r="G105" s="507">
        <f t="shared" si="32"/>
        <v>248.08836023789294</v>
      </c>
      <c r="H105" s="519">
        <v>8239</v>
      </c>
      <c r="I105" s="519">
        <f>19699+741</f>
        <v>20440</v>
      </c>
      <c r="J105" s="258"/>
      <c r="K105" s="496"/>
      <c r="L105" s="496"/>
      <c r="M105" s="496"/>
      <c r="N105" s="515"/>
      <c r="O105" s="515"/>
      <c r="P105" s="515"/>
      <c r="Q105" s="515"/>
      <c r="R105" s="516"/>
      <c r="S105" s="515"/>
      <c r="T105" s="517"/>
      <c r="U105" s="517"/>
      <c r="V105" s="330"/>
      <c r="W105" s="330"/>
      <c r="X105" s="330"/>
      <c r="Y105" s="330"/>
      <c r="Z105" s="515"/>
      <c r="AA105" s="330"/>
      <c r="AC105" s="477"/>
      <c r="AD105" s="478"/>
      <c r="AE105" s="478"/>
      <c r="AF105" s="478"/>
    </row>
    <row r="106" spans="1:32" ht="27.75" customHeight="1" x14ac:dyDescent="0.2">
      <c r="A106" s="625" t="s">
        <v>492</v>
      </c>
      <c r="B106" s="334" t="s">
        <v>628</v>
      </c>
      <c r="C106" s="258">
        <f t="shared" si="36"/>
        <v>1783</v>
      </c>
      <c r="D106" s="492"/>
      <c r="E106" s="258">
        <f t="shared" si="38"/>
        <v>2059</v>
      </c>
      <c r="F106" s="492"/>
      <c r="G106" s="507">
        <f t="shared" si="32"/>
        <v>115.47952888390354</v>
      </c>
      <c r="H106" s="519">
        <v>1783</v>
      </c>
      <c r="I106" s="519">
        <f>621+1438</f>
        <v>2059</v>
      </c>
      <c r="J106" s="258"/>
      <c r="K106" s="496"/>
      <c r="L106" s="496"/>
      <c r="M106" s="496"/>
      <c r="N106" s="515"/>
      <c r="O106" s="515"/>
      <c r="P106" s="515"/>
      <c r="Q106" s="515"/>
      <c r="R106" s="516"/>
      <c r="S106" s="515"/>
      <c r="T106" s="517"/>
      <c r="U106" s="517"/>
      <c r="V106" s="330"/>
      <c r="W106" s="330"/>
      <c r="X106" s="330"/>
      <c r="Y106" s="330"/>
      <c r="Z106" s="515"/>
      <c r="AA106" s="330"/>
      <c r="AC106" s="477"/>
      <c r="AD106" s="478"/>
      <c r="AE106" s="478"/>
      <c r="AF106" s="478"/>
    </row>
    <row r="107" spans="1:32" ht="27.75" customHeight="1" x14ac:dyDescent="0.2">
      <c r="A107" s="625" t="s">
        <v>492</v>
      </c>
      <c r="B107" s="334" t="s">
        <v>629</v>
      </c>
      <c r="C107" s="258">
        <f t="shared" si="36"/>
        <v>1710</v>
      </c>
      <c r="D107" s="492"/>
      <c r="E107" s="258">
        <f t="shared" si="38"/>
        <v>4260</v>
      </c>
      <c r="F107" s="492"/>
      <c r="G107" s="507">
        <f t="shared" si="32"/>
        <v>249.12280701754389</v>
      </c>
      <c r="H107" s="519">
        <v>1240</v>
      </c>
      <c r="I107" s="519">
        <v>2925</v>
      </c>
      <c r="J107" s="258">
        <v>470</v>
      </c>
      <c r="K107" s="496">
        <v>1335</v>
      </c>
      <c r="L107" s="496"/>
      <c r="M107" s="496"/>
      <c r="N107" s="515"/>
      <c r="O107" s="515"/>
      <c r="P107" s="515"/>
      <c r="Q107" s="515"/>
      <c r="R107" s="516"/>
      <c r="S107" s="515"/>
      <c r="T107" s="517"/>
      <c r="U107" s="517"/>
      <c r="V107" s="330"/>
      <c r="W107" s="330"/>
      <c r="X107" s="330"/>
      <c r="Y107" s="330"/>
      <c r="Z107" s="515"/>
      <c r="AA107" s="330"/>
      <c r="AC107" s="477"/>
      <c r="AD107" s="478"/>
      <c r="AE107" s="478"/>
      <c r="AF107" s="478"/>
    </row>
    <row r="108" spans="1:32" ht="27.75" customHeight="1" x14ac:dyDescent="0.2">
      <c r="A108" s="625" t="s">
        <v>492</v>
      </c>
      <c r="B108" s="334" t="s">
        <v>630</v>
      </c>
      <c r="C108" s="258">
        <f t="shared" si="36"/>
        <v>21600</v>
      </c>
      <c r="D108" s="492"/>
      <c r="E108" s="258">
        <f t="shared" si="38"/>
        <v>21213</v>
      </c>
      <c r="F108" s="492"/>
      <c r="G108" s="507">
        <f t="shared" si="32"/>
        <v>98.208333333333329</v>
      </c>
      <c r="H108" s="519">
        <v>2629</v>
      </c>
      <c r="I108" s="519">
        <f>1769+473</f>
        <v>2242</v>
      </c>
      <c r="J108" s="258">
        <v>18971</v>
      </c>
      <c r="K108" s="496">
        <v>18971</v>
      </c>
      <c r="L108" s="496"/>
      <c r="M108" s="496"/>
      <c r="N108" s="515"/>
      <c r="O108" s="515"/>
      <c r="P108" s="515"/>
      <c r="Q108" s="515"/>
      <c r="R108" s="516"/>
      <c r="S108" s="515"/>
      <c r="T108" s="517"/>
      <c r="U108" s="517"/>
      <c r="V108" s="330"/>
      <c r="W108" s="330"/>
      <c r="X108" s="330"/>
      <c r="Y108" s="330"/>
      <c r="Z108" s="515"/>
      <c r="AA108" s="330"/>
      <c r="AC108" s="477"/>
      <c r="AD108" s="478"/>
      <c r="AE108" s="478"/>
      <c r="AF108" s="478"/>
    </row>
    <row r="109" spans="1:32" ht="30.75" customHeight="1" x14ac:dyDescent="0.2">
      <c r="A109" s="625" t="s">
        <v>492</v>
      </c>
      <c r="B109" s="334" t="s">
        <v>631</v>
      </c>
      <c r="C109" s="258">
        <f t="shared" si="36"/>
        <v>1000</v>
      </c>
      <c r="D109" s="492"/>
      <c r="E109" s="258">
        <f t="shared" si="38"/>
        <v>3000</v>
      </c>
      <c r="F109" s="492"/>
      <c r="G109" s="507">
        <f t="shared" si="32"/>
        <v>300</v>
      </c>
      <c r="H109" s="519">
        <v>1000</v>
      </c>
      <c r="I109" s="726">
        <f>540+2460</f>
        <v>3000</v>
      </c>
      <c r="J109" s="258"/>
      <c r="K109" s="496"/>
      <c r="L109" s="496"/>
      <c r="M109" s="496"/>
      <c r="N109" s="515"/>
      <c r="O109" s="515"/>
      <c r="P109" s="515"/>
      <c r="Q109" s="515"/>
      <c r="R109" s="516"/>
      <c r="S109" s="515"/>
      <c r="T109" s="517"/>
      <c r="U109" s="517"/>
      <c r="V109" s="330"/>
      <c r="W109" s="330"/>
      <c r="X109" s="330"/>
      <c r="Y109" s="330"/>
      <c r="Z109" s="515"/>
      <c r="AA109" s="330"/>
      <c r="AC109" s="477"/>
      <c r="AD109" s="478"/>
      <c r="AE109" s="478"/>
      <c r="AF109" s="478"/>
    </row>
    <row r="110" spans="1:32" ht="33.75" customHeight="1" x14ac:dyDescent="0.2">
      <c r="A110" s="588" t="s">
        <v>288</v>
      </c>
      <c r="B110" s="536" t="s">
        <v>1412</v>
      </c>
      <c r="C110" s="258">
        <f t="shared" si="36"/>
        <v>0</v>
      </c>
      <c r="D110" s="492"/>
      <c r="E110" s="258">
        <f t="shared" si="38"/>
        <v>9420</v>
      </c>
      <c r="F110" s="492"/>
      <c r="G110" s="507"/>
      <c r="H110" s="519"/>
      <c r="I110" s="519">
        <v>7967</v>
      </c>
      <c r="J110" s="492"/>
      <c r="K110" s="496">
        <v>1453</v>
      </c>
      <c r="L110" s="496"/>
      <c r="M110" s="496"/>
      <c r="N110" s="515"/>
      <c r="O110" s="515"/>
      <c r="P110" s="515"/>
      <c r="Q110" s="515"/>
      <c r="R110" s="516"/>
      <c r="S110" s="515"/>
      <c r="T110" s="517"/>
      <c r="U110" s="517"/>
      <c r="V110" s="330"/>
      <c r="W110" s="330"/>
      <c r="X110" s="330"/>
      <c r="Y110" s="330"/>
      <c r="Z110" s="515"/>
      <c r="AA110" s="330"/>
      <c r="AC110" s="477"/>
      <c r="AD110" s="478"/>
      <c r="AE110" s="478"/>
      <c r="AF110" s="478"/>
    </row>
    <row r="111" spans="1:32" ht="41.25" customHeight="1" x14ac:dyDescent="0.2">
      <c r="A111" s="588" t="s">
        <v>288</v>
      </c>
      <c r="B111" s="536" t="s">
        <v>1407</v>
      </c>
      <c r="C111" s="258">
        <f t="shared" si="36"/>
        <v>0</v>
      </c>
      <c r="D111" s="492"/>
      <c r="E111" s="258">
        <f t="shared" si="38"/>
        <v>560</v>
      </c>
      <c r="F111" s="492"/>
      <c r="G111" s="507"/>
      <c r="H111" s="519"/>
      <c r="I111" s="519">
        <v>560</v>
      </c>
      <c r="J111" s="492"/>
      <c r="K111" s="496"/>
      <c r="L111" s="496"/>
      <c r="M111" s="496"/>
      <c r="N111" s="515"/>
      <c r="O111" s="515"/>
      <c r="P111" s="515"/>
      <c r="Q111" s="515"/>
      <c r="R111" s="516"/>
      <c r="S111" s="515"/>
      <c r="T111" s="517"/>
      <c r="U111" s="517"/>
      <c r="V111" s="330"/>
      <c r="W111" s="330"/>
      <c r="X111" s="330"/>
      <c r="Y111" s="330"/>
      <c r="Z111" s="515"/>
      <c r="AA111" s="330"/>
      <c r="AC111" s="477"/>
      <c r="AD111" s="478"/>
      <c r="AE111" s="478"/>
      <c r="AF111" s="478"/>
    </row>
    <row r="112" spans="1:32" ht="22.5" customHeight="1" x14ac:dyDescent="0.2">
      <c r="A112" s="588" t="s">
        <v>288</v>
      </c>
      <c r="B112" s="589" t="s">
        <v>1408</v>
      </c>
      <c r="C112" s="258">
        <f t="shared" si="36"/>
        <v>0</v>
      </c>
      <c r="D112" s="492"/>
      <c r="E112" s="258">
        <f t="shared" si="38"/>
        <v>17024</v>
      </c>
      <c r="F112" s="492"/>
      <c r="G112" s="507"/>
      <c r="H112" s="519"/>
      <c r="I112" s="519">
        <v>17024</v>
      </c>
      <c r="J112" s="492"/>
      <c r="K112" s="496"/>
      <c r="L112" s="496"/>
      <c r="M112" s="496"/>
      <c r="N112" s="515"/>
      <c r="O112" s="515"/>
      <c r="P112" s="515"/>
      <c r="Q112" s="515"/>
      <c r="R112" s="516"/>
      <c r="S112" s="515"/>
      <c r="T112" s="517"/>
      <c r="U112" s="517"/>
      <c r="V112" s="330"/>
      <c r="W112" s="330"/>
      <c r="X112" s="330"/>
      <c r="Y112" s="330"/>
      <c r="Z112" s="515"/>
      <c r="AA112" s="330"/>
      <c r="AC112" s="477"/>
      <c r="AD112" s="478"/>
      <c r="AE112" s="478"/>
      <c r="AF112" s="478"/>
    </row>
    <row r="113" spans="1:32" ht="56.25" customHeight="1" x14ac:dyDescent="0.2">
      <c r="A113" s="588" t="s">
        <v>288</v>
      </c>
      <c r="B113" s="328" t="s">
        <v>1409</v>
      </c>
      <c r="C113" s="258">
        <f t="shared" si="36"/>
        <v>0</v>
      </c>
      <c r="D113" s="492"/>
      <c r="E113" s="258">
        <f t="shared" si="38"/>
        <v>3372</v>
      </c>
      <c r="F113" s="492"/>
      <c r="G113" s="507"/>
      <c r="H113" s="519"/>
      <c r="I113" s="519">
        <v>3372</v>
      </c>
      <c r="J113" s="492"/>
      <c r="K113" s="496"/>
      <c r="L113" s="496"/>
      <c r="M113" s="496"/>
      <c r="N113" s="515"/>
      <c r="O113" s="515"/>
      <c r="P113" s="515"/>
      <c r="Q113" s="515"/>
      <c r="R113" s="516"/>
      <c r="S113" s="515"/>
      <c r="T113" s="517"/>
      <c r="U113" s="517"/>
      <c r="V113" s="330"/>
      <c r="W113" s="330"/>
      <c r="X113" s="330"/>
      <c r="Y113" s="330"/>
      <c r="Z113" s="515"/>
      <c r="AA113" s="330"/>
      <c r="AC113" s="477"/>
      <c r="AD113" s="478"/>
      <c r="AE113" s="478"/>
      <c r="AF113" s="478"/>
    </row>
    <row r="114" spans="1:32" ht="27" customHeight="1" x14ac:dyDescent="0.2">
      <c r="A114" s="588" t="s">
        <v>288</v>
      </c>
      <c r="B114" s="522" t="s">
        <v>1410</v>
      </c>
      <c r="C114" s="258">
        <f t="shared" si="36"/>
        <v>0</v>
      </c>
      <c r="D114" s="492"/>
      <c r="E114" s="258">
        <f t="shared" si="38"/>
        <v>10404</v>
      </c>
      <c r="F114" s="492"/>
      <c r="G114" s="507"/>
      <c r="H114" s="519"/>
      <c r="I114" s="519">
        <v>10404</v>
      </c>
      <c r="J114" s="492"/>
      <c r="K114" s="496"/>
      <c r="L114" s="496"/>
      <c r="M114" s="496"/>
      <c r="N114" s="515"/>
      <c r="O114" s="515"/>
      <c r="P114" s="515"/>
      <c r="Q114" s="515"/>
      <c r="R114" s="516"/>
      <c r="S114" s="515"/>
      <c r="T114" s="517"/>
      <c r="U114" s="517"/>
      <c r="V114" s="330"/>
      <c r="W114" s="330"/>
      <c r="X114" s="330"/>
      <c r="Y114" s="330"/>
      <c r="Z114" s="515"/>
      <c r="AA114" s="330"/>
      <c r="AC114" s="477"/>
      <c r="AD114" s="478"/>
      <c r="AE114" s="478"/>
      <c r="AF114" s="478"/>
    </row>
    <row r="115" spans="1:32" ht="27" customHeight="1" x14ac:dyDescent="0.2">
      <c r="A115" s="588" t="s">
        <v>288</v>
      </c>
      <c r="B115" s="626" t="s">
        <v>1413</v>
      </c>
      <c r="C115" s="258">
        <f t="shared" si="36"/>
        <v>0</v>
      </c>
      <c r="D115" s="492"/>
      <c r="E115" s="258">
        <f t="shared" si="38"/>
        <v>1423</v>
      </c>
      <c r="F115" s="492"/>
      <c r="G115" s="507"/>
      <c r="H115" s="519"/>
      <c r="I115" s="519"/>
      <c r="J115" s="492"/>
      <c r="K115" s="519">
        <v>1423</v>
      </c>
      <c r="L115" s="496"/>
      <c r="M115" s="496"/>
      <c r="N115" s="515"/>
      <c r="O115" s="515"/>
      <c r="P115" s="515"/>
      <c r="Q115" s="515"/>
      <c r="R115" s="516"/>
      <c r="S115" s="515"/>
      <c r="T115" s="517"/>
      <c r="U115" s="517"/>
      <c r="V115" s="330"/>
      <c r="W115" s="330"/>
      <c r="X115" s="330"/>
      <c r="Y115" s="330"/>
      <c r="Z115" s="515"/>
      <c r="AA115" s="330"/>
      <c r="AC115" s="477"/>
      <c r="AD115" s="478"/>
      <c r="AE115" s="478"/>
      <c r="AF115" s="478"/>
    </row>
    <row r="116" spans="1:32" ht="27" customHeight="1" x14ac:dyDescent="0.2">
      <c r="A116" s="588" t="s">
        <v>288</v>
      </c>
      <c r="B116" s="626" t="s">
        <v>1267</v>
      </c>
      <c r="C116" s="258">
        <f t="shared" si="36"/>
        <v>0</v>
      </c>
      <c r="D116" s="492"/>
      <c r="E116" s="258">
        <f t="shared" si="38"/>
        <v>92</v>
      </c>
      <c r="F116" s="492"/>
      <c r="G116" s="507"/>
      <c r="H116" s="519"/>
      <c r="I116" s="519"/>
      <c r="J116" s="492"/>
      <c r="K116" s="519">
        <v>92</v>
      </c>
      <c r="L116" s="496"/>
      <c r="M116" s="496"/>
      <c r="N116" s="515"/>
      <c r="O116" s="515"/>
      <c r="P116" s="515"/>
      <c r="Q116" s="515"/>
      <c r="R116" s="516"/>
      <c r="S116" s="515"/>
      <c r="T116" s="517"/>
      <c r="U116" s="517"/>
      <c r="V116" s="330"/>
      <c r="W116" s="330"/>
      <c r="X116" s="330"/>
      <c r="Y116" s="330"/>
      <c r="Z116" s="515"/>
      <c r="AA116" s="330"/>
      <c r="AC116" s="477"/>
      <c r="AD116" s="478"/>
      <c r="AE116" s="478"/>
      <c r="AF116" s="478"/>
    </row>
    <row r="117" spans="1:32" ht="27" customHeight="1" x14ac:dyDescent="0.2">
      <c r="A117" s="588" t="s">
        <v>288</v>
      </c>
      <c r="B117" s="626" t="s">
        <v>1414</v>
      </c>
      <c r="C117" s="258">
        <f t="shared" si="36"/>
        <v>0</v>
      </c>
      <c r="D117" s="492"/>
      <c r="E117" s="258">
        <f t="shared" si="38"/>
        <v>8319</v>
      </c>
      <c r="F117" s="492"/>
      <c r="G117" s="507"/>
      <c r="H117" s="519"/>
      <c r="I117" s="519"/>
      <c r="J117" s="492"/>
      <c r="K117" s="519">
        <f>4753+7233-3667</f>
        <v>8319</v>
      </c>
      <c r="L117" s="496"/>
      <c r="M117" s="496"/>
      <c r="N117" s="515"/>
      <c r="O117" s="515"/>
      <c r="P117" s="515"/>
      <c r="Q117" s="515"/>
      <c r="R117" s="516"/>
      <c r="S117" s="515"/>
      <c r="T117" s="517"/>
      <c r="U117" s="517"/>
      <c r="V117" s="330"/>
      <c r="W117" s="330"/>
      <c r="X117" s="330"/>
      <c r="Y117" s="330"/>
      <c r="Z117" s="515"/>
      <c r="AA117" s="330"/>
      <c r="AC117" s="477"/>
      <c r="AD117" s="478"/>
      <c r="AE117" s="478"/>
      <c r="AF117" s="478"/>
    </row>
    <row r="118" spans="1:32" ht="27.75" customHeight="1" x14ac:dyDescent="0.2">
      <c r="A118" s="588" t="s">
        <v>288</v>
      </c>
      <c r="B118" s="512" t="s">
        <v>1266</v>
      </c>
      <c r="C118" s="258">
        <f t="shared" si="36"/>
        <v>0</v>
      </c>
      <c r="D118" s="492"/>
      <c r="E118" s="258">
        <f t="shared" si="38"/>
        <v>4061</v>
      </c>
      <c r="F118" s="492"/>
      <c r="G118" s="507"/>
      <c r="H118" s="519"/>
      <c r="I118" s="519">
        <v>4061</v>
      </c>
      <c r="J118" s="492"/>
      <c r="K118" s="496"/>
      <c r="L118" s="496"/>
      <c r="M118" s="496"/>
      <c r="N118" s="515"/>
      <c r="O118" s="515"/>
      <c r="P118" s="515"/>
      <c r="Q118" s="515"/>
      <c r="R118" s="516"/>
      <c r="S118" s="515"/>
      <c r="T118" s="517"/>
      <c r="U118" s="517"/>
      <c r="V118" s="330"/>
      <c r="W118" s="330"/>
      <c r="X118" s="330"/>
      <c r="Y118" s="330"/>
      <c r="Z118" s="515"/>
      <c r="AA118" s="330"/>
      <c r="AC118" s="477"/>
      <c r="AD118" s="478"/>
      <c r="AE118" s="478"/>
      <c r="AF118" s="478"/>
    </row>
    <row r="119" spans="1:32" ht="21.75" customHeight="1" x14ac:dyDescent="0.2">
      <c r="A119" s="588" t="s">
        <v>288</v>
      </c>
      <c r="B119" s="590" t="s">
        <v>1411</v>
      </c>
      <c r="C119" s="258">
        <f t="shared" si="36"/>
        <v>0</v>
      </c>
      <c r="D119" s="492"/>
      <c r="E119" s="258">
        <f t="shared" si="38"/>
        <v>1087</v>
      </c>
      <c r="F119" s="492"/>
      <c r="G119" s="507"/>
      <c r="H119" s="519"/>
      <c r="I119" s="519">
        <v>1087</v>
      </c>
      <c r="J119" s="492"/>
      <c r="K119" s="496"/>
      <c r="L119" s="496"/>
      <c r="M119" s="496"/>
      <c r="N119" s="515"/>
      <c r="O119" s="515"/>
      <c r="P119" s="515"/>
      <c r="Q119" s="515"/>
      <c r="R119" s="516"/>
      <c r="S119" s="515"/>
      <c r="T119" s="517"/>
      <c r="U119" s="517"/>
      <c r="V119" s="330"/>
      <c r="W119" s="330"/>
      <c r="X119" s="330"/>
      <c r="Y119" s="330"/>
      <c r="Z119" s="515"/>
      <c r="AA119" s="330"/>
      <c r="AC119" s="477"/>
      <c r="AD119" s="478"/>
      <c r="AE119" s="478"/>
      <c r="AF119" s="478"/>
    </row>
    <row r="120" spans="1:32" ht="27.75" customHeight="1" x14ac:dyDescent="0.2">
      <c r="A120" s="588" t="s">
        <v>288</v>
      </c>
      <c r="B120" s="648" t="s">
        <v>556</v>
      </c>
      <c r="C120" s="258">
        <f t="shared" si="36"/>
        <v>2530</v>
      </c>
      <c r="D120" s="492"/>
      <c r="E120" s="258">
        <f t="shared" si="38"/>
        <v>2530</v>
      </c>
      <c r="F120" s="492"/>
      <c r="G120" s="507">
        <f t="shared" si="32"/>
        <v>100</v>
      </c>
      <c r="H120" s="519">
        <v>2530</v>
      </c>
      <c r="I120" s="519">
        <v>2530</v>
      </c>
      <c r="J120" s="492"/>
      <c r="K120" s="496"/>
      <c r="L120" s="496"/>
      <c r="M120" s="496"/>
      <c r="N120" s="515"/>
      <c r="O120" s="515"/>
      <c r="P120" s="515"/>
      <c r="Q120" s="515"/>
      <c r="R120" s="516"/>
      <c r="S120" s="515"/>
      <c r="T120" s="517"/>
      <c r="U120" s="517"/>
      <c r="V120" s="330"/>
      <c r="W120" s="330"/>
      <c r="X120" s="330"/>
      <c r="Y120" s="330"/>
      <c r="Z120" s="515"/>
      <c r="AA120" s="330"/>
      <c r="AC120" s="477"/>
      <c r="AD120" s="478"/>
      <c r="AE120" s="478"/>
      <c r="AF120" s="478"/>
    </row>
    <row r="121" spans="1:32" ht="21.75" customHeight="1" x14ac:dyDescent="0.2">
      <c r="A121" s="625" t="s">
        <v>288</v>
      </c>
      <c r="B121" s="337" t="s">
        <v>934</v>
      </c>
      <c r="C121" s="258">
        <f t="shared" si="36"/>
        <v>10000</v>
      </c>
      <c r="D121" s="492"/>
      <c r="E121" s="258">
        <f t="shared" si="38"/>
        <v>10000</v>
      </c>
      <c r="F121" s="492"/>
      <c r="G121" s="507">
        <f t="shared" ref="G121" si="41">E121/C121*100</f>
        <v>100</v>
      </c>
      <c r="H121" s="709">
        <f>10000-4100</f>
        <v>5900</v>
      </c>
      <c r="I121" s="709">
        <f>10000-4100</f>
        <v>5900</v>
      </c>
      <c r="J121" s="519">
        <v>4100</v>
      </c>
      <c r="K121" s="496">
        <v>4100</v>
      </c>
      <c r="L121" s="496"/>
      <c r="M121" s="496"/>
      <c r="N121" s="515"/>
      <c r="O121" s="515"/>
      <c r="P121" s="515"/>
      <c r="Q121" s="515"/>
      <c r="R121" s="516"/>
      <c r="S121" s="515"/>
      <c r="T121" s="517"/>
      <c r="U121" s="517"/>
      <c r="V121" s="330"/>
      <c r="W121" s="330"/>
      <c r="X121" s="330"/>
      <c r="Y121" s="330"/>
      <c r="Z121" s="515"/>
      <c r="AA121" s="330"/>
      <c r="AC121" s="477"/>
      <c r="AD121" s="478"/>
      <c r="AE121" s="478"/>
      <c r="AF121" s="478"/>
    </row>
    <row r="122" spans="1:32" ht="18" customHeight="1" x14ac:dyDescent="0.2">
      <c r="A122" s="493" t="s">
        <v>11</v>
      </c>
      <c r="B122" s="492" t="s">
        <v>41</v>
      </c>
      <c r="C122" s="492">
        <f>C123+C128+C139+C140+C141+C142+C143</f>
        <v>338109</v>
      </c>
      <c r="D122" s="492">
        <f>D123+D128+D139+D140+D141+D142+D143</f>
        <v>0</v>
      </c>
      <c r="E122" s="492">
        <f>E123+E128+E139+E140+E141+E142+E143</f>
        <v>382225</v>
      </c>
      <c r="F122" s="494">
        <f t="shared" ref="F122:F131" si="42">D122/C122*100</f>
        <v>0</v>
      </c>
      <c r="G122" s="495">
        <f t="shared" si="24"/>
        <v>113.04786326303056</v>
      </c>
      <c r="H122" s="492"/>
      <c r="I122" s="492">
        <f>I126+I131+I139+I140</f>
        <v>19374</v>
      </c>
      <c r="J122" s="492"/>
      <c r="K122" s="492">
        <f>K123+K128+K135+K141+K142+K143</f>
        <v>362851</v>
      </c>
      <c r="L122" s="492">
        <f t="shared" ref="L122:Z122" si="43">L123+L128+L135+L141+L142+L143</f>
        <v>0</v>
      </c>
      <c r="M122" s="492">
        <f t="shared" si="43"/>
        <v>64406</v>
      </c>
      <c r="N122" s="492">
        <f t="shared" si="43"/>
        <v>0</v>
      </c>
      <c r="O122" s="594">
        <f t="shared" si="43"/>
        <v>31108</v>
      </c>
      <c r="P122" s="492">
        <f t="shared" si="43"/>
        <v>0</v>
      </c>
      <c r="Q122" s="594">
        <f t="shared" si="43"/>
        <v>42093</v>
      </c>
      <c r="R122" s="492">
        <f t="shared" si="43"/>
        <v>0</v>
      </c>
      <c r="S122" s="594">
        <f>S123+S128+S135+S141+S142+S143</f>
        <v>2154</v>
      </c>
      <c r="T122" s="594">
        <f t="shared" si="43"/>
        <v>33439</v>
      </c>
      <c r="U122" s="594">
        <f>U123+U128+U135+U141+U142+U143</f>
        <v>28026</v>
      </c>
      <c r="V122" s="492">
        <f t="shared" si="43"/>
        <v>0</v>
      </c>
      <c r="W122" s="492">
        <f t="shared" si="43"/>
        <v>68438</v>
      </c>
      <c r="X122" s="492">
        <f t="shared" si="43"/>
        <v>0</v>
      </c>
      <c r="Y122" s="492">
        <f t="shared" si="43"/>
        <v>89242</v>
      </c>
      <c r="Z122" s="492">
        <f t="shared" si="43"/>
        <v>0</v>
      </c>
      <c r="AA122" s="492">
        <f>AA123+AA128+AA135+AA141+AA142+AA143</f>
        <v>37384</v>
      </c>
      <c r="AC122" s="477"/>
      <c r="AD122" s="478"/>
      <c r="AE122" s="478"/>
      <c r="AF122" s="478"/>
    </row>
    <row r="123" spans="1:32" ht="18.75" customHeight="1" x14ac:dyDescent="0.2">
      <c r="A123" s="505">
        <v>1</v>
      </c>
      <c r="B123" s="523" t="s">
        <v>511</v>
      </c>
      <c r="C123" s="496">
        <f>C124+C126</f>
        <v>185409</v>
      </c>
      <c r="D123" s="496">
        <f>D124+D126</f>
        <v>0</v>
      </c>
      <c r="E123" s="496">
        <f>I123+K123</f>
        <v>217673</v>
      </c>
      <c r="F123" s="506">
        <f t="shared" si="42"/>
        <v>0</v>
      </c>
      <c r="G123" s="507">
        <f t="shared" si="24"/>
        <v>117.40152851263963</v>
      </c>
      <c r="H123" s="496"/>
      <c r="I123" s="496">
        <f>I126</f>
        <v>6122</v>
      </c>
      <c r="J123" s="496"/>
      <c r="K123" s="496">
        <f>M123+O123+Q123+S123+U123+W123+Y123+AA123</f>
        <v>211551</v>
      </c>
      <c r="L123" s="524">
        <f>L124+L126</f>
        <v>0</v>
      </c>
      <c r="M123" s="492">
        <f>M124+M126</f>
        <v>35716</v>
      </c>
      <c r="N123" s="524">
        <f>N124+N126</f>
        <v>0</v>
      </c>
      <c r="O123" s="594">
        <f t="shared" ref="O123" si="44">O124+O126</f>
        <v>13463</v>
      </c>
      <c r="P123" s="524"/>
      <c r="Q123" s="627">
        <f>Q124+Q126</f>
        <v>19141</v>
      </c>
      <c r="R123" s="524"/>
      <c r="S123" s="596">
        <f>S124+S126</f>
        <v>329</v>
      </c>
      <c r="T123" s="596">
        <f>T124+T126</f>
        <v>18304</v>
      </c>
      <c r="U123" s="596">
        <f>U124+U126</f>
        <v>15007</v>
      </c>
      <c r="V123" s="334"/>
      <c r="W123" s="334">
        <f>W124+W126</f>
        <v>49393</v>
      </c>
      <c r="X123" s="334"/>
      <c r="Y123" s="334">
        <f>Y124+Y126</f>
        <v>57381</v>
      </c>
      <c r="Z123" s="334">
        <f>Z124+Z126</f>
        <v>0</v>
      </c>
      <c r="AA123" s="334">
        <f>AA124+AA126</f>
        <v>21121</v>
      </c>
      <c r="AC123" s="477"/>
      <c r="AD123" s="478"/>
      <c r="AE123" s="478"/>
      <c r="AF123" s="478"/>
    </row>
    <row r="124" spans="1:32" ht="15" customHeight="1" x14ac:dyDescent="0.2">
      <c r="A124" s="505" t="s">
        <v>146</v>
      </c>
      <c r="B124" s="523" t="s">
        <v>1429</v>
      </c>
      <c r="C124" s="496">
        <f>'Biểu 14'!C32</f>
        <v>128173</v>
      </c>
      <c r="D124" s="496"/>
      <c r="E124" s="496">
        <f t="shared" ref="E124:E143" si="45">I124+K124</f>
        <v>166724</v>
      </c>
      <c r="F124" s="506">
        <f t="shared" si="42"/>
        <v>0</v>
      </c>
      <c r="G124" s="507">
        <f t="shared" si="24"/>
        <v>130.07731737573437</v>
      </c>
      <c r="H124" s="496"/>
      <c r="I124" s="496"/>
      <c r="J124" s="496"/>
      <c r="K124" s="496">
        <f t="shared" si="29"/>
        <v>166724</v>
      </c>
      <c r="L124" s="525"/>
      <c r="M124" s="526">
        <v>29118</v>
      </c>
      <c r="N124" s="523"/>
      <c r="O124" s="628">
        <v>10181</v>
      </c>
      <c r="P124" s="548"/>
      <c r="Q124" s="627">
        <v>14362</v>
      </c>
      <c r="R124" s="548"/>
      <c r="S124" s="596">
        <v>242</v>
      </c>
      <c r="T124" s="628">
        <v>14963</v>
      </c>
      <c r="U124" s="628">
        <v>12000</v>
      </c>
      <c r="V124" s="334"/>
      <c r="W124" s="334">
        <f>38589</f>
        <v>38589</v>
      </c>
      <c r="X124" s="334"/>
      <c r="Y124" s="508">
        <f>51629-6346</f>
        <v>45283</v>
      </c>
      <c r="Z124" s="334"/>
      <c r="AA124" s="334">
        <v>16949</v>
      </c>
      <c r="AB124" s="477"/>
      <c r="AC124" s="477"/>
      <c r="AD124" s="478"/>
      <c r="AE124" s="478"/>
      <c r="AF124" s="478"/>
    </row>
    <row r="125" spans="1:32" s="504" customFormat="1" ht="28.5" customHeight="1" x14ac:dyDescent="0.2">
      <c r="A125" s="527"/>
      <c r="B125" s="528" t="s">
        <v>1427</v>
      </c>
      <c r="C125" s="499"/>
      <c r="D125" s="496"/>
      <c r="E125" s="496">
        <f t="shared" si="45"/>
        <v>52858</v>
      </c>
      <c r="F125" s="496"/>
      <c r="G125" s="507"/>
      <c r="H125" s="499"/>
      <c r="I125" s="499"/>
      <c r="J125" s="499"/>
      <c r="K125" s="496">
        <f t="shared" si="29"/>
        <v>52858</v>
      </c>
      <c r="L125" s="529"/>
      <c r="M125" s="528">
        <v>7669</v>
      </c>
      <c r="N125" s="528"/>
      <c r="O125" s="629">
        <v>474</v>
      </c>
      <c r="P125" s="630"/>
      <c r="Q125" s="631">
        <v>698</v>
      </c>
      <c r="R125" s="630"/>
      <c r="S125" s="595"/>
      <c r="T125" s="629">
        <v>4044</v>
      </c>
      <c r="U125" s="629">
        <v>3968</v>
      </c>
      <c r="V125" s="500"/>
      <c r="W125" s="500">
        <v>16239</v>
      </c>
      <c r="X125" s="500"/>
      <c r="Y125" s="632">
        <v>19904</v>
      </c>
      <c r="Z125" s="500"/>
      <c r="AA125" s="500">
        <v>3906</v>
      </c>
      <c r="AB125" s="501"/>
      <c r="AC125" s="502"/>
      <c r="AD125" s="503"/>
      <c r="AE125" s="503"/>
      <c r="AF125" s="503"/>
    </row>
    <row r="126" spans="1:32" x14ac:dyDescent="0.2">
      <c r="A126" s="505" t="s">
        <v>147</v>
      </c>
      <c r="B126" s="523" t="s">
        <v>1430</v>
      </c>
      <c r="C126" s="496">
        <f>'Biểu 14'!C33</f>
        <v>57236</v>
      </c>
      <c r="D126" s="496"/>
      <c r="E126" s="496">
        <f t="shared" si="45"/>
        <v>50949</v>
      </c>
      <c r="F126" s="506">
        <f t="shared" si="42"/>
        <v>0</v>
      </c>
      <c r="G126" s="507">
        <f>E126/C126*100</f>
        <v>89.015654483192392</v>
      </c>
      <c r="H126" s="496"/>
      <c r="I126" s="496">
        <v>6122</v>
      </c>
      <c r="J126" s="496"/>
      <c r="K126" s="496">
        <f t="shared" si="29"/>
        <v>44827</v>
      </c>
      <c r="L126" s="523"/>
      <c r="M126" s="523">
        <v>6598</v>
      </c>
      <c r="N126" s="523"/>
      <c r="O126" s="628">
        <v>3282</v>
      </c>
      <c r="P126" s="633"/>
      <c r="Q126" s="627">
        <v>4779</v>
      </c>
      <c r="R126" s="633"/>
      <c r="S126" s="596">
        <v>87</v>
      </c>
      <c r="T126" s="628">
        <v>3341</v>
      </c>
      <c r="U126" s="628">
        <f>3341-334</f>
        <v>3007</v>
      </c>
      <c r="V126" s="334"/>
      <c r="W126" s="334">
        <v>10804</v>
      </c>
      <c r="X126" s="334"/>
      <c r="Y126" s="508">
        <f>15122-3024</f>
        <v>12098</v>
      </c>
      <c r="Z126" s="334"/>
      <c r="AA126" s="334">
        <v>4172</v>
      </c>
      <c r="AB126" s="477"/>
      <c r="AC126" s="477"/>
      <c r="AD126" s="478"/>
      <c r="AE126" s="478"/>
      <c r="AF126" s="478"/>
    </row>
    <row r="127" spans="1:32" s="504" customFormat="1" ht="30" customHeight="1" x14ac:dyDescent="0.2">
      <c r="A127" s="527"/>
      <c r="B127" s="528" t="str">
        <f>B125</f>
        <v>Trong đó ước thực hiện từ nguồn năm 2017 chuyển sang</v>
      </c>
      <c r="C127" s="499"/>
      <c r="D127" s="496"/>
      <c r="E127" s="496">
        <f t="shared" si="45"/>
        <v>0</v>
      </c>
      <c r="F127" s="506"/>
      <c r="G127" s="507"/>
      <c r="H127" s="499"/>
      <c r="I127" s="499"/>
      <c r="J127" s="499"/>
      <c r="K127" s="496">
        <f t="shared" si="29"/>
        <v>0</v>
      </c>
      <c r="L127" s="529"/>
      <c r="M127" s="529"/>
      <c r="N127" s="528"/>
      <c r="O127" s="629"/>
      <c r="P127" s="634"/>
      <c r="Q127" s="631"/>
      <c r="R127" s="634"/>
      <c r="S127" s="595"/>
      <c r="T127" s="629"/>
      <c r="U127" s="629"/>
      <c r="V127" s="500"/>
      <c r="W127" s="500"/>
      <c r="X127" s="500"/>
      <c r="Y127" s="632"/>
      <c r="Z127" s="500"/>
      <c r="AA127" s="500"/>
      <c r="AB127" s="502"/>
      <c r="AC127" s="502"/>
      <c r="AD127" s="503"/>
      <c r="AE127" s="503"/>
      <c r="AF127" s="503"/>
    </row>
    <row r="128" spans="1:32" ht="18.75" customHeight="1" x14ac:dyDescent="0.2">
      <c r="A128" s="505">
        <v>2</v>
      </c>
      <c r="B128" s="523" t="s">
        <v>476</v>
      </c>
      <c r="C128" s="496">
        <f>C129+C131</f>
        <v>152700</v>
      </c>
      <c r="D128" s="496">
        <f>D129+D131</f>
        <v>0</v>
      </c>
      <c r="E128" s="496">
        <f>E129+E131</f>
        <v>161847</v>
      </c>
      <c r="F128" s="506">
        <f t="shared" si="42"/>
        <v>0</v>
      </c>
      <c r="G128" s="507">
        <f>E128/C128*100</f>
        <v>105.9901768172888</v>
      </c>
      <c r="H128" s="496"/>
      <c r="I128" s="496">
        <f>I131</f>
        <v>13252</v>
      </c>
      <c r="J128" s="496"/>
      <c r="K128" s="496">
        <f t="shared" si="29"/>
        <v>148595</v>
      </c>
      <c r="L128" s="530"/>
      <c r="M128" s="530">
        <f>M129+M131</f>
        <v>28690</v>
      </c>
      <c r="N128" s="635"/>
      <c r="O128" s="636">
        <f t="shared" ref="O128" si="46">O129+O131</f>
        <v>17645</v>
      </c>
      <c r="P128" s="530"/>
      <c r="Q128" s="627">
        <f>Q129+Q131</f>
        <v>22502</v>
      </c>
      <c r="R128" s="530"/>
      <c r="S128" s="596">
        <f>S129+S131</f>
        <v>1825</v>
      </c>
      <c r="T128" s="596">
        <f>T129+T131</f>
        <v>15135</v>
      </c>
      <c r="U128" s="596">
        <f>U129+U131</f>
        <v>13019</v>
      </c>
      <c r="V128" s="334"/>
      <c r="W128" s="334">
        <f>W129+W131</f>
        <v>18632</v>
      </c>
      <c r="X128" s="334"/>
      <c r="Y128" s="334">
        <f>Y129+Y131</f>
        <v>30019</v>
      </c>
      <c r="Z128" s="334">
        <f>Z129+Z131</f>
        <v>0</v>
      </c>
      <c r="AA128" s="334">
        <f>AA129+AA131</f>
        <v>16263</v>
      </c>
      <c r="AC128" s="477"/>
      <c r="AD128" s="478"/>
      <c r="AE128" s="478"/>
      <c r="AF128" s="478"/>
    </row>
    <row r="129" spans="1:32" ht="16.5" customHeight="1" x14ac:dyDescent="0.2">
      <c r="A129" s="646" t="s">
        <v>146</v>
      </c>
      <c r="B129" s="523" t="s">
        <v>1429</v>
      </c>
      <c r="C129" s="496">
        <f>'Biểu 14'!C35</f>
        <v>110900</v>
      </c>
      <c r="D129" s="496"/>
      <c r="E129" s="496">
        <f>I129+K129</f>
        <v>122442</v>
      </c>
      <c r="F129" s="506">
        <f t="shared" si="42"/>
        <v>0</v>
      </c>
      <c r="G129" s="507">
        <f>E129/C129*100</f>
        <v>110.40757439134354</v>
      </c>
      <c r="H129" s="496"/>
      <c r="I129" s="496"/>
      <c r="J129" s="496"/>
      <c r="K129" s="496">
        <f t="shared" si="29"/>
        <v>122442</v>
      </c>
      <c r="L129" s="523"/>
      <c r="M129" s="523">
        <v>25653</v>
      </c>
      <c r="N129" s="533"/>
      <c r="O129" s="628">
        <v>13505</v>
      </c>
      <c r="P129" s="523"/>
      <c r="Q129" s="627">
        <v>19590</v>
      </c>
      <c r="R129" s="523"/>
      <c r="S129" s="596">
        <v>680</v>
      </c>
      <c r="T129" s="628">
        <v>10904</v>
      </c>
      <c r="U129" s="628">
        <v>9000</v>
      </c>
      <c r="V129" s="334"/>
      <c r="W129" s="334">
        <v>13981</v>
      </c>
      <c r="X129" s="334"/>
      <c r="Y129" s="508">
        <f>31109-4092</f>
        <v>27017</v>
      </c>
      <c r="Z129" s="334"/>
      <c r="AA129" s="334">
        <v>13016</v>
      </c>
      <c r="AB129" s="477"/>
      <c r="AC129" s="477"/>
      <c r="AD129" s="478"/>
      <c r="AE129" s="478"/>
      <c r="AF129" s="478"/>
    </row>
    <row r="130" spans="1:32" s="504" customFormat="1" ht="25.5" x14ac:dyDescent="0.2">
      <c r="A130" s="647"/>
      <c r="B130" s="528" t="str">
        <f>B125</f>
        <v>Trong đó ước thực hiện từ nguồn năm 2017 chuyển sang</v>
      </c>
      <c r="C130" s="499"/>
      <c r="D130" s="499"/>
      <c r="E130" s="496">
        <f t="shared" si="45"/>
        <v>18531</v>
      </c>
      <c r="F130" s="496"/>
      <c r="G130" s="507"/>
      <c r="H130" s="499"/>
      <c r="I130" s="499"/>
      <c r="J130" s="499"/>
      <c r="K130" s="496">
        <f t="shared" si="29"/>
        <v>18531</v>
      </c>
      <c r="L130" s="528"/>
      <c r="M130" s="528">
        <v>2087</v>
      </c>
      <c r="N130" s="535"/>
      <c r="O130" s="629">
        <v>783</v>
      </c>
      <c r="P130" s="528"/>
      <c r="Q130" s="631">
        <v>2893</v>
      </c>
      <c r="R130" s="528"/>
      <c r="S130" s="595"/>
      <c r="T130" s="629">
        <v>1708</v>
      </c>
      <c r="U130" s="629">
        <v>1383</v>
      </c>
      <c r="V130" s="500"/>
      <c r="W130" s="500">
        <v>736</v>
      </c>
      <c r="X130" s="500"/>
      <c r="Y130" s="632">
        <v>10649</v>
      </c>
      <c r="Z130" s="500"/>
      <c r="AA130" s="500"/>
      <c r="AB130" s="501"/>
      <c r="AC130" s="502"/>
      <c r="AD130" s="503"/>
      <c r="AE130" s="503"/>
      <c r="AF130" s="503"/>
    </row>
    <row r="131" spans="1:32" ht="18" customHeight="1" x14ac:dyDescent="0.2">
      <c r="A131" s="646" t="s">
        <v>147</v>
      </c>
      <c r="B131" s="523" t="s">
        <v>1430</v>
      </c>
      <c r="C131" s="496">
        <f>'Biểu 14'!C36</f>
        <v>41800</v>
      </c>
      <c r="D131" s="496"/>
      <c r="E131" s="496">
        <f>I131+K131</f>
        <v>39405</v>
      </c>
      <c r="F131" s="506">
        <f t="shared" si="42"/>
        <v>0</v>
      </c>
      <c r="G131" s="507">
        <f>E131/C131*100</f>
        <v>94.270334928229659</v>
      </c>
      <c r="H131" s="496"/>
      <c r="I131" s="496">
        <v>13252</v>
      </c>
      <c r="J131" s="496"/>
      <c r="K131" s="496">
        <f t="shared" si="29"/>
        <v>26153</v>
      </c>
      <c r="L131" s="523"/>
      <c r="M131" s="523">
        <v>3037</v>
      </c>
      <c r="N131" s="533"/>
      <c r="O131" s="628">
        <v>4140</v>
      </c>
      <c r="P131" s="523"/>
      <c r="Q131" s="627">
        <v>2912</v>
      </c>
      <c r="R131" s="523"/>
      <c r="S131" s="596">
        <v>1145</v>
      </c>
      <c r="T131" s="628">
        <v>4231</v>
      </c>
      <c r="U131" s="628">
        <f>4231-212</f>
        <v>4019</v>
      </c>
      <c r="V131" s="334"/>
      <c r="W131" s="334">
        <v>4651</v>
      </c>
      <c r="X131" s="334"/>
      <c r="Y131" s="508">
        <f>3532-530</f>
        <v>3002</v>
      </c>
      <c r="Z131" s="334"/>
      <c r="AA131" s="334">
        <v>3247</v>
      </c>
      <c r="AB131" s="477"/>
      <c r="AC131" s="477"/>
      <c r="AD131" s="478"/>
      <c r="AE131" s="478"/>
      <c r="AF131" s="478"/>
    </row>
    <row r="132" spans="1:32" ht="15.75" hidden="1" customHeight="1" x14ac:dyDescent="0.2">
      <c r="A132" s="493"/>
      <c r="B132" s="531"/>
      <c r="C132" s="496"/>
      <c r="D132" s="496">
        <v>46719.1</v>
      </c>
      <c r="E132" s="496">
        <f t="shared" si="45"/>
        <v>0</v>
      </c>
      <c r="F132" s="496"/>
      <c r="G132" s="496"/>
      <c r="H132" s="496"/>
      <c r="I132" s="496"/>
      <c r="J132" s="496"/>
      <c r="K132" s="496">
        <f t="shared" si="29"/>
        <v>0</v>
      </c>
      <c r="L132" s="523"/>
      <c r="M132" s="523"/>
      <c r="N132" s="533"/>
      <c r="O132" s="533"/>
      <c r="P132" s="533"/>
      <c r="Q132" s="628"/>
      <c r="R132" s="533"/>
      <c r="S132" s="533"/>
      <c r="T132" s="533"/>
      <c r="U132" s="533"/>
      <c r="V132" s="334"/>
      <c r="W132" s="334"/>
      <c r="X132" s="334"/>
      <c r="Y132" s="334"/>
      <c r="Z132" s="334"/>
      <c r="AA132" s="334"/>
      <c r="AC132" s="477"/>
      <c r="AD132" s="478"/>
      <c r="AE132" s="478"/>
      <c r="AF132" s="478"/>
    </row>
    <row r="133" spans="1:32" ht="15.75" hidden="1" customHeight="1" x14ac:dyDescent="0.2">
      <c r="A133" s="493"/>
      <c r="B133" s="523"/>
      <c r="C133" s="496"/>
      <c r="D133" s="499"/>
      <c r="E133" s="496">
        <f t="shared" si="45"/>
        <v>0</v>
      </c>
      <c r="F133" s="496"/>
      <c r="G133" s="496"/>
      <c r="H133" s="496"/>
      <c r="I133" s="496"/>
      <c r="J133" s="496"/>
      <c r="K133" s="496">
        <f t="shared" si="29"/>
        <v>0</v>
      </c>
      <c r="L133" s="523"/>
      <c r="M133" s="523"/>
      <c r="N133" s="533"/>
      <c r="O133" s="533"/>
      <c r="P133" s="533"/>
      <c r="Q133" s="628"/>
      <c r="R133" s="533"/>
      <c r="S133" s="533"/>
      <c r="T133" s="533"/>
      <c r="U133" s="533"/>
      <c r="V133" s="334"/>
      <c r="W133" s="334"/>
      <c r="X133" s="334"/>
      <c r="Y133" s="334"/>
      <c r="Z133" s="334"/>
      <c r="AA133" s="334"/>
      <c r="AC133" s="477"/>
      <c r="AD133" s="478"/>
      <c r="AE133" s="478"/>
      <c r="AF133" s="478"/>
    </row>
    <row r="134" spans="1:32" ht="15" hidden="1" customHeight="1" x14ac:dyDescent="0.2">
      <c r="A134" s="493"/>
      <c r="B134" s="523"/>
      <c r="C134" s="496"/>
      <c r="D134" s="496">
        <v>8109.06</v>
      </c>
      <c r="E134" s="496">
        <f t="shared" si="45"/>
        <v>0</v>
      </c>
      <c r="F134" s="496"/>
      <c r="G134" s="496"/>
      <c r="H134" s="496"/>
      <c r="I134" s="496"/>
      <c r="J134" s="496"/>
      <c r="K134" s="496">
        <f t="shared" si="29"/>
        <v>0</v>
      </c>
      <c r="L134" s="523"/>
      <c r="M134" s="523"/>
      <c r="N134" s="533"/>
      <c r="O134" s="533"/>
      <c r="P134" s="533"/>
      <c r="Q134" s="628"/>
      <c r="R134" s="533"/>
      <c r="S134" s="533"/>
      <c r="T134" s="533"/>
      <c r="U134" s="533"/>
      <c r="V134" s="334"/>
      <c r="W134" s="334"/>
      <c r="X134" s="334"/>
      <c r="Y134" s="334"/>
      <c r="Z134" s="334"/>
      <c r="AA134" s="334"/>
      <c r="AC134" s="477"/>
      <c r="AD134" s="478"/>
      <c r="AE134" s="478"/>
      <c r="AF134" s="478"/>
    </row>
    <row r="135" spans="1:32" ht="15" hidden="1" customHeight="1" x14ac:dyDescent="0.2">
      <c r="A135" s="532" t="s">
        <v>477</v>
      </c>
      <c r="B135" s="531" t="s">
        <v>478</v>
      </c>
      <c r="C135" s="496">
        <f>L135+N135+P135+R135+T135+V135+X135+Z135</f>
        <v>0</v>
      </c>
      <c r="D135" s="496"/>
      <c r="E135" s="496">
        <f t="shared" si="45"/>
        <v>0</v>
      </c>
      <c r="F135" s="496"/>
      <c r="G135" s="496"/>
      <c r="H135" s="496"/>
      <c r="I135" s="496"/>
      <c r="J135" s="496"/>
      <c r="K135" s="496">
        <f t="shared" si="29"/>
        <v>0</v>
      </c>
      <c r="L135" s="533"/>
      <c r="M135" s="533"/>
      <c r="N135" s="533"/>
      <c r="O135" s="533"/>
      <c r="P135" s="533"/>
      <c r="Q135" s="628"/>
      <c r="R135" s="533"/>
      <c r="S135" s="533"/>
      <c r="T135" s="533"/>
      <c r="U135" s="533"/>
      <c r="V135" s="523"/>
      <c r="W135" s="534"/>
      <c r="X135" s="523"/>
      <c r="Y135" s="534"/>
      <c r="Z135" s="523"/>
      <c r="AA135" s="534"/>
      <c r="AC135" s="477"/>
      <c r="AD135" s="478"/>
      <c r="AE135" s="478"/>
      <c r="AF135" s="478"/>
    </row>
    <row r="136" spans="1:32" ht="15" hidden="1" customHeight="1" x14ac:dyDescent="0.2">
      <c r="A136" s="493"/>
      <c r="B136" s="531" t="s">
        <v>479</v>
      </c>
      <c r="C136" s="496">
        <f>L136+N136+P136+R136+T136+V136+X136+Z136</f>
        <v>0</v>
      </c>
      <c r="D136" s="496"/>
      <c r="E136" s="496">
        <f t="shared" si="45"/>
        <v>0</v>
      </c>
      <c r="F136" s="496"/>
      <c r="G136" s="496"/>
      <c r="H136" s="496"/>
      <c r="I136" s="496"/>
      <c r="J136" s="496"/>
      <c r="K136" s="496">
        <f t="shared" si="29"/>
        <v>0</v>
      </c>
      <c r="L136" s="533"/>
      <c r="M136" s="533"/>
      <c r="N136" s="533"/>
      <c r="O136" s="533"/>
      <c r="P136" s="533"/>
      <c r="Q136" s="628"/>
      <c r="R136" s="533"/>
      <c r="S136" s="533"/>
      <c r="T136" s="533"/>
      <c r="U136" s="533"/>
      <c r="V136" s="523"/>
      <c r="W136" s="523"/>
      <c r="X136" s="523"/>
      <c r="Y136" s="523"/>
      <c r="Z136" s="523"/>
      <c r="AA136" s="523"/>
      <c r="AC136" s="477"/>
      <c r="AD136" s="478"/>
      <c r="AE136" s="478"/>
      <c r="AF136" s="478"/>
    </row>
    <row r="137" spans="1:32" ht="18.75" hidden="1" customHeight="1" x14ac:dyDescent="0.2">
      <c r="A137" s="493"/>
      <c r="B137" s="531" t="s">
        <v>474</v>
      </c>
      <c r="C137" s="496">
        <f>L137+N137+P137+R137+T137+V137+X137+Z137</f>
        <v>0</v>
      </c>
      <c r="D137" s="496"/>
      <c r="E137" s="496">
        <f t="shared" si="45"/>
        <v>0</v>
      </c>
      <c r="F137" s="496"/>
      <c r="G137" s="496"/>
      <c r="H137" s="496"/>
      <c r="I137" s="496"/>
      <c r="J137" s="496"/>
      <c r="K137" s="496">
        <f t="shared" si="29"/>
        <v>0</v>
      </c>
      <c r="L137" s="533"/>
      <c r="M137" s="533"/>
      <c r="N137" s="533"/>
      <c r="O137" s="533"/>
      <c r="P137" s="533"/>
      <c r="Q137" s="628"/>
      <c r="R137" s="533"/>
      <c r="S137" s="533"/>
      <c r="T137" s="533"/>
      <c r="U137" s="533"/>
      <c r="V137" s="523"/>
      <c r="W137" s="523"/>
      <c r="X137" s="523"/>
      <c r="Y137" s="523"/>
      <c r="Z137" s="523"/>
      <c r="AA137" s="523"/>
      <c r="AC137" s="477"/>
      <c r="AD137" s="478"/>
      <c r="AE137" s="478"/>
      <c r="AF137" s="478"/>
    </row>
    <row r="138" spans="1:32" s="504" customFormat="1" ht="25.5" x14ac:dyDescent="0.2">
      <c r="A138" s="497"/>
      <c r="B138" s="500" t="str">
        <f>B130</f>
        <v>Trong đó ước thực hiện từ nguồn năm 2017 chuyển sang</v>
      </c>
      <c r="C138" s="499"/>
      <c r="D138" s="496"/>
      <c r="E138" s="496">
        <f t="shared" si="45"/>
        <v>200</v>
      </c>
      <c r="F138" s="496"/>
      <c r="G138" s="496"/>
      <c r="H138" s="499"/>
      <c r="I138" s="499"/>
      <c r="J138" s="499"/>
      <c r="K138" s="496">
        <f t="shared" si="29"/>
        <v>200</v>
      </c>
      <c r="L138" s="535"/>
      <c r="M138" s="535">
        <v>200</v>
      </c>
      <c r="N138" s="535"/>
      <c r="O138" s="535"/>
      <c r="P138" s="535"/>
      <c r="Q138" s="629"/>
      <c r="R138" s="535"/>
      <c r="S138" s="535"/>
      <c r="T138" s="535"/>
      <c r="U138" s="535"/>
      <c r="V138" s="528"/>
      <c r="W138" s="528"/>
      <c r="X138" s="528"/>
      <c r="Y138" s="528"/>
      <c r="Z138" s="528"/>
      <c r="AA138" s="528"/>
      <c r="AB138" s="502"/>
      <c r="AC138" s="502"/>
      <c r="AD138" s="503"/>
      <c r="AE138" s="503"/>
      <c r="AF138" s="503"/>
    </row>
    <row r="139" spans="1:32" s="504" customFormat="1" ht="25.5" hidden="1" x14ac:dyDescent="0.2">
      <c r="A139" s="505">
        <v>3</v>
      </c>
      <c r="B139" s="523" t="s">
        <v>514</v>
      </c>
      <c r="C139" s="499"/>
      <c r="D139" s="496"/>
      <c r="E139" s="496">
        <f t="shared" si="45"/>
        <v>0</v>
      </c>
      <c r="F139" s="496"/>
      <c r="G139" s="496"/>
      <c r="H139" s="499"/>
      <c r="I139" s="496"/>
      <c r="J139" s="496"/>
      <c r="K139" s="496">
        <f t="shared" si="29"/>
        <v>0</v>
      </c>
      <c r="L139" s="535"/>
      <c r="M139" s="535"/>
      <c r="N139" s="535"/>
      <c r="O139" s="535"/>
      <c r="P139" s="535"/>
      <c r="Q139" s="629"/>
      <c r="R139" s="535"/>
      <c r="S139" s="535"/>
      <c r="T139" s="535"/>
      <c r="U139" s="535"/>
      <c r="V139" s="528"/>
      <c r="W139" s="528"/>
      <c r="X139" s="528"/>
      <c r="Y139" s="528"/>
      <c r="Z139" s="528"/>
      <c r="AA139" s="528"/>
      <c r="AB139" s="501"/>
      <c r="AC139" s="502"/>
      <c r="AD139" s="503"/>
      <c r="AE139" s="503"/>
      <c r="AF139" s="503"/>
    </row>
    <row r="140" spans="1:32" s="643" customFormat="1" ht="25.5" hidden="1" x14ac:dyDescent="0.2">
      <c r="A140" s="505">
        <v>4</v>
      </c>
      <c r="B140" s="523" t="s">
        <v>515</v>
      </c>
      <c r="C140" s="637"/>
      <c r="D140" s="496"/>
      <c r="E140" s="496">
        <f t="shared" si="45"/>
        <v>0</v>
      </c>
      <c r="F140" s="496"/>
      <c r="G140" s="496"/>
      <c r="H140" s="637"/>
      <c r="I140" s="496"/>
      <c r="J140" s="496"/>
      <c r="K140" s="496">
        <f t="shared" si="29"/>
        <v>0</v>
      </c>
      <c r="L140" s="638"/>
      <c r="M140" s="638"/>
      <c r="N140" s="638"/>
      <c r="O140" s="638"/>
      <c r="P140" s="638"/>
      <c r="Q140" s="639"/>
      <c r="R140" s="638"/>
      <c r="S140" s="638"/>
      <c r="T140" s="638"/>
      <c r="U140" s="638"/>
      <c r="V140" s="640"/>
      <c r="W140" s="640"/>
      <c r="X140" s="640"/>
      <c r="Y140" s="640"/>
      <c r="Z140" s="640"/>
      <c r="AA140" s="640"/>
      <c r="AB140" s="641"/>
      <c r="AC140" s="641"/>
      <c r="AD140" s="642"/>
      <c r="AE140" s="642"/>
      <c r="AF140" s="642"/>
    </row>
    <row r="141" spans="1:32" s="460" customFormat="1" ht="34.5" hidden="1" customHeight="1" x14ac:dyDescent="0.2">
      <c r="A141" s="333">
        <v>5</v>
      </c>
      <c r="B141" s="536" t="s">
        <v>480</v>
      </c>
      <c r="C141" s="334"/>
      <c r="D141" s="500"/>
      <c r="E141" s="334">
        <f t="shared" si="45"/>
        <v>0</v>
      </c>
      <c r="F141" s="334"/>
      <c r="G141" s="334"/>
      <c r="H141" s="334"/>
      <c r="I141" s="334"/>
      <c r="J141" s="334"/>
      <c r="K141" s="334">
        <f t="shared" si="29"/>
        <v>0</v>
      </c>
      <c r="L141" s="523"/>
      <c r="M141" s="523"/>
      <c r="N141" s="523"/>
      <c r="O141" s="523"/>
      <c r="P141" s="523"/>
      <c r="Q141" s="628"/>
      <c r="R141" s="523"/>
      <c r="S141" s="523"/>
      <c r="T141" s="523"/>
      <c r="U141" s="523"/>
      <c r="V141" s="523"/>
      <c r="W141" s="523"/>
      <c r="X141" s="523"/>
      <c r="Y141" s="523"/>
      <c r="Z141" s="334"/>
      <c r="AA141" s="334"/>
      <c r="AB141" s="513"/>
      <c r="AC141" s="514"/>
    </row>
    <row r="142" spans="1:32" s="460" customFormat="1" ht="28.5" hidden="1" customHeight="1" x14ac:dyDescent="0.2">
      <c r="A142" s="333">
        <v>6</v>
      </c>
      <c r="B142" s="536" t="s">
        <v>481</v>
      </c>
      <c r="C142" s="334"/>
      <c r="D142" s="330"/>
      <c r="E142" s="334">
        <f t="shared" si="45"/>
        <v>0</v>
      </c>
      <c r="F142" s="334"/>
      <c r="G142" s="334"/>
      <c r="H142" s="334"/>
      <c r="I142" s="334"/>
      <c r="J142" s="334"/>
      <c r="K142" s="334">
        <f t="shared" si="29"/>
        <v>0</v>
      </c>
      <c r="L142" s="523"/>
      <c r="M142" s="523"/>
      <c r="N142" s="523"/>
      <c r="O142" s="523"/>
      <c r="P142" s="523"/>
      <c r="Q142" s="628"/>
      <c r="R142" s="523"/>
      <c r="S142" s="523"/>
      <c r="T142" s="523"/>
      <c r="U142" s="523"/>
      <c r="V142" s="523"/>
      <c r="W142" s="523"/>
      <c r="X142" s="523"/>
      <c r="Y142" s="523"/>
      <c r="Z142" s="334"/>
      <c r="AA142" s="334"/>
      <c r="AB142" s="513"/>
      <c r="AC142" s="514"/>
    </row>
    <row r="143" spans="1:32" s="460" customFormat="1" ht="21" customHeight="1" x14ac:dyDescent="0.2">
      <c r="A143" s="537">
        <v>3</v>
      </c>
      <c r="B143" s="538" t="s">
        <v>488</v>
      </c>
      <c r="C143" s="539"/>
      <c r="D143" s="539"/>
      <c r="E143" s="539">
        <f t="shared" si="45"/>
        <v>2705</v>
      </c>
      <c r="F143" s="539"/>
      <c r="G143" s="539"/>
      <c r="H143" s="539"/>
      <c r="I143" s="539"/>
      <c r="J143" s="539"/>
      <c r="K143" s="334">
        <f>M143+O143+Q143+S143+U143+W143+Y143+AA143</f>
        <v>2705</v>
      </c>
      <c r="L143" s="540"/>
      <c r="M143" s="540"/>
      <c r="N143" s="540"/>
      <c r="O143" s="540"/>
      <c r="P143" s="540"/>
      <c r="Q143" s="644">
        <v>450</v>
      </c>
      <c r="R143" s="540"/>
      <c r="S143" s="540"/>
      <c r="T143" s="540"/>
      <c r="U143" s="540"/>
      <c r="V143" s="540"/>
      <c r="W143" s="540">
        <v>413</v>
      </c>
      <c r="X143" s="540"/>
      <c r="Y143" s="540">
        <v>1842</v>
      </c>
      <c r="Z143" s="539"/>
      <c r="AA143" s="539"/>
      <c r="AB143" s="513"/>
      <c r="AC143" s="514"/>
    </row>
    <row r="144" spans="1:32" x14ac:dyDescent="0.2">
      <c r="M144" s="541"/>
      <c r="N144" s="479"/>
      <c r="O144" s="541"/>
      <c r="P144" s="479"/>
      <c r="Q144" s="541"/>
      <c r="R144" s="479"/>
      <c r="S144" s="541"/>
      <c r="T144" s="479"/>
      <c r="U144" s="542"/>
      <c r="V144" s="460"/>
      <c r="W144" s="542"/>
      <c r="X144" s="460"/>
      <c r="Y144" s="542"/>
      <c r="Z144" s="460"/>
      <c r="AA144" s="476"/>
      <c r="AC144" s="479"/>
    </row>
    <row r="145" spans="4:29" x14ac:dyDescent="0.2">
      <c r="I145" s="599">
        <f>I74-I89-I90-I91-I92-I93-I97-I110-I121-473-I120-I99</f>
        <v>147795</v>
      </c>
      <c r="M145" s="541"/>
      <c r="N145" s="479"/>
      <c r="O145" s="541"/>
      <c r="P145" s="479"/>
      <c r="Q145" s="541"/>
      <c r="R145" s="479"/>
      <c r="S145" s="541"/>
      <c r="T145" s="479"/>
      <c r="U145" s="542"/>
      <c r="V145" s="460"/>
      <c r="W145" s="542"/>
      <c r="X145" s="460"/>
      <c r="Y145" s="542"/>
      <c r="Z145" s="460"/>
      <c r="AA145" s="476"/>
      <c r="AC145" s="479"/>
    </row>
    <row r="146" spans="4:29" x14ac:dyDescent="0.2">
      <c r="M146" s="541"/>
      <c r="N146" s="479"/>
      <c r="O146" s="541"/>
      <c r="P146" s="479"/>
      <c r="Q146" s="541"/>
      <c r="R146" s="479"/>
      <c r="S146" s="541"/>
      <c r="T146" s="479"/>
      <c r="U146" s="542"/>
      <c r="V146" s="460"/>
      <c r="W146" s="542"/>
      <c r="X146" s="460"/>
      <c r="Y146" s="542"/>
      <c r="Z146" s="460"/>
      <c r="AA146" s="476"/>
      <c r="AC146" s="479"/>
    </row>
    <row r="147" spans="4:29" x14ac:dyDescent="0.2">
      <c r="M147" s="541"/>
      <c r="N147" s="479"/>
      <c r="O147" s="541"/>
      <c r="P147" s="479"/>
      <c r="Q147" s="541"/>
      <c r="R147" s="479"/>
      <c r="S147" s="541"/>
      <c r="T147" s="479"/>
      <c r="U147" s="542"/>
      <c r="V147" s="460"/>
      <c r="W147" s="542"/>
      <c r="X147" s="460"/>
      <c r="Y147" s="542"/>
      <c r="Z147" s="460"/>
      <c r="AA147" s="476"/>
      <c r="AC147" s="479"/>
    </row>
    <row r="148" spans="4:29" x14ac:dyDescent="0.2">
      <c r="M148" s="541"/>
      <c r="N148" s="479"/>
      <c r="O148" s="541"/>
      <c r="P148" s="479"/>
      <c r="Q148" s="541"/>
      <c r="R148" s="479"/>
      <c r="S148" s="541"/>
      <c r="T148" s="479"/>
      <c r="U148" s="542"/>
      <c r="V148" s="460"/>
      <c r="W148" s="542"/>
      <c r="X148" s="460"/>
      <c r="Y148" s="542"/>
      <c r="Z148" s="460"/>
      <c r="AA148" s="476"/>
      <c r="AC148" s="479"/>
    </row>
    <row r="149" spans="4:29" x14ac:dyDescent="0.2">
      <c r="M149" s="541"/>
      <c r="N149" s="479"/>
      <c r="O149" s="541"/>
      <c r="P149" s="479"/>
      <c r="Q149" s="541"/>
      <c r="R149" s="479"/>
      <c r="S149" s="541"/>
      <c r="T149" s="479"/>
      <c r="U149" s="542"/>
      <c r="V149" s="460"/>
      <c r="W149" s="542"/>
      <c r="X149" s="460"/>
      <c r="Y149" s="542"/>
      <c r="Z149" s="460"/>
      <c r="AA149" s="476"/>
      <c r="AC149" s="479"/>
    </row>
    <row r="150" spans="4:29" ht="18" hidden="1" customHeight="1" x14ac:dyDescent="0.2">
      <c r="D150" s="645"/>
    </row>
    <row r="151" spans="4:29" ht="15" hidden="1" customHeight="1" x14ac:dyDescent="0.2">
      <c r="D151" s="492">
        <v>44.167000000000002</v>
      </c>
    </row>
    <row r="152" spans="4:29" ht="12" hidden="1" customHeight="1" x14ac:dyDescent="0.2">
      <c r="D152" s="496"/>
    </row>
    <row r="153" spans="4:29" ht="15" hidden="1" customHeight="1" x14ac:dyDescent="0.2">
      <c r="D153" s="496">
        <v>44.167000000000002</v>
      </c>
    </row>
    <row r="154" spans="4:29" ht="15" hidden="1" customHeight="1" x14ac:dyDescent="0.2">
      <c r="D154" s="492">
        <v>9664.0190000000002</v>
      </c>
    </row>
    <row r="155" spans="4:29" ht="15" hidden="1" customHeight="1" x14ac:dyDescent="0.2">
      <c r="D155" s="496">
        <v>8845.5390000000007</v>
      </c>
    </row>
    <row r="156" spans="4:29" ht="15" hidden="1" customHeight="1" x14ac:dyDescent="0.2">
      <c r="D156" s="496">
        <v>818.48</v>
      </c>
    </row>
    <row r="157" spans="4:29" ht="15" hidden="1" customHeight="1" x14ac:dyDescent="0.2">
      <c r="D157" s="492">
        <v>6.9</v>
      </c>
    </row>
    <row r="158" spans="4:29" hidden="1" x14ac:dyDescent="0.2"/>
    <row r="159" spans="4:29" hidden="1" x14ac:dyDescent="0.2"/>
    <row r="160" spans="4:29" hidden="1" x14ac:dyDescent="0.2"/>
    <row r="161" spans="1:29" hidden="1" x14ac:dyDescent="0.2"/>
    <row r="162" spans="1:29" hidden="1" x14ac:dyDescent="0.2">
      <c r="B162" s="476"/>
      <c r="N162" s="479"/>
      <c r="P162" s="479"/>
      <c r="R162" s="479"/>
      <c r="T162" s="479"/>
      <c r="V162" s="479"/>
      <c r="W162" s="479"/>
      <c r="X162" s="479"/>
      <c r="Y162" s="479"/>
      <c r="Z162" s="479"/>
      <c r="AA162" s="479"/>
      <c r="AB162" s="479"/>
      <c r="AC162" s="479"/>
    </row>
    <row r="163" spans="1:29" ht="15" hidden="1" customHeight="1" x14ac:dyDescent="0.2">
      <c r="A163" s="2180" t="s">
        <v>152</v>
      </c>
      <c r="B163" s="2180"/>
      <c r="C163" s="2180"/>
      <c r="D163" s="2180"/>
      <c r="E163" s="2180"/>
      <c r="F163" s="2180"/>
      <c r="G163" s="2180"/>
      <c r="H163" s="2180"/>
      <c r="I163" s="2180"/>
      <c r="J163" s="2180"/>
      <c r="K163" s="2180"/>
      <c r="L163" s="2180"/>
      <c r="N163" s="479"/>
      <c r="P163" s="479"/>
      <c r="R163" s="479"/>
      <c r="T163" s="479"/>
      <c r="V163" s="479"/>
      <c r="W163" s="479"/>
      <c r="X163" s="479"/>
      <c r="Y163" s="479"/>
      <c r="Z163" s="479"/>
      <c r="AA163" s="479"/>
      <c r="AB163" s="479"/>
      <c r="AC163" s="479"/>
    </row>
    <row r="164" spans="1:29" hidden="1" x14ac:dyDescent="0.2">
      <c r="B164" s="476"/>
      <c r="N164" s="479"/>
      <c r="P164" s="479"/>
      <c r="R164" s="479"/>
      <c r="T164" s="479"/>
      <c r="V164" s="479"/>
      <c r="W164" s="479"/>
      <c r="X164" s="479"/>
      <c r="Y164" s="479"/>
      <c r="Z164" s="479"/>
      <c r="AA164" s="479"/>
      <c r="AB164" s="479"/>
      <c r="AC164" s="479"/>
    </row>
    <row r="165" spans="1:29" hidden="1" x14ac:dyDescent="0.2">
      <c r="B165" s="476"/>
      <c r="N165" s="479"/>
      <c r="P165" s="479"/>
      <c r="R165" s="479"/>
      <c r="T165" s="479"/>
      <c r="V165" s="479"/>
      <c r="W165" s="479"/>
      <c r="X165" s="479"/>
      <c r="Y165" s="479"/>
      <c r="Z165" s="479"/>
      <c r="AA165" s="479"/>
      <c r="AB165" s="479"/>
      <c r="AC165" s="479"/>
    </row>
    <row r="166" spans="1:29" ht="25.5" hidden="1" x14ac:dyDescent="0.2">
      <c r="A166" s="493" t="s">
        <v>2</v>
      </c>
      <c r="B166" s="492" t="s">
        <v>436</v>
      </c>
      <c r="C166" s="507">
        <v>316230.57900000003</v>
      </c>
      <c r="D166" s="507"/>
      <c r="E166" s="507">
        <v>6912.68</v>
      </c>
      <c r="F166" s="507"/>
      <c r="G166" s="507"/>
      <c r="H166" s="507"/>
      <c r="I166" s="507"/>
      <c r="J166" s="507"/>
      <c r="K166" s="507"/>
      <c r="L166" s="495">
        <v>317659.12</v>
      </c>
      <c r="N166" s="479"/>
      <c r="P166" s="479"/>
      <c r="R166" s="479"/>
      <c r="T166" s="479"/>
      <c r="V166" s="479"/>
      <c r="W166" s="479"/>
      <c r="X166" s="479"/>
      <c r="Y166" s="479"/>
      <c r="Z166" s="479"/>
      <c r="AA166" s="479"/>
      <c r="AB166" s="479"/>
      <c r="AC166" s="479"/>
    </row>
    <row r="167" spans="1:29" hidden="1" x14ac:dyDescent="0.2">
      <c r="A167" s="543" t="s">
        <v>9</v>
      </c>
      <c r="B167" s="544" t="s">
        <v>437</v>
      </c>
      <c r="C167" s="545">
        <v>283633</v>
      </c>
      <c r="D167" s="545"/>
      <c r="E167" s="545">
        <v>5782.8700000000008</v>
      </c>
      <c r="F167" s="545"/>
      <c r="G167" s="545"/>
      <c r="H167" s="545"/>
      <c r="I167" s="545"/>
      <c r="J167" s="545"/>
      <c r="K167" s="545"/>
      <c r="L167" s="546">
        <v>286010.391</v>
      </c>
      <c r="N167" s="479"/>
      <c r="P167" s="479"/>
      <c r="R167" s="479"/>
      <c r="T167" s="479"/>
      <c r="V167" s="479"/>
      <c r="W167" s="479"/>
      <c r="X167" s="479"/>
      <c r="Y167" s="479"/>
      <c r="Z167" s="479"/>
      <c r="AA167" s="479"/>
      <c r="AB167" s="479"/>
      <c r="AC167" s="479"/>
    </row>
    <row r="168" spans="1:29" hidden="1" x14ac:dyDescent="0.2">
      <c r="A168" s="543">
        <v>1</v>
      </c>
      <c r="B168" s="544" t="s">
        <v>24</v>
      </c>
      <c r="C168" s="545">
        <v>9405</v>
      </c>
      <c r="D168" s="545"/>
      <c r="E168" s="545">
        <v>5646.1090000000004</v>
      </c>
      <c r="F168" s="545"/>
      <c r="G168" s="545"/>
      <c r="H168" s="545"/>
      <c r="I168" s="545"/>
      <c r="J168" s="545"/>
      <c r="K168" s="545"/>
      <c r="L168" s="545">
        <v>11842.391</v>
      </c>
      <c r="N168" s="479"/>
      <c r="P168" s="479"/>
      <c r="R168" s="479"/>
      <c r="T168" s="479"/>
      <c r="V168" s="479"/>
      <c r="W168" s="479"/>
      <c r="X168" s="479"/>
      <c r="Y168" s="479"/>
      <c r="Z168" s="479"/>
      <c r="AA168" s="479"/>
      <c r="AB168" s="479"/>
      <c r="AC168" s="479"/>
    </row>
    <row r="169" spans="1:29" ht="51" hidden="1" x14ac:dyDescent="0.2">
      <c r="A169" s="543" t="s">
        <v>438</v>
      </c>
      <c r="B169" s="547" t="s">
        <v>25</v>
      </c>
      <c r="C169" s="526"/>
      <c r="D169" s="526"/>
      <c r="E169" s="526"/>
      <c r="F169" s="526"/>
      <c r="G169" s="526"/>
      <c r="H169" s="526"/>
      <c r="I169" s="526"/>
      <c r="J169" s="526"/>
      <c r="K169" s="526"/>
      <c r="L169" s="548"/>
      <c r="N169" s="479"/>
      <c r="P169" s="479"/>
      <c r="R169" s="479"/>
      <c r="T169" s="479"/>
      <c r="V169" s="479"/>
      <c r="W169" s="479"/>
      <c r="X169" s="479"/>
      <c r="Y169" s="479"/>
      <c r="Z169" s="479"/>
      <c r="AA169" s="479"/>
      <c r="AB169" s="479"/>
      <c r="AC169" s="479"/>
    </row>
    <row r="170" spans="1:29" hidden="1" x14ac:dyDescent="0.2">
      <c r="A170" s="543" t="s">
        <v>439</v>
      </c>
      <c r="B170" s="544" t="s">
        <v>440</v>
      </c>
      <c r="C170" s="545">
        <v>9405</v>
      </c>
      <c r="D170" s="545"/>
      <c r="E170" s="545">
        <v>5646.1090000000004</v>
      </c>
      <c r="F170" s="545"/>
      <c r="G170" s="545"/>
      <c r="H170" s="545"/>
      <c r="I170" s="545"/>
      <c r="J170" s="545"/>
      <c r="K170" s="545"/>
      <c r="L170" s="545">
        <v>11842.391</v>
      </c>
      <c r="N170" s="479"/>
      <c r="P170" s="479"/>
      <c r="R170" s="479"/>
      <c r="T170" s="479"/>
      <c r="V170" s="479"/>
      <c r="W170" s="479"/>
      <c r="X170" s="479"/>
      <c r="Y170" s="479"/>
      <c r="Z170" s="479"/>
      <c r="AA170" s="479"/>
      <c r="AB170" s="479"/>
      <c r="AC170" s="479"/>
    </row>
    <row r="171" spans="1:29" hidden="1" x14ac:dyDescent="0.2">
      <c r="A171" s="543"/>
      <c r="B171" s="544" t="s">
        <v>5</v>
      </c>
      <c r="C171" s="526"/>
      <c r="D171" s="526"/>
      <c r="E171" s="526"/>
      <c r="F171" s="526"/>
      <c r="G171" s="526"/>
      <c r="H171" s="526"/>
      <c r="I171" s="526"/>
      <c r="J171" s="526"/>
      <c r="K171" s="526"/>
      <c r="L171" s="548"/>
      <c r="N171" s="479"/>
      <c r="P171" s="479"/>
      <c r="R171" s="479"/>
      <c r="T171" s="479"/>
      <c r="V171" s="479"/>
      <c r="W171" s="479"/>
      <c r="X171" s="479"/>
      <c r="Y171" s="479"/>
      <c r="Z171" s="479"/>
      <c r="AA171" s="479"/>
      <c r="AB171" s="479"/>
      <c r="AC171" s="479"/>
    </row>
    <row r="172" spans="1:29" ht="25.5" hidden="1" x14ac:dyDescent="0.2">
      <c r="A172" s="543" t="s">
        <v>441</v>
      </c>
      <c r="B172" s="544" t="s">
        <v>442</v>
      </c>
      <c r="C172" s="545">
        <v>3780</v>
      </c>
      <c r="D172" s="545"/>
      <c r="E172" s="545">
        <v>2857.33</v>
      </c>
      <c r="F172" s="545"/>
      <c r="G172" s="545"/>
      <c r="H172" s="545"/>
      <c r="I172" s="545"/>
      <c r="J172" s="545"/>
      <c r="K172" s="545"/>
      <c r="L172" s="545">
        <v>6217.3909999999996</v>
      </c>
      <c r="N172" s="479"/>
      <c r="P172" s="479"/>
      <c r="R172" s="479"/>
      <c r="T172" s="479"/>
      <c r="V172" s="479"/>
      <c r="W172" s="479"/>
      <c r="X172" s="479"/>
      <c r="Y172" s="479"/>
      <c r="Z172" s="479"/>
      <c r="AA172" s="479"/>
      <c r="AB172" s="479"/>
      <c r="AC172" s="479"/>
    </row>
    <row r="173" spans="1:29" hidden="1" x14ac:dyDescent="0.2">
      <c r="A173" s="549" t="s">
        <v>146</v>
      </c>
      <c r="B173" s="511" t="s">
        <v>443</v>
      </c>
      <c r="C173" s="526"/>
      <c r="D173" s="526"/>
      <c r="E173" s="526"/>
      <c r="F173" s="526"/>
      <c r="G173" s="526"/>
      <c r="H173" s="526"/>
      <c r="I173" s="526"/>
      <c r="J173" s="526"/>
      <c r="K173" s="526"/>
      <c r="L173" s="548"/>
      <c r="N173" s="479"/>
      <c r="P173" s="479"/>
      <c r="R173" s="479"/>
      <c r="T173" s="479"/>
      <c r="V173" s="479"/>
      <c r="W173" s="479"/>
      <c r="X173" s="479"/>
      <c r="Y173" s="479"/>
      <c r="Z173" s="479"/>
      <c r="AA173" s="479"/>
      <c r="AB173" s="479"/>
      <c r="AC173" s="479"/>
    </row>
    <row r="174" spans="1:29" hidden="1" x14ac:dyDescent="0.2">
      <c r="A174" s="549" t="s">
        <v>147</v>
      </c>
      <c r="B174" s="511" t="s">
        <v>26</v>
      </c>
      <c r="C174" s="526">
        <v>3780</v>
      </c>
      <c r="D174" s="526"/>
      <c r="E174" s="526">
        <v>2857.33</v>
      </c>
      <c r="F174" s="526"/>
      <c r="G174" s="526"/>
      <c r="H174" s="526"/>
      <c r="I174" s="526"/>
      <c r="J174" s="526"/>
      <c r="K174" s="526"/>
      <c r="L174" s="526">
        <v>6217.3909999999996</v>
      </c>
      <c r="N174" s="479"/>
      <c r="P174" s="479"/>
      <c r="R174" s="479"/>
      <c r="T174" s="479"/>
      <c r="V174" s="479"/>
      <c r="W174" s="479"/>
      <c r="X174" s="479"/>
      <c r="Y174" s="479"/>
      <c r="Z174" s="479"/>
      <c r="AA174" s="479"/>
      <c r="AB174" s="479"/>
      <c r="AC174" s="479"/>
    </row>
    <row r="175" spans="1:29" hidden="1" x14ac:dyDescent="0.2">
      <c r="A175" s="550" t="s">
        <v>288</v>
      </c>
      <c r="B175" s="551" t="s">
        <v>28</v>
      </c>
      <c r="C175" s="526">
        <v>1000</v>
      </c>
      <c r="D175" s="526"/>
      <c r="E175" s="526">
        <v>1251.615</v>
      </c>
      <c r="F175" s="526"/>
      <c r="G175" s="526"/>
      <c r="H175" s="526"/>
      <c r="I175" s="526"/>
      <c r="J175" s="526"/>
      <c r="K175" s="526"/>
      <c r="L175" s="548">
        <v>2299.8420000000001</v>
      </c>
      <c r="N175" s="479"/>
      <c r="P175" s="479"/>
      <c r="R175" s="479"/>
      <c r="T175" s="479"/>
      <c r="V175" s="479"/>
      <c r="W175" s="479"/>
      <c r="X175" s="479"/>
      <c r="Y175" s="479"/>
      <c r="Z175" s="479"/>
      <c r="AA175" s="479"/>
      <c r="AB175" s="479"/>
      <c r="AC175" s="479"/>
    </row>
    <row r="176" spans="1:29" hidden="1" x14ac:dyDescent="0.2">
      <c r="A176" s="550" t="s">
        <v>288</v>
      </c>
      <c r="B176" s="551" t="s">
        <v>459</v>
      </c>
      <c r="C176" s="526">
        <v>930</v>
      </c>
      <c r="D176" s="526"/>
      <c r="E176" s="526">
        <v>446.65499999999997</v>
      </c>
      <c r="F176" s="526"/>
      <c r="G176" s="526"/>
      <c r="H176" s="526"/>
      <c r="I176" s="526"/>
      <c r="J176" s="526"/>
      <c r="K176" s="526"/>
      <c r="L176" s="548">
        <v>1552.25</v>
      </c>
      <c r="N176" s="479"/>
      <c r="P176" s="479"/>
      <c r="R176" s="479"/>
      <c r="T176" s="479"/>
      <c r="V176" s="479"/>
      <c r="W176" s="479"/>
      <c r="X176" s="479"/>
      <c r="Y176" s="479"/>
      <c r="Z176" s="479"/>
      <c r="AA176" s="479"/>
      <c r="AB176" s="479"/>
      <c r="AC176" s="479"/>
    </row>
    <row r="177" spans="1:29" hidden="1" x14ac:dyDescent="0.2">
      <c r="A177" s="550" t="s">
        <v>288</v>
      </c>
      <c r="B177" s="551" t="s">
        <v>461</v>
      </c>
      <c r="C177" s="526">
        <v>1380</v>
      </c>
      <c r="D177" s="526"/>
      <c r="E177" s="526">
        <v>1159.06</v>
      </c>
      <c r="F177" s="526"/>
      <c r="G177" s="526"/>
      <c r="H177" s="526"/>
      <c r="I177" s="526"/>
      <c r="J177" s="526"/>
      <c r="K177" s="526"/>
      <c r="L177" s="548">
        <v>1695.299</v>
      </c>
      <c r="N177" s="479"/>
      <c r="P177" s="479"/>
      <c r="R177" s="479"/>
      <c r="T177" s="479"/>
      <c r="V177" s="479"/>
      <c r="W177" s="479"/>
      <c r="X177" s="479"/>
      <c r="Y177" s="479"/>
      <c r="Z177" s="479"/>
      <c r="AA177" s="479"/>
      <c r="AB177" s="479"/>
      <c r="AC177" s="479"/>
    </row>
    <row r="178" spans="1:29" hidden="1" x14ac:dyDescent="0.2">
      <c r="A178" s="550" t="s">
        <v>288</v>
      </c>
      <c r="B178" s="551" t="s">
        <v>75</v>
      </c>
      <c r="C178" s="526"/>
      <c r="D178" s="526"/>
      <c r="E178" s="526"/>
      <c r="F178" s="526"/>
      <c r="G178" s="526"/>
      <c r="H178" s="526"/>
      <c r="I178" s="526"/>
      <c r="J178" s="526"/>
      <c r="K178" s="526"/>
      <c r="L178" s="548">
        <v>200</v>
      </c>
      <c r="N178" s="479"/>
      <c r="P178" s="479"/>
      <c r="R178" s="479"/>
      <c r="T178" s="479"/>
      <c r="V178" s="479"/>
      <c r="W178" s="479"/>
      <c r="X178" s="479"/>
      <c r="Y178" s="479"/>
      <c r="Z178" s="479"/>
      <c r="AA178" s="479"/>
      <c r="AB178" s="479"/>
      <c r="AC178" s="479"/>
    </row>
    <row r="179" spans="1:29" hidden="1" x14ac:dyDescent="0.2">
      <c r="A179" s="550" t="s">
        <v>288</v>
      </c>
      <c r="B179" s="551" t="s">
        <v>464</v>
      </c>
      <c r="C179" s="526">
        <v>470</v>
      </c>
      <c r="D179" s="526"/>
      <c r="E179" s="526"/>
      <c r="F179" s="526"/>
      <c r="G179" s="526"/>
      <c r="H179" s="526"/>
      <c r="I179" s="526"/>
      <c r="J179" s="526"/>
      <c r="K179" s="526"/>
      <c r="L179" s="548">
        <v>470</v>
      </c>
      <c r="N179" s="479"/>
      <c r="P179" s="479"/>
      <c r="R179" s="479"/>
      <c r="T179" s="479"/>
      <c r="V179" s="479"/>
      <c r="W179" s="479"/>
      <c r="X179" s="479"/>
      <c r="Y179" s="479"/>
      <c r="Z179" s="479"/>
      <c r="AA179" s="479"/>
      <c r="AB179" s="479"/>
      <c r="AC179" s="479"/>
    </row>
    <row r="180" spans="1:29" ht="25.5" hidden="1" x14ac:dyDescent="0.2">
      <c r="A180" s="543" t="s">
        <v>447</v>
      </c>
      <c r="B180" s="544" t="s">
        <v>448</v>
      </c>
      <c r="C180" s="545">
        <v>5625</v>
      </c>
      <c r="D180" s="545"/>
      <c r="E180" s="545">
        <v>2788.779</v>
      </c>
      <c r="F180" s="545"/>
      <c r="G180" s="545"/>
      <c r="H180" s="545"/>
      <c r="I180" s="545"/>
      <c r="J180" s="545"/>
      <c r="K180" s="545"/>
      <c r="L180" s="545">
        <v>5625</v>
      </c>
      <c r="N180" s="479"/>
      <c r="P180" s="479"/>
      <c r="R180" s="479"/>
      <c r="T180" s="479"/>
      <c r="V180" s="479"/>
      <c r="W180" s="479"/>
      <c r="X180" s="479"/>
      <c r="Y180" s="479"/>
      <c r="Z180" s="479"/>
      <c r="AA180" s="479"/>
      <c r="AB180" s="479"/>
      <c r="AC180" s="479"/>
    </row>
    <row r="181" spans="1:29" hidden="1" x14ac:dyDescent="0.2">
      <c r="A181" s="550" t="s">
        <v>146</v>
      </c>
      <c r="B181" s="551" t="s">
        <v>28</v>
      </c>
      <c r="C181" s="526"/>
      <c r="D181" s="526"/>
      <c r="E181" s="526"/>
      <c r="F181" s="526"/>
      <c r="G181" s="526"/>
      <c r="H181" s="526"/>
      <c r="I181" s="526"/>
      <c r="J181" s="526"/>
      <c r="K181" s="526"/>
      <c r="L181" s="548">
        <v>0</v>
      </c>
      <c r="N181" s="479"/>
      <c r="P181" s="479"/>
      <c r="R181" s="479"/>
      <c r="T181" s="479"/>
      <c r="V181" s="479"/>
      <c r="W181" s="479"/>
      <c r="X181" s="479"/>
      <c r="Y181" s="479"/>
      <c r="Z181" s="479"/>
      <c r="AA181" s="479"/>
      <c r="AB181" s="479"/>
      <c r="AC181" s="479"/>
    </row>
    <row r="182" spans="1:29" hidden="1" x14ac:dyDescent="0.2">
      <c r="A182" s="550" t="s">
        <v>147</v>
      </c>
      <c r="B182" s="551" t="s">
        <v>29</v>
      </c>
      <c r="C182" s="526"/>
      <c r="D182" s="526"/>
      <c r="E182" s="526"/>
      <c r="F182" s="526"/>
      <c r="G182" s="526"/>
      <c r="H182" s="526"/>
      <c r="I182" s="526"/>
      <c r="J182" s="526"/>
      <c r="K182" s="526"/>
      <c r="L182" s="548">
        <v>0</v>
      </c>
      <c r="N182" s="479"/>
      <c r="P182" s="479"/>
      <c r="R182" s="479"/>
      <c r="T182" s="479"/>
      <c r="V182" s="479"/>
      <c r="W182" s="479"/>
      <c r="X182" s="479"/>
      <c r="Y182" s="479"/>
      <c r="Z182" s="479"/>
      <c r="AA182" s="479"/>
      <c r="AB182" s="479"/>
      <c r="AC182" s="479"/>
    </row>
    <row r="183" spans="1:29" hidden="1" x14ac:dyDescent="0.2">
      <c r="A183" s="550" t="s">
        <v>445</v>
      </c>
      <c r="B183" s="551" t="s">
        <v>75</v>
      </c>
      <c r="C183" s="526"/>
      <c r="D183" s="526"/>
      <c r="E183" s="526"/>
      <c r="F183" s="526"/>
      <c r="G183" s="526"/>
      <c r="H183" s="526"/>
      <c r="I183" s="526"/>
      <c r="J183" s="526"/>
      <c r="K183" s="526"/>
      <c r="L183" s="548">
        <v>0</v>
      </c>
      <c r="N183" s="479"/>
      <c r="P183" s="479"/>
      <c r="R183" s="479"/>
      <c r="T183" s="479"/>
      <c r="V183" s="479"/>
      <c r="W183" s="479"/>
      <c r="X183" s="479"/>
      <c r="Y183" s="479"/>
      <c r="Z183" s="479"/>
      <c r="AA183" s="479"/>
      <c r="AB183" s="479"/>
      <c r="AC183" s="479"/>
    </row>
    <row r="184" spans="1:29" hidden="1" x14ac:dyDescent="0.2">
      <c r="A184" s="550" t="s">
        <v>449</v>
      </c>
      <c r="B184" s="551" t="s">
        <v>450</v>
      </c>
      <c r="C184" s="526"/>
      <c r="D184" s="526"/>
      <c r="E184" s="526"/>
      <c r="F184" s="526"/>
      <c r="G184" s="526"/>
      <c r="H184" s="526"/>
      <c r="I184" s="526"/>
      <c r="J184" s="526"/>
      <c r="K184" s="526"/>
      <c r="L184" s="548">
        <v>0</v>
      </c>
      <c r="N184" s="479"/>
      <c r="P184" s="479"/>
      <c r="R184" s="479"/>
      <c r="T184" s="479"/>
      <c r="V184" s="479"/>
      <c r="W184" s="479"/>
      <c r="X184" s="479"/>
      <c r="Y184" s="479"/>
      <c r="Z184" s="479"/>
      <c r="AA184" s="479"/>
      <c r="AB184" s="479"/>
      <c r="AC184" s="479"/>
    </row>
    <row r="185" spans="1:29" hidden="1" x14ac:dyDescent="0.2">
      <c r="A185" s="550" t="s">
        <v>451</v>
      </c>
      <c r="B185" s="551" t="s">
        <v>77</v>
      </c>
      <c r="C185" s="526"/>
      <c r="D185" s="526"/>
      <c r="E185" s="526"/>
      <c r="F185" s="526"/>
      <c r="G185" s="526"/>
      <c r="H185" s="526"/>
      <c r="I185" s="526"/>
      <c r="J185" s="526"/>
      <c r="K185" s="526"/>
      <c r="L185" s="548">
        <v>0</v>
      </c>
      <c r="N185" s="479"/>
      <c r="P185" s="479"/>
      <c r="R185" s="479"/>
      <c r="T185" s="479"/>
      <c r="V185" s="479"/>
      <c r="W185" s="479"/>
      <c r="X185" s="479"/>
      <c r="Y185" s="479"/>
      <c r="Z185" s="479"/>
      <c r="AA185" s="479"/>
      <c r="AB185" s="479"/>
      <c r="AC185" s="479"/>
    </row>
    <row r="186" spans="1:29" hidden="1" x14ac:dyDescent="0.2">
      <c r="A186" s="550" t="s">
        <v>452</v>
      </c>
      <c r="B186" s="551" t="s">
        <v>78</v>
      </c>
      <c r="C186" s="526"/>
      <c r="D186" s="526"/>
      <c r="E186" s="526"/>
      <c r="F186" s="526"/>
      <c r="G186" s="526"/>
      <c r="H186" s="526"/>
      <c r="I186" s="526"/>
      <c r="J186" s="526"/>
      <c r="K186" s="526"/>
      <c r="L186" s="548">
        <v>0</v>
      </c>
      <c r="N186" s="479"/>
      <c r="P186" s="479"/>
      <c r="R186" s="479"/>
      <c r="T186" s="479"/>
      <c r="V186" s="479"/>
      <c r="W186" s="479"/>
      <c r="X186" s="479"/>
      <c r="Y186" s="479"/>
      <c r="Z186" s="479"/>
      <c r="AA186" s="479"/>
      <c r="AB186" s="479"/>
      <c r="AC186" s="479"/>
    </row>
    <row r="187" spans="1:29" hidden="1" x14ac:dyDescent="0.2">
      <c r="A187" s="550" t="s">
        <v>453</v>
      </c>
      <c r="B187" s="551" t="s">
        <v>454</v>
      </c>
      <c r="C187" s="526"/>
      <c r="D187" s="526"/>
      <c r="E187" s="526"/>
      <c r="F187" s="526"/>
      <c r="G187" s="526"/>
      <c r="H187" s="526"/>
      <c r="I187" s="526"/>
      <c r="J187" s="526"/>
      <c r="K187" s="526"/>
      <c r="L187" s="548">
        <v>0</v>
      </c>
      <c r="N187" s="479"/>
      <c r="P187" s="479"/>
      <c r="R187" s="479"/>
      <c r="T187" s="479"/>
      <c r="V187" s="479"/>
      <c r="W187" s="479"/>
      <c r="X187" s="479"/>
      <c r="Y187" s="479"/>
      <c r="Z187" s="479"/>
      <c r="AA187" s="479"/>
      <c r="AB187" s="479"/>
      <c r="AC187" s="479"/>
    </row>
    <row r="188" spans="1:29" hidden="1" x14ac:dyDescent="0.2">
      <c r="A188" s="550" t="s">
        <v>455</v>
      </c>
      <c r="B188" s="551" t="s">
        <v>456</v>
      </c>
      <c r="C188" s="526"/>
      <c r="D188" s="526"/>
      <c r="E188" s="526"/>
      <c r="F188" s="526"/>
      <c r="G188" s="526"/>
      <c r="H188" s="526"/>
      <c r="I188" s="526"/>
      <c r="J188" s="526"/>
      <c r="K188" s="526"/>
      <c r="L188" s="548">
        <v>0</v>
      </c>
      <c r="N188" s="479"/>
      <c r="P188" s="479"/>
      <c r="R188" s="479"/>
      <c r="T188" s="479"/>
      <c r="V188" s="479"/>
      <c r="W188" s="479"/>
      <c r="X188" s="479"/>
      <c r="Y188" s="479"/>
      <c r="Z188" s="479"/>
      <c r="AA188" s="479"/>
      <c r="AB188" s="479"/>
      <c r="AC188" s="479"/>
    </row>
    <row r="189" spans="1:29" hidden="1" x14ac:dyDescent="0.2">
      <c r="A189" s="550" t="s">
        <v>457</v>
      </c>
      <c r="B189" s="551" t="s">
        <v>81</v>
      </c>
      <c r="C189" s="526"/>
      <c r="D189" s="526"/>
      <c r="E189" s="526"/>
      <c r="F189" s="526"/>
      <c r="G189" s="526"/>
      <c r="H189" s="526"/>
      <c r="I189" s="526"/>
      <c r="J189" s="526"/>
      <c r="K189" s="526"/>
      <c r="L189" s="548">
        <v>0</v>
      </c>
      <c r="N189" s="479"/>
      <c r="P189" s="479"/>
      <c r="R189" s="479"/>
      <c r="T189" s="479"/>
      <c r="V189" s="479"/>
      <c r="W189" s="479"/>
      <c r="X189" s="479"/>
      <c r="Y189" s="479"/>
      <c r="Z189" s="479"/>
      <c r="AA189" s="479"/>
      <c r="AB189" s="479"/>
      <c r="AC189" s="479"/>
    </row>
    <row r="190" spans="1:29" hidden="1" x14ac:dyDescent="0.2">
      <c r="A190" s="550" t="s">
        <v>458</v>
      </c>
      <c r="B190" s="551" t="s">
        <v>459</v>
      </c>
      <c r="C190" s="526">
        <v>5625</v>
      </c>
      <c r="D190" s="526"/>
      <c r="E190" s="526">
        <v>2788.779</v>
      </c>
      <c r="F190" s="526"/>
      <c r="G190" s="526"/>
      <c r="H190" s="526"/>
      <c r="I190" s="526"/>
      <c r="J190" s="526"/>
      <c r="K190" s="526"/>
      <c r="L190" s="548">
        <v>5625</v>
      </c>
      <c r="N190" s="479"/>
      <c r="P190" s="479"/>
      <c r="R190" s="479"/>
      <c r="T190" s="479"/>
      <c r="V190" s="479"/>
      <c r="W190" s="479"/>
      <c r="X190" s="479"/>
      <c r="Y190" s="479"/>
      <c r="Z190" s="479"/>
      <c r="AA190" s="479"/>
      <c r="AB190" s="479"/>
      <c r="AC190" s="479"/>
    </row>
    <row r="191" spans="1:29" hidden="1" x14ac:dyDescent="0.2">
      <c r="A191" s="550" t="s">
        <v>460</v>
      </c>
      <c r="B191" s="551" t="s">
        <v>461</v>
      </c>
      <c r="C191" s="526"/>
      <c r="D191" s="526"/>
      <c r="E191" s="526"/>
      <c r="F191" s="526"/>
      <c r="G191" s="526"/>
      <c r="H191" s="526"/>
      <c r="I191" s="526"/>
      <c r="J191" s="526"/>
      <c r="K191" s="526"/>
      <c r="L191" s="548">
        <v>0</v>
      </c>
      <c r="N191" s="479"/>
      <c r="P191" s="479"/>
      <c r="R191" s="479"/>
      <c r="T191" s="479"/>
      <c r="V191" s="479"/>
      <c r="W191" s="479"/>
      <c r="X191" s="479"/>
      <c r="Y191" s="479"/>
      <c r="Z191" s="479"/>
      <c r="AA191" s="479"/>
      <c r="AB191" s="479"/>
      <c r="AC191" s="479"/>
    </row>
    <row r="192" spans="1:29" hidden="1" x14ac:dyDescent="0.2">
      <c r="A192" s="550" t="s">
        <v>462</v>
      </c>
      <c r="B192" s="551" t="s">
        <v>84</v>
      </c>
      <c r="C192" s="526"/>
      <c r="D192" s="526"/>
      <c r="E192" s="526"/>
      <c r="F192" s="526"/>
      <c r="G192" s="526"/>
      <c r="H192" s="526"/>
      <c r="I192" s="526"/>
      <c r="J192" s="526"/>
      <c r="K192" s="526"/>
      <c r="L192" s="548">
        <v>0</v>
      </c>
      <c r="N192" s="479"/>
      <c r="P192" s="479"/>
      <c r="R192" s="479"/>
      <c r="T192" s="479"/>
      <c r="V192" s="479"/>
      <c r="W192" s="479"/>
      <c r="X192" s="479"/>
      <c r="Y192" s="479"/>
      <c r="Z192" s="479"/>
      <c r="AA192" s="479"/>
      <c r="AB192" s="479"/>
      <c r="AC192" s="479"/>
    </row>
    <row r="193" spans="1:29" hidden="1" x14ac:dyDescent="0.2">
      <c r="A193" s="552" t="s">
        <v>463</v>
      </c>
      <c r="B193" s="553" t="s">
        <v>464</v>
      </c>
      <c r="C193" s="554"/>
      <c r="D193" s="554"/>
      <c r="E193" s="554"/>
      <c r="F193" s="554"/>
      <c r="G193" s="554"/>
      <c r="H193" s="554"/>
      <c r="I193" s="554"/>
      <c r="J193" s="554"/>
      <c r="K193" s="554"/>
      <c r="L193" s="555">
        <v>0</v>
      </c>
      <c r="N193" s="479"/>
      <c r="P193" s="479"/>
      <c r="R193" s="479"/>
      <c r="T193" s="479"/>
      <c r="V193" s="479"/>
      <c r="W193" s="479"/>
      <c r="X193" s="479"/>
      <c r="Y193" s="479"/>
      <c r="Z193" s="479"/>
      <c r="AA193" s="479"/>
      <c r="AB193" s="479"/>
      <c r="AC193" s="479"/>
    </row>
    <row r="194" spans="1:29" hidden="1" x14ac:dyDescent="0.2">
      <c r="A194" s="556">
        <v>2</v>
      </c>
      <c r="B194" s="557" t="s">
        <v>19</v>
      </c>
      <c r="C194" s="558">
        <v>268678</v>
      </c>
      <c r="D194" s="558"/>
      <c r="E194" s="558">
        <v>0</v>
      </c>
      <c r="F194" s="558"/>
      <c r="G194" s="558"/>
      <c r="H194" s="558"/>
      <c r="I194" s="558"/>
      <c r="J194" s="558"/>
      <c r="K194" s="558"/>
      <c r="L194" s="559">
        <v>268618</v>
      </c>
      <c r="N194" s="479"/>
      <c r="P194" s="479"/>
      <c r="R194" s="479"/>
      <c r="T194" s="479"/>
      <c r="V194" s="479"/>
      <c r="W194" s="479"/>
      <c r="X194" s="479"/>
      <c r="Y194" s="479"/>
      <c r="Z194" s="479"/>
      <c r="AA194" s="479"/>
      <c r="AB194" s="479"/>
      <c r="AC194" s="479"/>
    </row>
    <row r="195" spans="1:29" hidden="1" x14ac:dyDescent="0.2">
      <c r="A195" s="560" t="s">
        <v>146</v>
      </c>
      <c r="B195" s="561" t="s">
        <v>28</v>
      </c>
      <c r="C195" s="562">
        <v>138853</v>
      </c>
      <c r="D195" s="562"/>
      <c r="E195" s="562"/>
      <c r="F195" s="562"/>
      <c r="G195" s="562"/>
      <c r="H195" s="562"/>
      <c r="I195" s="562"/>
      <c r="J195" s="562"/>
      <c r="K195" s="562"/>
      <c r="L195" s="563">
        <v>138853</v>
      </c>
      <c r="N195" s="479"/>
      <c r="P195" s="479"/>
      <c r="R195" s="479"/>
      <c r="T195" s="479"/>
      <c r="V195" s="479"/>
      <c r="W195" s="479"/>
      <c r="X195" s="479"/>
      <c r="Y195" s="479"/>
      <c r="Z195" s="479"/>
      <c r="AA195" s="479"/>
      <c r="AB195" s="479"/>
      <c r="AC195" s="479"/>
    </row>
    <row r="196" spans="1:29" hidden="1" x14ac:dyDescent="0.2">
      <c r="A196" s="550" t="s">
        <v>147</v>
      </c>
      <c r="B196" s="551" t="s">
        <v>29</v>
      </c>
      <c r="C196" s="526"/>
      <c r="D196" s="526"/>
      <c r="E196" s="526"/>
      <c r="F196" s="526"/>
      <c r="G196" s="526"/>
      <c r="H196" s="526"/>
      <c r="I196" s="526"/>
      <c r="J196" s="526"/>
      <c r="K196" s="526"/>
      <c r="L196" s="548">
        <v>0</v>
      </c>
      <c r="N196" s="479"/>
      <c r="P196" s="479"/>
      <c r="R196" s="479"/>
      <c r="T196" s="479"/>
      <c r="V196" s="479"/>
      <c r="W196" s="479"/>
      <c r="X196" s="479"/>
      <c r="Y196" s="479"/>
      <c r="Z196" s="479"/>
      <c r="AA196" s="479"/>
      <c r="AB196" s="479"/>
      <c r="AC196" s="479"/>
    </row>
    <row r="197" spans="1:29" hidden="1" x14ac:dyDescent="0.2">
      <c r="A197" s="550" t="s">
        <v>445</v>
      </c>
      <c r="B197" s="551" t="s">
        <v>75</v>
      </c>
      <c r="C197" s="526">
        <v>6512</v>
      </c>
      <c r="D197" s="526"/>
      <c r="E197" s="526"/>
      <c r="F197" s="526"/>
      <c r="G197" s="526"/>
      <c r="H197" s="526"/>
      <c r="I197" s="526"/>
      <c r="J197" s="526"/>
      <c r="K197" s="526"/>
      <c r="L197" s="548">
        <v>6512</v>
      </c>
      <c r="N197" s="479"/>
      <c r="P197" s="479"/>
      <c r="R197" s="479"/>
      <c r="T197" s="479"/>
      <c r="V197" s="479"/>
      <c r="W197" s="479"/>
      <c r="X197" s="479"/>
      <c r="Y197" s="479"/>
      <c r="Z197" s="479"/>
      <c r="AA197" s="479"/>
      <c r="AB197" s="479"/>
      <c r="AC197" s="479"/>
    </row>
    <row r="198" spans="1:29" hidden="1" x14ac:dyDescent="0.2">
      <c r="A198" s="550" t="s">
        <v>449</v>
      </c>
      <c r="B198" s="551" t="s">
        <v>450</v>
      </c>
      <c r="C198" s="526">
        <v>925</v>
      </c>
      <c r="D198" s="526"/>
      <c r="E198" s="526"/>
      <c r="F198" s="526"/>
      <c r="G198" s="526"/>
      <c r="H198" s="526"/>
      <c r="I198" s="526"/>
      <c r="J198" s="526"/>
      <c r="K198" s="526"/>
      <c r="L198" s="548">
        <v>925</v>
      </c>
      <c r="N198" s="479"/>
      <c r="P198" s="479"/>
      <c r="R198" s="479"/>
      <c r="T198" s="479"/>
      <c r="V198" s="479"/>
      <c r="W198" s="479"/>
      <c r="X198" s="479"/>
      <c r="Y198" s="479"/>
      <c r="Z198" s="479"/>
      <c r="AA198" s="479"/>
      <c r="AB198" s="479"/>
      <c r="AC198" s="479"/>
    </row>
    <row r="199" spans="1:29" hidden="1" x14ac:dyDescent="0.2">
      <c r="A199" s="550" t="s">
        <v>451</v>
      </c>
      <c r="B199" s="551" t="s">
        <v>465</v>
      </c>
      <c r="C199" s="526"/>
      <c r="D199" s="526"/>
      <c r="E199" s="526"/>
      <c r="F199" s="526"/>
      <c r="G199" s="526"/>
      <c r="H199" s="526"/>
      <c r="I199" s="526"/>
      <c r="J199" s="526"/>
      <c r="K199" s="526"/>
      <c r="L199" s="548">
        <v>0</v>
      </c>
      <c r="N199" s="479"/>
      <c r="P199" s="479"/>
      <c r="R199" s="479"/>
      <c r="T199" s="479"/>
      <c r="V199" s="479"/>
      <c r="W199" s="479"/>
      <c r="X199" s="479"/>
      <c r="Y199" s="479"/>
      <c r="Z199" s="479"/>
      <c r="AA199" s="479"/>
      <c r="AB199" s="479"/>
      <c r="AC199" s="479"/>
    </row>
    <row r="200" spans="1:29" hidden="1" x14ac:dyDescent="0.2">
      <c r="A200" s="550" t="s">
        <v>452</v>
      </c>
      <c r="B200" s="551" t="s">
        <v>466</v>
      </c>
      <c r="C200" s="526">
        <v>995</v>
      </c>
      <c r="D200" s="526"/>
      <c r="E200" s="526"/>
      <c r="F200" s="526"/>
      <c r="G200" s="526"/>
      <c r="H200" s="526"/>
      <c r="I200" s="526"/>
      <c r="J200" s="526"/>
      <c r="K200" s="526"/>
      <c r="L200" s="548">
        <v>995</v>
      </c>
      <c r="N200" s="479"/>
      <c r="P200" s="479"/>
      <c r="R200" s="479"/>
      <c r="T200" s="479"/>
      <c r="V200" s="479"/>
      <c r="W200" s="479"/>
      <c r="X200" s="479"/>
      <c r="Y200" s="479"/>
      <c r="Z200" s="479"/>
      <c r="AA200" s="479"/>
      <c r="AB200" s="479"/>
      <c r="AC200" s="479"/>
    </row>
    <row r="201" spans="1:29" hidden="1" x14ac:dyDescent="0.2">
      <c r="A201" s="550" t="s">
        <v>453</v>
      </c>
      <c r="B201" s="551" t="s">
        <v>467</v>
      </c>
      <c r="C201" s="526">
        <v>1404</v>
      </c>
      <c r="D201" s="526"/>
      <c r="E201" s="526"/>
      <c r="F201" s="526"/>
      <c r="G201" s="526"/>
      <c r="H201" s="526"/>
      <c r="I201" s="526"/>
      <c r="J201" s="526"/>
      <c r="K201" s="526"/>
      <c r="L201" s="548">
        <v>1404</v>
      </c>
      <c r="N201" s="479"/>
      <c r="P201" s="479"/>
      <c r="R201" s="479"/>
      <c r="T201" s="479"/>
      <c r="V201" s="479"/>
      <c r="W201" s="479"/>
      <c r="X201" s="479"/>
      <c r="Y201" s="479"/>
      <c r="Z201" s="479"/>
      <c r="AA201" s="479"/>
      <c r="AB201" s="479"/>
      <c r="AC201" s="479"/>
    </row>
    <row r="202" spans="1:29" hidden="1" x14ac:dyDescent="0.2">
      <c r="A202" s="550" t="s">
        <v>455</v>
      </c>
      <c r="B202" s="551" t="s">
        <v>468</v>
      </c>
      <c r="C202" s="526">
        <v>202</v>
      </c>
      <c r="D202" s="526"/>
      <c r="E202" s="526"/>
      <c r="F202" s="526"/>
      <c r="G202" s="526"/>
      <c r="H202" s="526"/>
      <c r="I202" s="526"/>
      <c r="J202" s="526"/>
      <c r="K202" s="526"/>
      <c r="L202" s="548">
        <v>202</v>
      </c>
      <c r="N202" s="479"/>
      <c r="P202" s="479"/>
      <c r="R202" s="479"/>
      <c r="T202" s="479"/>
      <c r="V202" s="479"/>
      <c r="W202" s="479"/>
      <c r="X202" s="479"/>
      <c r="Y202" s="479"/>
      <c r="Z202" s="479"/>
      <c r="AA202" s="479"/>
      <c r="AB202" s="479"/>
      <c r="AC202" s="479"/>
    </row>
    <row r="203" spans="1:29" hidden="1" x14ac:dyDescent="0.2">
      <c r="A203" s="550" t="s">
        <v>457</v>
      </c>
      <c r="B203" s="551" t="s">
        <v>469</v>
      </c>
      <c r="C203" s="526">
        <v>600</v>
      </c>
      <c r="D203" s="526"/>
      <c r="E203" s="526"/>
      <c r="F203" s="526"/>
      <c r="G203" s="526"/>
      <c r="H203" s="526"/>
      <c r="I203" s="526"/>
      <c r="J203" s="526"/>
      <c r="K203" s="526"/>
      <c r="L203" s="548">
        <v>540</v>
      </c>
      <c r="N203" s="479"/>
      <c r="P203" s="479"/>
      <c r="R203" s="479"/>
      <c r="T203" s="479"/>
      <c r="V203" s="479"/>
      <c r="W203" s="479"/>
      <c r="X203" s="479"/>
      <c r="Y203" s="479"/>
      <c r="Z203" s="479"/>
      <c r="AA203" s="479"/>
      <c r="AB203" s="479"/>
      <c r="AC203" s="479"/>
    </row>
    <row r="204" spans="1:29" hidden="1" x14ac:dyDescent="0.2">
      <c r="A204" s="550" t="s">
        <v>458</v>
      </c>
      <c r="B204" s="551" t="s">
        <v>459</v>
      </c>
      <c r="C204" s="526">
        <v>13668</v>
      </c>
      <c r="D204" s="526"/>
      <c r="E204" s="526"/>
      <c r="F204" s="526"/>
      <c r="G204" s="526"/>
      <c r="H204" s="526"/>
      <c r="I204" s="526"/>
      <c r="J204" s="526"/>
      <c r="K204" s="526"/>
      <c r="L204" s="548">
        <v>13668</v>
      </c>
      <c r="N204" s="479"/>
      <c r="P204" s="479"/>
      <c r="R204" s="479"/>
      <c r="T204" s="479"/>
      <c r="V204" s="479"/>
      <c r="W204" s="479"/>
      <c r="X204" s="479"/>
      <c r="Y204" s="479"/>
      <c r="Z204" s="479"/>
      <c r="AA204" s="479"/>
      <c r="AB204" s="479"/>
      <c r="AC204" s="479"/>
    </row>
    <row r="205" spans="1:29" hidden="1" x14ac:dyDescent="0.2">
      <c r="A205" s="550" t="s">
        <v>460</v>
      </c>
      <c r="B205" s="551" t="s">
        <v>461</v>
      </c>
      <c r="C205" s="526">
        <v>94878</v>
      </c>
      <c r="D205" s="526"/>
      <c r="E205" s="526"/>
      <c r="F205" s="526"/>
      <c r="G205" s="526"/>
      <c r="H205" s="526"/>
      <c r="I205" s="526"/>
      <c r="J205" s="526"/>
      <c r="K205" s="526"/>
      <c r="L205" s="548">
        <v>94878</v>
      </c>
      <c r="N205" s="479"/>
      <c r="P205" s="479"/>
      <c r="R205" s="479"/>
      <c r="T205" s="479"/>
      <c r="V205" s="479"/>
      <c r="W205" s="479"/>
      <c r="X205" s="479"/>
      <c r="Y205" s="479"/>
      <c r="Z205" s="479"/>
      <c r="AA205" s="479"/>
      <c r="AB205" s="479"/>
      <c r="AC205" s="479"/>
    </row>
    <row r="206" spans="1:29" hidden="1" x14ac:dyDescent="0.2">
      <c r="A206" s="550" t="s">
        <v>462</v>
      </c>
      <c r="B206" s="551" t="s">
        <v>84</v>
      </c>
      <c r="C206" s="526">
        <v>9309</v>
      </c>
      <c r="D206" s="526"/>
      <c r="E206" s="526"/>
      <c r="F206" s="526"/>
      <c r="G206" s="526"/>
      <c r="H206" s="526"/>
      <c r="I206" s="526"/>
      <c r="J206" s="526"/>
      <c r="K206" s="526"/>
      <c r="L206" s="548">
        <v>9309</v>
      </c>
      <c r="N206" s="479"/>
      <c r="P206" s="479"/>
      <c r="R206" s="479"/>
      <c r="T206" s="479"/>
      <c r="V206" s="479"/>
      <c r="W206" s="479"/>
      <c r="X206" s="479"/>
      <c r="Y206" s="479"/>
      <c r="Z206" s="479"/>
      <c r="AA206" s="479"/>
      <c r="AB206" s="479"/>
      <c r="AC206" s="479"/>
    </row>
    <row r="207" spans="1:29" hidden="1" x14ac:dyDescent="0.2">
      <c r="A207" s="550" t="s">
        <v>463</v>
      </c>
      <c r="B207" s="551" t="s">
        <v>464</v>
      </c>
      <c r="C207" s="526">
        <v>1332</v>
      </c>
      <c r="D207" s="526"/>
      <c r="E207" s="526"/>
      <c r="F207" s="526"/>
      <c r="G207" s="526"/>
      <c r="H207" s="526"/>
      <c r="I207" s="526"/>
      <c r="J207" s="526"/>
      <c r="K207" s="526"/>
      <c r="L207" s="548">
        <v>1332</v>
      </c>
      <c r="N207" s="479"/>
      <c r="P207" s="479"/>
      <c r="R207" s="479"/>
      <c r="T207" s="479"/>
      <c r="V207" s="479"/>
      <c r="W207" s="479"/>
      <c r="X207" s="479"/>
      <c r="Y207" s="479"/>
      <c r="Z207" s="479"/>
      <c r="AA207" s="479"/>
      <c r="AB207" s="479"/>
      <c r="AC207" s="479"/>
    </row>
    <row r="208" spans="1:29" hidden="1" x14ac:dyDescent="0.2">
      <c r="A208" s="543">
        <v>3</v>
      </c>
      <c r="B208" s="544" t="s">
        <v>470</v>
      </c>
      <c r="C208" s="545"/>
      <c r="D208" s="545"/>
      <c r="E208" s="545"/>
      <c r="F208" s="545"/>
      <c r="G208" s="545"/>
      <c r="H208" s="545"/>
      <c r="I208" s="545"/>
      <c r="J208" s="545"/>
      <c r="K208" s="545"/>
      <c r="L208" s="564"/>
      <c r="N208" s="479"/>
      <c r="P208" s="479"/>
      <c r="R208" s="479"/>
      <c r="T208" s="479"/>
      <c r="V208" s="479"/>
      <c r="W208" s="479"/>
      <c r="X208" s="479"/>
      <c r="Y208" s="479"/>
      <c r="Z208" s="479"/>
      <c r="AA208" s="479"/>
      <c r="AB208" s="479"/>
      <c r="AC208" s="479"/>
    </row>
    <row r="209" spans="1:29" hidden="1" x14ac:dyDescent="0.2">
      <c r="A209" s="543">
        <v>4</v>
      </c>
      <c r="B209" s="544" t="s">
        <v>20</v>
      </c>
      <c r="C209" s="545"/>
      <c r="D209" s="545"/>
      <c r="E209" s="545"/>
      <c r="F209" s="545"/>
      <c r="G209" s="545"/>
      <c r="H209" s="545"/>
      <c r="I209" s="545"/>
      <c r="J209" s="545"/>
      <c r="K209" s="545"/>
      <c r="L209" s="564"/>
      <c r="N209" s="479"/>
      <c r="P209" s="479"/>
      <c r="R209" s="479"/>
      <c r="T209" s="479"/>
      <c r="V209" s="479"/>
      <c r="W209" s="479"/>
      <c r="X209" s="479"/>
      <c r="Y209" s="479"/>
      <c r="Z209" s="479"/>
      <c r="AA209" s="479"/>
      <c r="AB209" s="479"/>
      <c r="AC209" s="479"/>
    </row>
    <row r="210" spans="1:29" hidden="1" x14ac:dyDescent="0.2">
      <c r="A210" s="543">
        <v>5</v>
      </c>
      <c r="B210" s="544" t="s">
        <v>21</v>
      </c>
      <c r="C210" s="545">
        <v>5550</v>
      </c>
      <c r="D210" s="545"/>
      <c r="E210" s="545">
        <v>136.761</v>
      </c>
      <c r="F210" s="545"/>
      <c r="G210" s="545"/>
      <c r="H210" s="545"/>
      <c r="I210" s="545"/>
      <c r="J210" s="545"/>
      <c r="K210" s="545"/>
      <c r="L210" s="564">
        <v>5550</v>
      </c>
      <c r="N210" s="479"/>
      <c r="P210" s="479"/>
      <c r="R210" s="479"/>
      <c r="T210" s="479"/>
      <c r="V210" s="479"/>
      <c r="W210" s="479"/>
      <c r="X210" s="479"/>
      <c r="Y210" s="479"/>
      <c r="Z210" s="479"/>
      <c r="AA210" s="479"/>
      <c r="AB210" s="479"/>
      <c r="AC210" s="479"/>
    </row>
    <row r="211" spans="1:29" hidden="1" x14ac:dyDescent="0.2">
      <c r="A211" s="543">
        <v>6</v>
      </c>
      <c r="B211" s="544" t="s">
        <v>472</v>
      </c>
      <c r="C211" s="545"/>
      <c r="D211" s="545"/>
      <c r="E211" s="545"/>
      <c r="F211" s="545"/>
      <c r="G211" s="545"/>
      <c r="H211" s="545"/>
      <c r="I211" s="545"/>
      <c r="J211" s="545"/>
      <c r="K211" s="545"/>
      <c r="L211" s="564"/>
      <c r="N211" s="479"/>
      <c r="P211" s="479"/>
      <c r="R211" s="479"/>
      <c r="T211" s="479"/>
      <c r="V211" s="479"/>
      <c r="W211" s="479"/>
      <c r="X211" s="479"/>
      <c r="Y211" s="479"/>
      <c r="Z211" s="479"/>
      <c r="AA211" s="479"/>
      <c r="AB211" s="479"/>
      <c r="AC211" s="479"/>
    </row>
    <row r="212" spans="1:29" hidden="1" x14ac:dyDescent="0.2">
      <c r="A212" s="543" t="s">
        <v>11</v>
      </c>
      <c r="B212" s="544" t="s">
        <v>473</v>
      </c>
      <c r="C212" s="545">
        <v>32597.579000000002</v>
      </c>
      <c r="D212" s="545"/>
      <c r="E212" s="545">
        <v>1129.81</v>
      </c>
      <c r="F212" s="545"/>
      <c r="G212" s="545"/>
      <c r="H212" s="545"/>
      <c r="I212" s="545"/>
      <c r="J212" s="545"/>
      <c r="K212" s="545"/>
      <c r="L212" s="545">
        <v>31648.728999999999</v>
      </c>
      <c r="N212" s="479"/>
      <c r="P212" s="479"/>
      <c r="R212" s="479"/>
      <c r="T212" s="479"/>
      <c r="V212" s="479"/>
      <c r="W212" s="479"/>
      <c r="X212" s="479"/>
      <c r="Y212" s="479"/>
      <c r="Z212" s="479"/>
      <c r="AA212" s="479"/>
      <c r="AB212" s="479"/>
      <c r="AC212" s="479"/>
    </row>
    <row r="213" spans="1:29" hidden="1" x14ac:dyDescent="0.2">
      <c r="A213" s="543">
        <v>1</v>
      </c>
      <c r="B213" s="534" t="s">
        <v>501</v>
      </c>
      <c r="C213" s="565">
        <v>5946</v>
      </c>
      <c r="D213" s="565"/>
      <c r="E213" s="565">
        <v>0</v>
      </c>
      <c r="F213" s="565"/>
      <c r="G213" s="565"/>
      <c r="H213" s="565"/>
      <c r="I213" s="565"/>
      <c r="J213" s="565"/>
      <c r="K213" s="565"/>
      <c r="L213" s="566">
        <v>5946</v>
      </c>
      <c r="N213" s="479"/>
      <c r="P213" s="479"/>
      <c r="R213" s="479"/>
      <c r="T213" s="479"/>
      <c r="V213" s="479"/>
      <c r="W213" s="479"/>
      <c r="X213" s="479"/>
      <c r="Y213" s="479"/>
      <c r="Z213" s="479"/>
      <c r="AA213" s="479"/>
      <c r="AB213" s="479"/>
      <c r="AC213" s="479"/>
    </row>
    <row r="214" spans="1:29" hidden="1" x14ac:dyDescent="0.2">
      <c r="A214" s="549"/>
      <c r="B214" s="567" t="s">
        <v>474</v>
      </c>
      <c r="C214" s="525"/>
      <c r="D214" s="525"/>
      <c r="E214" s="526"/>
      <c r="F214" s="526"/>
      <c r="G214" s="526"/>
      <c r="H214" s="526"/>
      <c r="I214" s="526"/>
      <c r="J214" s="526"/>
      <c r="K214" s="526"/>
      <c r="L214" s="548">
        <v>0</v>
      </c>
      <c r="N214" s="479"/>
      <c r="P214" s="479"/>
      <c r="R214" s="479"/>
      <c r="T214" s="479"/>
      <c r="V214" s="479"/>
      <c r="W214" s="479"/>
      <c r="X214" s="479"/>
      <c r="Y214" s="479"/>
      <c r="Z214" s="479"/>
      <c r="AA214" s="479"/>
      <c r="AB214" s="479"/>
      <c r="AC214" s="479"/>
    </row>
    <row r="215" spans="1:29" hidden="1" x14ac:dyDescent="0.2">
      <c r="A215" s="549"/>
      <c r="B215" s="567" t="s">
        <v>475</v>
      </c>
      <c r="C215" s="525">
        <v>5946</v>
      </c>
      <c r="D215" s="525"/>
      <c r="E215" s="526"/>
      <c r="F215" s="526"/>
      <c r="G215" s="526"/>
      <c r="H215" s="526"/>
      <c r="I215" s="526"/>
      <c r="J215" s="526"/>
      <c r="K215" s="526"/>
      <c r="L215" s="548">
        <v>5946</v>
      </c>
      <c r="N215" s="479"/>
      <c r="P215" s="479"/>
      <c r="R215" s="479"/>
      <c r="T215" s="479"/>
      <c r="V215" s="479"/>
      <c r="W215" s="479"/>
      <c r="X215" s="479"/>
      <c r="Y215" s="479"/>
      <c r="Z215" s="479"/>
      <c r="AA215" s="479"/>
      <c r="AB215" s="479"/>
      <c r="AC215" s="479"/>
    </row>
    <row r="216" spans="1:29" hidden="1" x14ac:dyDescent="0.2">
      <c r="A216" s="543">
        <v>2</v>
      </c>
      <c r="B216" s="534" t="s">
        <v>476</v>
      </c>
      <c r="C216" s="565">
        <v>22648</v>
      </c>
      <c r="D216" s="565"/>
      <c r="E216" s="565">
        <v>0</v>
      </c>
      <c r="F216" s="565"/>
      <c r="G216" s="565"/>
      <c r="H216" s="565"/>
      <c r="I216" s="565"/>
      <c r="J216" s="565"/>
      <c r="K216" s="565"/>
      <c r="L216" s="566">
        <v>21699.149999999998</v>
      </c>
      <c r="N216" s="479"/>
      <c r="P216" s="479"/>
      <c r="R216" s="479"/>
      <c r="T216" s="479"/>
      <c r="V216" s="479"/>
      <c r="W216" s="479"/>
      <c r="X216" s="479"/>
      <c r="Y216" s="479"/>
      <c r="Z216" s="479"/>
      <c r="AA216" s="479"/>
      <c r="AB216" s="479"/>
      <c r="AC216" s="479"/>
    </row>
    <row r="217" spans="1:29" hidden="1" x14ac:dyDescent="0.2">
      <c r="A217" s="543"/>
      <c r="B217" s="567" t="s">
        <v>474</v>
      </c>
      <c r="C217" s="525">
        <v>18977</v>
      </c>
      <c r="D217" s="525"/>
      <c r="E217" s="526"/>
      <c r="F217" s="526"/>
      <c r="G217" s="526"/>
      <c r="H217" s="526"/>
      <c r="I217" s="526"/>
      <c r="J217" s="526"/>
      <c r="K217" s="526"/>
      <c r="L217" s="548">
        <v>18028.149999999998</v>
      </c>
      <c r="N217" s="479"/>
      <c r="P217" s="479"/>
      <c r="R217" s="479"/>
      <c r="T217" s="479"/>
      <c r="V217" s="479"/>
      <c r="W217" s="479"/>
      <c r="X217" s="479"/>
      <c r="Y217" s="479"/>
      <c r="Z217" s="479"/>
      <c r="AA217" s="479"/>
      <c r="AB217" s="479"/>
      <c r="AC217" s="479"/>
    </row>
    <row r="218" spans="1:29" hidden="1" x14ac:dyDescent="0.2">
      <c r="A218" s="543"/>
      <c r="B218" s="567" t="s">
        <v>475</v>
      </c>
      <c r="C218" s="525">
        <v>3671</v>
      </c>
      <c r="D218" s="525"/>
      <c r="E218" s="526"/>
      <c r="F218" s="526"/>
      <c r="G218" s="526"/>
      <c r="H218" s="526"/>
      <c r="I218" s="526"/>
      <c r="J218" s="526"/>
      <c r="K218" s="526"/>
      <c r="L218" s="548">
        <v>3671</v>
      </c>
      <c r="N218" s="479"/>
      <c r="P218" s="479"/>
      <c r="R218" s="479"/>
      <c r="T218" s="479"/>
      <c r="V218" s="479"/>
      <c r="W218" s="479"/>
      <c r="X218" s="479"/>
      <c r="Y218" s="479"/>
      <c r="Z218" s="479"/>
      <c r="AA218" s="479"/>
      <c r="AB218" s="479"/>
      <c r="AC218" s="479"/>
    </row>
    <row r="219" spans="1:29" ht="25.5" hidden="1" x14ac:dyDescent="0.2">
      <c r="A219" s="543">
        <v>3</v>
      </c>
      <c r="B219" s="544" t="s">
        <v>482</v>
      </c>
      <c r="C219" s="545">
        <v>4003.5790000000002</v>
      </c>
      <c r="D219" s="545"/>
      <c r="E219" s="545">
        <v>1129.81</v>
      </c>
      <c r="F219" s="545"/>
      <c r="G219" s="545"/>
      <c r="H219" s="545"/>
      <c r="I219" s="545"/>
      <c r="J219" s="545"/>
      <c r="K219" s="545"/>
      <c r="L219" s="546">
        <v>4003.5790000000002</v>
      </c>
      <c r="N219" s="479"/>
      <c r="P219" s="479"/>
      <c r="R219" s="479"/>
      <c r="T219" s="479"/>
      <c r="V219" s="479"/>
      <c r="W219" s="479"/>
      <c r="X219" s="479"/>
      <c r="Y219" s="479"/>
      <c r="Z219" s="479"/>
      <c r="AA219" s="479"/>
      <c r="AB219" s="479"/>
      <c r="AC219" s="479"/>
    </row>
    <row r="220" spans="1:29" ht="25.5" hidden="1" x14ac:dyDescent="0.2">
      <c r="A220" s="549" t="s">
        <v>502</v>
      </c>
      <c r="B220" s="568" t="s">
        <v>483</v>
      </c>
      <c r="C220" s="526">
        <v>3415.7139999999999</v>
      </c>
      <c r="D220" s="526"/>
      <c r="E220" s="526">
        <v>939.47699999999998</v>
      </c>
      <c r="F220" s="526"/>
      <c r="G220" s="526"/>
      <c r="H220" s="526"/>
      <c r="I220" s="526"/>
      <c r="J220" s="526"/>
      <c r="K220" s="526"/>
      <c r="L220" s="548">
        <v>3415.7139999999999</v>
      </c>
      <c r="N220" s="479"/>
      <c r="P220" s="479"/>
      <c r="R220" s="479"/>
      <c r="T220" s="479"/>
      <c r="V220" s="479"/>
      <c r="W220" s="479"/>
      <c r="X220" s="479"/>
      <c r="Y220" s="479"/>
      <c r="Z220" s="479"/>
      <c r="AA220" s="479"/>
      <c r="AB220" s="479"/>
      <c r="AC220" s="479"/>
    </row>
    <row r="221" spans="1:29" ht="25.5" hidden="1" x14ac:dyDescent="0.2">
      <c r="A221" s="549" t="s">
        <v>503</v>
      </c>
      <c r="B221" s="568" t="s">
        <v>484</v>
      </c>
      <c r="C221" s="526">
        <v>190.333</v>
      </c>
      <c r="D221" s="526"/>
      <c r="E221" s="526">
        <v>190.333</v>
      </c>
      <c r="F221" s="526"/>
      <c r="G221" s="526"/>
      <c r="H221" s="526"/>
      <c r="I221" s="526"/>
      <c r="J221" s="526"/>
      <c r="K221" s="526"/>
      <c r="L221" s="548">
        <v>190.333</v>
      </c>
      <c r="N221" s="479"/>
      <c r="P221" s="479"/>
      <c r="R221" s="479"/>
      <c r="T221" s="479"/>
      <c r="V221" s="479"/>
      <c r="W221" s="479"/>
      <c r="X221" s="479"/>
      <c r="Y221" s="479"/>
      <c r="Z221" s="479"/>
      <c r="AA221" s="479"/>
      <c r="AB221" s="479"/>
      <c r="AC221" s="479"/>
    </row>
    <row r="222" spans="1:29" ht="25.5" hidden="1" x14ac:dyDescent="0.2">
      <c r="A222" s="549" t="s">
        <v>504</v>
      </c>
      <c r="B222" s="568" t="s">
        <v>485</v>
      </c>
      <c r="C222" s="526">
        <v>0</v>
      </c>
      <c r="D222" s="526"/>
      <c r="E222" s="526"/>
      <c r="F222" s="526"/>
      <c r="G222" s="526"/>
      <c r="H222" s="526"/>
      <c r="I222" s="526"/>
      <c r="J222" s="526"/>
      <c r="K222" s="526"/>
      <c r="L222" s="548">
        <v>0</v>
      </c>
      <c r="N222" s="479"/>
      <c r="P222" s="479"/>
      <c r="R222" s="479"/>
      <c r="T222" s="479"/>
      <c r="V222" s="479"/>
      <c r="W222" s="479"/>
      <c r="X222" s="479"/>
      <c r="Y222" s="479"/>
      <c r="Z222" s="479"/>
      <c r="AA222" s="479"/>
      <c r="AB222" s="479"/>
      <c r="AC222" s="479"/>
    </row>
    <row r="223" spans="1:29" ht="25.5" hidden="1" x14ac:dyDescent="0.2">
      <c r="A223" s="549" t="s">
        <v>505</v>
      </c>
      <c r="B223" s="569" t="s">
        <v>486</v>
      </c>
      <c r="C223" s="526">
        <v>25.878</v>
      </c>
      <c r="D223" s="526"/>
      <c r="E223" s="526"/>
      <c r="F223" s="526"/>
      <c r="G223" s="526"/>
      <c r="H223" s="526"/>
      <c r="I223" s="526"/>
      <c r="J223" s="526"/>
      <c r="K223" s="526"/>
      <c r="L223" s="548">
        <v>25.878</v>
      </c>
      <c r="N223" s="479"/>
      <c r="P223" s="479"/>
      <c r="R223" s="479"/>
      <c r="T223" s="479"/>
      <c r="V223" s="479"/>
      <c r="W223" s="479"/>
      <c r="X223" s="479"/>
      <c r="Y223" s="479"/>
      <c r="Z223" s="479"/>
      <c r="AA223" s="479"/>
      <c r="AB223" s="479"/>
      <c r="AC223" s="479"/>
    </row>
    <row r="224" spans="1:29" hidden="1" x14ac:dyDescent="0.2">
      <c r="A224" s="549" t="s">
        <v>506</v>
      </c>
      <c r="B224" s="570" t="s">
        <v>487</v>
      </c>
      <c r="C224" s="526">
        <v>25</v>
      </c>
      <c r="D224" s="526"/>
      <c r="E224" s="526"/>
      <c r="F224" s="526"/>
      <c r="G224" s="526"/>
      <c r="H224" s="526"/>
      <c r="I224" s="526"/>
      <c r="J224" s="526"/>
      <c r="K224" s="526"/>
      <c r="L224" s="548">
        <v>25</v>
      </c>
      <c r="N224" s="479"/>
      <c r="P224" s="479"/>
      <c r="R224" s="479"/>
      <c r="T224" s="479"/>
      <c r="V224" s="479"/>
      <c r="W224" s="479"/>
      <c r="X224" s="479"/>
      <c r="Y224" s="479"/>
      <c r="Z224" s="479"/>
      <c r="AA224" s="479"/>
      <c r="AB224" s="479"/>
      <c r="AC224" s="479"/>
    </row>
    <row r="225" spans="1:29" hidden="1" x14ac:dyDescent="0.2">
      <c r="A225" s="549" t="s">
        <v>507</v>
      </c>
      <c r="B225" s="568" t="s">
        <v>508</v>
      </c>
      <c r="C225" s="526">
        <v>18</v>
      </c>
      <c r="D225" s="526"/>
      <c r="E225" s="526"/>
      <c r="F225" s="526"/>
      <c r="G225" s="526"/>
      <c r="H225" s="526"/>
      <c r="I225" s="526"/>
      <c r="J225" s="526"/>
      <c r="K225" s="526"/>
      <c r="L225" s="548">
        <v>18</v>
      </c>
      <c r="N225" s="479"/>
      <c r="P225" s="479"/>
      <c r="R225" s="479"/>
      <c r="T225" s="479"/>
      <c r="V225" s="479"/>
      <c r="W225" s="479"/>
      <c r="X225" s="479"/>
      <c r="Y225" s="479"/>
      <c r="Z225" s="479"/>
      <c r="AA225" s="479"/>
      <c r="AB225" s="479"/>
      <c r="AC225" s="479"/>
    </row>
    <row r="226" spans="1:29" ht="25.5" hidden="1" x14ac:dyDescent="0.2">
      <c r="A226" s="571" t="s">
        <v>509</v>
      </c>
      <c r="B226" s="572" t="s">
        <v>510</v>
      </c>
      <c r="C226" s="554">
        <v>328.654</v>
      </c>
      <c r="D226" s="554"/>
      <c r="E226" s="554"/>
      <c r="F226" s="554"/>
      <c r="G226" s="554"/>
      <c r="H226" s="554"/>
      <c r="I226" s="554"/>
      <c r="J226" s="554"/>
      <c r="K226" s="554"/>
      <c r="L226" s="555">
        <v>328.654</v>
      </c>
      <c r="N226" s="479"/>
      <c r="P226" s="479"/>
      <c r="R226" s="479"/>
      <c r="T226" s="479"/>
      <c r="V226" s="479"/>
      <c r="W226" s="479"/>
      <c r="X226" s="479"/>
      <c r="Y226" s="479"/>
      <c r="Z226" s="479"/>
      <c r="AA226" s="479"/>
      <c r="AB226" s="479"/>
      <c r="AC226" s="479"/>
    </row>
    <row r="227" spans="1:29" ht="25.5" hidden="1" x14ac:dyDescent="0.2">
      <c r="A227" s="556" t="s">
        <v>3</v>
      </c>
      <c r="B227" s="557" t="s">
        <v>489</v>
      </c>
      <c r="C227" s="558">
        <v>41163.849000000002</v>
      </c>
      <c r="D227" s="558"/>
      <c r="E227" s="558">
        <v>20981.569</v>
      </c>
      <c r="F227" s="558"/>
      <c r="G227" s="558"/>
      <c r="H227" s="558"/>
      <c r="I227" s="558"/>
      <c r="J227" s="558"/>
      <c r="K227" s="558"/>
      <c r="L227" s="558">
        <v>41163.849000000002</v>
      </c>
      <c r="N227" s="479"/>
      <c r="P227" s="479"/>
      <c r="R227" s="479"/>
      <c r="T227" s="479"/>
      <c r="V227" s="479"/>
      <c r="W227" s="479"/>
      <c r="X227" s="479"/>
      <c r="Y227" s="479"/>
      <c r="Z227" s="479"/>
      <c r="AA227" s="479"/>
      <c r="AB227" s="479"/>
      <c r="AC227" s="479"/>
    </row>
    <row r="228" spans="1:29" hidden="1" x14ac:dyDescent="0.2">
      <c r="A228" s="556">
        <v>1</v>
      </c>
      <c r="B228" s="573" t="s">
        <v>301</v>
      </c>
      <c r="C228" s="559">
        <v>18896.531000000003</v>
      </c>
      <c r="D228" s="559"/>
      <c r="E228" s="559">
        <v>13192.569</v>
      </c>
      <c r="F228" s="559"/>
      <c r="G228" s="559"/>
      <c r="H228" s="559"/>
      <c r="I228" s="559"/>
      <c r="J228" s="559"/>
      <c r="K228" s="559"/>
      <c r="L228" s="559">
        <v>18896.531000000003</v>
      </c>
      <c r="N228" s="479"/>
      <c r="P228" s="479"/>
      <c r="R228" s="479"/>
      <c r="T228" s="479"/>
      <c r="V228" s="479"/>
      <c r="W228" s="479"/>
      <c r="X228" s="479"/>
      <c r="Y228" s="479"/>
      <c r="Z228" s="479"/>
      <c r="AA228" s="479"/>
      <c r="AB228" s="479"/>
      <c r="AC228" s="479"/>
    </row>
    <row r="229" spans="1:29" hidden="1" x14ac:dyDescent="0.2">
      <c r="A229" s="574" t="s">
        <v>288</v>
      </c>
      <c r="B229" s="575" t="s">
        <v>490</v>
      </c>
      <c r="C229" s="576">
        <v>1886</v>
      </c>
      <c r="D229" s="576"/>
      <c r="E229" s="562">
        <v>0</v>
      </c>
      <c r="F229" s="562"/>
      <c r="G229" s="562"/>
      <c r="H229" s="562"/>
      <c r="I229" s="562"/>
      <c r="J229" s="562"/>
      <c r="K229" s="562"/>
      <c r="L229" s="563">
        <v>1886</v>
      </c>
      <c r="N229" s="479"/>
      <c r="P229" s="479"/>
      <c r="R229" s="479"/>
      <c r="T229" s="479"/>
      <c r="V229" s="479"/>
      <c r="W229" s="479"/>
      <c r="X229" s="479"/>
      <c r="Y229" s="479"/>
      <c r="Z229" s="479"/>
      <c r="AA229" s="479"/>
      <c r="AB229" s="479"/>
      <c r="AC229" s="479"/>
    </row>
    <row r="230" spans="1:29" hidden="1" x14ac:dyDescent="0.2">
      <c r="A230" s="543" t="s">
        <v>288</v>
      </c>
      <c r="B230" s="570" t="s">
        <v>491</v>
      </c>
      <c r="C230" s="577">
        <v>13977</v>
      </c>
      <c r="D230" s="577"/>
      <c r="E230" s="577">
        <v>11637.321</v>
      </c>
      <c r="F230" s="577"/>
      <c r="G230" s="577"/>
      <c r="H230" s="577"/>
      <c r="I230" s="577"/>
      <c r="J230" s="577"/>
      <c r="K230" s="577"/>
      <c r="L230" s="577">
        <v>13977</v>
      </c>
      <c r="N230" s="479"/>
      <c r="P230" s="479"/>
      <c r="R230" s="479"/>
      <c r="T230" s="479"/>
      <c r="V230" s="479"/>
      <c r="W230" s="479"/>
      <c r="X230" s="479"/>
      <c r="Y230" s="479"/>
      <c r="Z230" s="479"/>
      <c r="AA230" s="479"/>
      <c r="AB230" s="479"/>
      <c r="AC230" s="479"/>
    </row>
    <row r="231" spans="1:29" hidden="1" x14ac:dyDescent="0.2">
      <c r="A231" s="543" t="s">
        <v>492</v>
      </c>
      <c r="B231" s="578" t="s">
        <v>493</v>
      </c>
      <c r="C231" s="579">
        <v>12448</v>
      </c>
      <c r="D231" s="579"/>
      <c r="E231" s="526">
        <v>10751.877</v>
      </c>
      <c r="F231" s="526"/>
      <c r="G231" s="526"/>
      <c r="H231" s="526"/>
      <c r="I231" s="526"/>
      <c r="J231" s="526"/>
      <c r="K231" s="526"/>
      <c r="L231" s="548">
        <v>12448</v>
      </c>
      <c r="N231" s="479"/>
      <c r="P231" s="479"/>
      <c r="R231" s="479"/>
      <c r="T231" s="479"/>
      <c r="V231" s="479"/>
      <c r="W231" s="479"/>
      <c r="X231" s="479"/>
      <c r="Y231" s="479"/>
      <c r="Z231" s="479"/>
      <c r="AA231" s="479"/>
      <c r="AB231" s="479"/>
      <c r="AC231" s="479"/>
    </row>
    <row r="232" spans="1:29" hidden="1" x14ac:dyDescent="0.2">
      <c r="A232" s="543" t="s">
        <v>492</v>
      </c>
      <c r="B232" s="578" t="s">
        <v>494</v>
      </c>
      <c r="C232" s="579">
        <v>1529</v>
      </c>
      <c r="D232" s="579"/>
      <c r="E232" s="526">
        <v>885.44399999999996</v>
      </c>
      <c r="F232" s="526"/>
      <c r="G232" s="526"/>
      <c r="H232" s="526"/>
      <c r="I232" s="526"/>
      <c r="J232" s="526"/>
      <c r="K232" s="526"/>
      <c r="L232" s="548">
        <v>1529</v>
      </c>
      <c r="N232" s="479"/>
      <c r="P232" s="479"/>
      <c r="R232" s="479"/>
      <c r="T232" s="479"/>
      <c r="V232" s="479"/>
      <c r="W232" s="479"/>
      <c r="X232" s="479"/>
      <c r="Y232" s="479"/>
      <c r="Z232" s="479"/>
      <c r="AA232" s="479"/>
      <c r="AB232" s="479"/>
      <c r="AC232" s="479"/>
    </row>
    <row r="233" spans="1:29" hidden="1" x14ac:dyDescent="0.2">
      <c r="A233" s="543" t="s">
        <v>288</v>
      </c>
      <c r="B233" s="570" t="s">
        <v>495</v>
      </c>
      <c r="C233" s="577">
        <v>760.06</v>
      </c>
      <c r="D233" s="577"/>
      <c r="E233" s="526">
        <v>318.83199999999999</v>
      </c>
      <c r="F233" s="526"/>
      <c r="G233" s="526"/>
      <c r="H233" s="526"/>
      <c r="I233" s="526"/>
      <c r="J233" s="526"/>
      <c r="K233" s="526"/>
      <c r="L233" s="548">
        <v>760.06</v>
      </c>
      <c r="N233" s="479"/>
      <c r="P233" s="479"/>
      <c r="R233" s="479"/>
      <c r="T233" s="479"/>
      <c r="V233" s="479"/>
      <c r="W233" s="479"/>
      <c r="X233" s="479"/>
      <c r="Y233" s="479"/>
      <c r="Z233" s="479"/>
      <c r="AA233" s="479"/>
      <c r="AB233" s="479"/>
      <c r="AC233" s="479"/>
    </row>
    <row r="234" spans="1:29" hidden="1" x14ac:dyDescent="0.2">
      <c r="A234" s="543" t="s">
        <v>288</v>
      </c>
      <c r="B234" s="570" t="s">
        <v>496</v>
      </c>
      <c r="C234" s="577">
        <v>1737.0709999999999</v>
      </c>
      <c r="D234" s="577"/>
      <c r="E234" s="526">
        <v>736.41600000000005</v>
      </c>
      <c r="F234" s="526"/>
      <c r="G234" s="526"/>
      <c r="H234" s="526"/>
      <c r="I234" s="526"/>
      <c r="J234" s="526"/>
      <c r="K234" s="526"/>
      <c r="L234" s="548">
        <v>1737.0709999999999</v>
      </c>
      <c r="N234" s="479"/>
      <c r="P234" s="479"/>
      <c r="R234" s="479"/>
      <c r="T234" s="479"/>
      <c r="V234" s="479"/>
      <c r="W234" s="479"/>
      <c r="X234" s="479"/>
      <c r="Y234" s="479"/>
      <c r="Z234" s="479"/>
      <c r="AA234" s="479"/>
      <c r="AB234" s="479"/>
      <c r="AC234" s="479"/>
    </row>
    <row r="235" spans="1:29" hidden="1" x14ac:dyDescent="0.2">
      <c r="A235" s="580" t="s">
        <v>288</v>
      </c>
      <c r="B235" s="581" t="s">
        <v>497</v>
      </c>
      <c r="C235" s="582">
        <v>536.4</v>
      </c>
      <c r="D235" s="582"/>
      <c r="E235" s="554">
        <v>500</v>
      </c>
      <c r="F235" s="554"/>
      <c r="G235" s="554"/>
      <c r="H235" s="554"/>
      <c r="I235" s="554"/>
      <c r="J235" s="554"/>
      <c r="K235" s="554"/>
      <c r="L235" s="555">
        <v>536.4</v>
      </c>
      <c r="N235" s="479"/>
      <c r="P235" s="479"/>
      <c r="R235" s="479"/>
      <c r="T235" s="479"/>
      <c r="V235" s="479"/>
      <c r="W235" s="479"/>
      <c r="X235" s="479"/>
      <c r="Y235" s="479"/>
      <c r="Z235" s="479"/>
      <c r="AA235" s="479"/>
      <c r="AB235" s="479"/>
      <c r="AC235" s="479"/>
    </row>
    <row r="236" spans="1:29" hidden="1" x14ac:dyDescent="0.2">
      <c r="A236" s="556">
        <v>2</v>
      </c>
      <c r="B236" s="573" t="s">
        <v>498</v>
      </c>
      <c r="C236" s="559">
        <v>22267.317999999999</v>
      </c>
      <c r="D236" s="559"/>
      <c r="E236" s="559">
        <v>7789</v>
      </c>
      <c r="F236" s="559"/>
      <c r="G236" s="559"/>
      <c r="H236" s="559"/>
      <c r="I236" s="559"/>
      <c r="J236" s="559"/>
      <c r="K236" s="559"/>
      <c r="L236" s="559">
        <v>22267.317999999999</v>
      </c>
      <c r="N236" s="479"/>
      <c r="P236" s="479"/>
      <c r="R236" s="479"/>
      <c r="T236" s="479"/>
      <c r="V236" s="479"/>
      <c r="W236" s="479"/>
      <c r="X236" s="479"/>
      <c r="Y236" s="479"/>
      <c r="Z236" s="479"/>
      <c r="AA236" s="479"/>
      <c r="AB236" s="479"/>
      <c r="AC236" s="479"/>
    </row>
    <row r="237" spans="1:29" hidden="1" x14ac:dyDescent="0.2">
      <c r="A237" s="574" t="s">
        <v>288</v>
      </c>
      <c r="B237" s="575" t="s">
        <v>499</v>
      </c>
      <c r="C237" s="576">
        <v>1845.933</v>
      </c>
      <c r="D237" s="576"/>
      <c r="E237" s="562">
        <v>1324</v>
      </c>
      <c r="F237" s="562"/>
      <c r="G237" s="562"/>
      <c r="H237" s="562"/>
      <c r="I237" s="562"/>
      <c r="J237" s="562"/>
      <c r="K237" s="562"/>
      <c r="L237" s="563">
        <v>1845.933</v>
      </c>
      <c r="N237" s="479"/>
      <c r="P237" s="479"/>
      <c r="R237" s="479"/>
      <c r="T237" s="479"/>
      <c r="V237" s="479"/>
      <c r="W237" s="479"/>
      <c r="X237" s="479"/>
      <c r="Y237" s="479"/>
      <c r="Z237" s="479"/>
      <c r="AA237" s="479"/>
      <c r="AB237" s="479"/>
      <c r="AC237" s="479"/>
    </row>
    <row r="238" spans="1:29" hidden="1" x14ac:dyDescent="0.2">
      <c r="A238" s="583" t="s">
        <v>288</v>
      </c>
      <c r="B238" s="584" t="s">
        <v>500</v>
      </c>
      <c r="C238" s="585">
        <v>20421.384999999998</v>
      </c>
      <c r="D238" s="585"/>
      <c r="E238" s="586">
        <v>6465</v>
      </c>
      <c r="F238" s="586"/>
      <c r="G238" s="586"/>
      <c r="H238" s="586"/>
      <c r="I238" s="586"/>
      <c r="J238" s="586"/>
      <c r="K238" s="586"/>
      <c r="L238" s="587">
        <v>20421.384999999998</v>
      </c>
      <c r="N238" s="479"/>
      <c r="P238" s="479"/>
      <c r="R238" s="479"/>
      <c r="T238" s="479"/>
      <c r="V238" s="479"/>
      <c r="W238" s="479"/>
      <c r="X238" s="479"/>
      <c r="Y238" s="479"/>
      <c r="Z238" s="479"/>
      <c r="AA238" s="479"/>
      <c r="AB238" s="479"/>
      <c r="AC238" s="479"/>
    </row>
    <row r="239" spans="1:29" hidden="1" x14ac:dyDescent="0.2"/>
  </sheetData>
  <mergeCells count="20">
    <mergeCell ref="A163:L163"/>
    <mergeCell ref="H4:I4"/>
    <mergeCell ref="F4:G4"/>
    <mergeCell ref="A1:AA1"/>
    <mergeCell ref="A2:AA2"/>
    <mergeCell ref="Z3:AA3"/>
    <mergeCell ref="A4:A5"/>
    <mergeCell ref="B4:B5"/>
    <mergeCell ref="L4:M4"/>
    <mergeCell ref="N4:O4"/>
    <mergeCell ref="P4:Q4"/>
    <mergeCell ref="R4:S4"/>
    <mergeCell ref="T4:U4"/>
    <mergeCell ref="V4:W4"/>
    <mergeCell ref="C4:C5"/>
    <mergeCell ref="E4:E5"/>
    <mergeCell ref="D4:D5"/>
    <mergeCell ref="X4:Y4"/>
    <mergeCell ref="Z4:AA4"/>
    <mergeCell ref="J4:K4"/>
  </mergeCells>
  <pageMargins left="0.7" right="0.2" top="0.71" bottom="0.68" header="0.3" footer="0.3"/>
  <pageSetup paperSize="9" orientation="portrait" r:id="rId1"/>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sheetPr>
  <dimension ref="A1:V62"/>
  <sheetViews>
    <sheetView workbookViewId="0">
      <pane xSplit="2" ySplit="7" topLeftCell="C8" activePane="bottomRight" state="frozen"/>
      <selection activeCell="B45" sqref="B45"/>
      <selection pane="topRight" activeCell="B45" sqref="B45"/>
      <selection pane="bottomLeft" activeCell="B45" sqref="B45"/>
      <selection pane="bottomRight" sqref="A1:I1"/>
    </sheetView>
  </sheetViews>
  <sheetFormatPr defaultRowHeight="15.75" x14ac:dyDescent="0.25"/>
  <cols>
    <col min="1" max="1" width="4.875" style="963" customWidth="1"/>
    <col min="2" max="2" width="28.25" style="963" customWidth="1"/>
    <col min="3" max="3" width="8" style="963" customWidth="1"/>
    <col min="4" max="5" width="7.25" style="963" customWidth="1"/>
    <col min="6" max="6" width="6.125" style="963" customWidth="1"/>
    <col min="7" max="7" width="7.875" style="963" customWidth="1"/>
    <col min="8" max="8" width="8.75" style="963" customWidth="1"/>
    <col min="9" max="9" width="9.375" style="963" customWidth="1"/>
    <col min="10" max="20" width="0" style="289" hidden="1" customWidth="1"/>
    <col min="21" max="21" width="9" style="221"/>
    <col min="22" max="22" width="9" style="289"/>
    <col min="23" max="256" width="9" style="963"/>
    <col min="257" max="257" width="4.875" style="963" customWidth="1"/>
    <col min="258" max="258" width="28.25" style="963" customWidth="1"/>
    <col min="259" max="259" width="8" style="963" customWidth="1"/>
    <col min="260" max="261" width="7.25" style="963" customWidth="1"/>
    <col min="262" max="262" width="6.125" style="963" customWidth="1"/>
    <col min="263" max="263" width="7.875" style="963" customWidth="1"/>
    <col min="264" max="264" width="8.75" style="963" customWidth="1"/>
    <col min="265" max="265" width="9.375" style="963" customWidth="1"/>
    <col min="266" max="512" width="9" style="963"/>
    <col min="513" max="513" width="4.875" style="963" customWidth="1"/>
    <col min="514" max="514" width="28.25" style="963" customWidth="1"/>
    <col min="515" max="515" width="8" style="963" customWidth="1"/>
    <col min="516" max="517" width="7.25" style="963" customWidth="1"/>
    <col min="518" max="518" width="6.125" style="963" customWidth="1"/>
    <col min="519" max="519" width="7.875" style="963" customWidth="1"/>
    <col min="520" max="520" width="8.75" style="963" customWidth="1"/>
    <col min="521" max="521" width="9.375" style="963" customWidth="1"/>
    <col min="522" max="768" width="9" style="963"/>
    <col min="769" max="769" width="4.875" style="963" customWidth="1"/>
    <col min="770" max="770" width="28.25" style="963" customWidth="1"/>
    <col min="771" max="771" width="8" style="963" customWidth="1"/>
    <col min="772" max="773" width="7.25" style="963" customWidth="1"/>
    <col min="774" max="774" width="6.125" style="963" customWidth="1"/>
    <col min="775" max="775" width="7.875" style="963" customWidth="1"/>
    <col min="776" max="776" width="8.75" style="963" customWidth="1"/>
    <col min="777" max="777" width="9.375" style="963" customWidth="1"/>
    <col min="778" max="1024" width="9" style="963"/>
    <col min="1025" max="1025" width="4.875" style="963" customWidth="1"/>
    <col min="1026" max="1026" width="28.25" style="963" customWidth="1"/>
    <col min="1027" max="1027" width="8" style="963" customWidth="1"/>
    <col min="1028" max="1029" width="7.25" style="963" customWidth="1"/>
    <col min="1030" max="1030" width="6.125" style="963" customWidth="1"/>
    <col min="1031" max="1031" width="7.875" style="963" customWidth="1"/>
    <col min="1032" max="1032" width="8.75" style="963" customWidth="1"/>
    <col min="1033" max="1033" width="9.375" style="963" customWidth="1"/>
    <col min="1034" max="1280" width="9" style="963"/>
    <col min="1281" max="1281" width="4.875" style="963" customWidth="1"/>
    <col min="1282" max="1282" width="28.25" style="963" customWidth="1"/>
    <col min="1283" max="1283" width="8" style="963" customWidth="1"/>
    <col min="1284" max="1285" width="7.25" style="963" customWidth="1"/>
    <col min="1286" max="1286" width="6.125" style="963" customWidth="1"/>
    <col min="1287" max="1287" width="7.875" style="963" customWidth="1"/>
    <col min="1288" max="1288" width="8.75" style="963" customWidth="1"/>
    <col min="1289" max="1289" width="9.375" style="963" customWidth="1"/>
    <col min="1290" max="1536" width="9" style="963"/>
    <col min="1537" max="1537" width="4.875" style="963" customWidth="1"/>
    <col min="1538" max="1538" width="28.25" style="963" customWidth="1"/>
    <col min="1539" max="1539" width="8" style="963" customWidth="1"/>
    <col min="1540" max="1541" width="7.25" style="963" customWidth="1"/>
    <col min="1542" max="1542" width="6.125" style="963" customWidth="1"/>
    <col min="1543" max="1543" width="7.875" style="963" customWidth="1"/>
    <col min="1544" max="1544" width="8.75" style="963" customWidth="1"/>
    <col min="1545" max="1545" width="9.375" style="963" customWidth="1"/>
    <col min="1546" max="1792" width="9" style="963"/>
    <col min="1793" max="1793" width="4.875" style="963" customWidth="1"/>
    <col min="1794" max="1794" width="28.25" style="963" customWidth="1"/>
    <col min="1795" max="1795" width="8" style="963" customWidth="1"/>
    <col min="1796" max="1797" width="7.25" style="963" customWidth="1"/>
    <col min="1798" max="1798" width="6.125" style="963" customWidth="1"/>
    <col min="1799" max="1799" width="7.875" style="963" customWidth="1"/>
    <col min="1800" max="1800" width="8.75" style="963" customWidth="1"/>
    <col min="1801" max="1801" width="9.375" style="963" customWidth="1"/>
    <col min="1802" max="2048" width="9" style="963"/>
    <col min="2049" max="2049" width="4.875" style="963" customWidth="1"/>
    <col min="2050" max="2050" width="28.25" style="963" customWidth="1"/>
    <col min="2051" max="2051" width="8" style="963" customWidth="1"/>
    <col min="2052" max="2053" width="7.25" style="963" customWidth="1"/>
    <col min="2054" max="2054" width="6.125" style="963" customWidth="1"/>
    <col min="2055" max="2055" width="7.875" style="963" customWidth="1"/>
    <col min="2056" max="2056" width="8.75" style="963" customWidth="1"/>
    <col min="2057" max="2057" width="9.375" style="963" customWidth="1"/>
    <col min="2058" max="2304" width="9" style="963"/>
    <col min="2305" max="2305" width="4.875" style="963" customWidth="1"/>
    <col min="2306" max="2306" width="28.25" style="963" customWidth="1"/>
    <col min="2307" max="2307" width="8" style="963" customWidth="1"/>
    <col min="2308" max="2309" width="7.25" style="963" customWidth="1"/>
    <col min="2310" max="2310" width="6.125" style="963" customWidth="1"/>
    <col min="2311" max="2311" width="7.875" style="963" customWidth="1"/>
    <col min="2312" max="2312" width="8.75" style="963" customWidth="1"/>
    <col min="2313" max="2313" width="9.375" style="963" customWidth="1"/>
    <col min="2314" max="2560" width="9" style="963"/>
    <col min="2561" max="2561" width="4.875" style="963" customWidth="1"/>
    <col min="2562" max="2562" width="28.25" style="963" customWidth="1"/>
    <col min="2563" max="2563" width="8" style="963" customWidth="1"/>
    <col min="2564" max="2565" width="7.25" style="963" customWidth="1"/>
    <col min="2566" max="2566" width="6.125" style="963" customWidth="1"/>
    <col min="2567" max="2567" width="7.875" style="963" customWidth="1"/>
    <col min="2568" max="2568" width="8.75" style="963" customWidth="1"/>
    <col min="2569" max="2569" width="9.375" style="963" customWidth="1"/>
    <col min="2570" max="2816" width="9" style="963"/>
    <col min="2817" max="2817" width="4.875" style="963" customWidth="1"/>
    <col min="2818" max="2818" width="28.25" style="963" customWidth="1"/>
    <col min="2819" max="2819" width="8" style="963" customWidth="1"/>
    <col min="2820" max="2821" width="7.25" style="963" customWidth="1"/>
    <col min="2822" max="2822" width="6.125" style="963" customWidth="1"/>
    <col min="2823" max="2823" width="7.875" style="963" customWidth="1"/>
    <col min="2824" max="2824" width="8.75" style="963" customWidth="1"/>
    <col min="2825" max="2825" width="9.375" style="963" customWidth="1"/>
    <col min="2826" max="3072" width="9" style="963"/>
    <col min="3073" max="3073" width="4.875" style="963" customWidth="1"/>
    <col min="3074" max="3074" width="28.25" style="963" customWidth="1"/>
    <col min="3075" max="3075" width="8" style="963" customWidth="1"/>
    <col min="3076" max="3077" width="7.25" style="963" customWidth="1"/>
    <col min="3078" max="3078" width="6.125" style="963" customWidth="1"/>
    <col min="3079" max="3079" width="7.875" style="963" customWidth="1"/>
    <col min="3080" max="3080" width="8.75" style="963" customWidth="1"/>
    <col min="3081" max="3081" width="9.375" style="963" customWidth="1"/>
    <col min="3082" max="3328" width="9" style="963"/>
    <col min="3329" max="3329" width="4.875" style="963" customWidth="1"/>
    <col min="3330" max="3330" width="28.25" style="963" customWidth="1"/>
    <col min="3331" max="3331" width="8" style="963" customWidth="1"/>
    <col min="3332" max="3333" width="7.25" style="963" customWidth="1"/>
    <col min="3334" max="3334" width="6.125" style="963" customWidth="1"/>
    <col min="3335" max="3335" width="7.875" style="963" customWidth="1"/>
    <col min="3336" max="3336" width="8.75" style="963" customWidth="1"/>
    <col min="3337" max="3337" width="9.375" style="963" customWidth="1"/>
    <col min="3338" max="3584" width="9" style="963"/>
    <col min="3585" max="3585" width="4.875" style="963" customWidth="1"/>
    <col min="3586" max="3586" width="28.25" style="963" customWidth="1"/>
    <col min="3587" max="3587" width="8" style="963" customWidth="1"/>
    <col min="3588" max="3589" width="7.25" style="963" customWidth="1"/>
    <col min="3590" max="3590" width="6.125" style="963" customWidth="1"/>
    <col min="3591" max="3591" width="7.875" style="963" customWidth="1"/>
    <col min="3592" max="3592" width="8.75" style="963" customWidth="1"/>
    <col min="3593" max="3593" width="9.375" style="963" customWidth="1"/>
    <col min="3594" max="3840" width="9" style="963"/>
    <col min="3841" max="3841" width="4.875" style="963" customWidth="1"/>
    <col min="3842" max="3842" width="28.25" style="963" customWidth="1"/>
    <col min="3843" max="3843" width="8" style="963" customWidth="1"/>
    <col min="3844" max="3845" width="7.25" style="963" customWidth="1"/>
    <col min="3846" max="3846" width="6.125" style="963" customWidth="1"/>
    <col min="3847" max="3847" width="7.875" style="963" customWidth="1"/>
    <col min="3848" max="3848" width="8.75" style="963" customWidth="1"/>
    <col min="3849" max="3849" width="9.375" style="963" customWidth="1"/>
    <col min="3850" max="4096" width="9" style="963"/>
    <col min="4097" max="4097" width="4.875" style="963" customWidth="1"/>
    <col min="4098" max="4098" width="28.25" style="963" customWidth="1"/>
    <col min="4099" max="4099" width="8" style="963" customWidth="1"/>
    <col min="4100" max="4101" width="7.25" style="963" customWidth="1"/>
    <col min="4102" max="4102" width="6.125" style="963" customWidth="1"/>
    <col min="4103" max="4103" width="7.875" style="963" customWidth="1"/>
    <col min="4104" max="4104" width="8.75" style="963" customWidth="1"/>
    <col min="4105" max="4105" width="9.375" style="963" customWidth="1"/>
    <col min="4106" max="4352" width="9" style="963"/>
    <col min="4353" max="4353" width="4.875" style="963" customWidth="1"/>
    <col min="4354" max="4354" width="28.25" style="963" customWidth="1"/>
    <col min="4355" max="4355" width="8" style="963" customWidth="1"/>
    <col min="4356" max="4357" width="7.25" style="963" customWidth="1"/>
    <col min="4358" max="4358" width="6.125" style="963" customWidth="1"/>
    <col min="4359" max="4359" width="7.875" style="963" customWidth="1"/>
    <col min="4360" max="4360" width="8.75" style="963" customWidth="1"/>
    <col min="4361" max="4361" width="9.375" style="963" customWidth="1"/>
    <col min="4362" max="4608" width="9" style="963"/>
    <col min="4609" max="4609" width="4.875" style="963" customWidth="1"/>
    <col min="4610" max="4610" width="28.25" style="963" customWidth="1"/>
    <col min="4611" max="4611" width="8" style="963" customWidth="1"/>
    <col min="4612" max="4613" width="7.25" style="963" customWidth="1"/>
    <col min="4614" max="4614" width="6.125" style="963" customWidth="1"/>
    <col min="4615" max="4615" width="7.875" style="963" customWidth="1"/>
    <col min="4616" max="4616" width="8.75" style="963" customWidth="1"/>
    <col min="4617" max="4617" width="9.375" style="963" customWidth="1"/>
    <col min="4618" max="4864" width="9" style="963"/>
    <col min="4865" max="4865" width="4.875" style="963" customWidth="1"/>
    <col min="4866" max="4866" width="28.25" style="963" customWidth="1"/>
    <col min="4867" max="4867" width="8" style="963" customWidth="1"/>
    <col min="4868" max="4869" width="7.25" style="963" customWidth="1"/>
    <col min="4870" max="4870" width="6.125" style="963" customWidth="1"/>
    <col min="4871" max="4871" width="7.875" style="963" customWidth="1"/>
    <col min="4872" max="4872" width="8.75" style="963" customWidth="1"/>
    <col min="4873" max="4873" width="9.375" style="963" customWidth="1"/>
    <col min="4874" max="5120" width="9" style="963"/>
    <col min="5121" max="5121" width="4.875" style="963" customWidth="1"/>
    <col min="5122" max="5122" width="28.25" style="963" customWidth="1"/>
    <col min="5123" max="5123" width="8" style="963" customWidth="1"/>
    <col min="5124" max="5125" width="7.25" style="963" customWidth="1"/>
    <col min="5126" max="5126" width="6.125" style="963" customWidth="1"/>
    <col min="5127" max="5127" width="7.875" style="963" customWidth="1"/>
    <col min="5128" max="5128" width="8.75" style="963" customWidth="1"/>
    <col min="5129" max="5129" width="9.375" style="963" customWidth="1"/>
    <col min="5130" max="5376" width="9" style="963"/>
    <col min="5377" max="5377" width="4.875" style="963" customWidth="1"/>
    <col min="5378" max="5378" width="28.25" style="963" customWidth="1"/>
    <col min="5379" max="5379" width="8" style="963" customWidth="1"/>
    <col min="5380" max="5381" width="7.25" style="963" customWidth="1"/>
    <col min="5382" max="5382" width="6.125" style="963" customWidth="1"/>
    <col min="5383" max="5383" width="7.875" style="963" customWidth="1"/>
    <col min="5384" max="5384" width="8.75" style="963" customWidth="1"/>
    <col min="5385" max="5385" width="9.375" style="963" customWidth="1"/>
    <col min="5386" max="5632" width="9" style="963"/>
    <col min="5633" max="5633" width="4.875" style="963" customWidth="1"/>
    <col min="5634" max="5634" width="28.25" style="963" customWidth="1"/>
    <col min="5635" max="5635" width="8" style="963" customWidth="1"/>
    <col min="5636" max="5637" width="7.25" style="963" customWidth="1"/>
    <col min="5638" max="5638" width="6.125" style="963" customWidth="1"/>
    <col min="5639" max="5639" width="7.875" style="963" customWidth="1"/>
    <col min="5640" max="5640" width="8.75" style="963" customWidth="1"/>
    <col min="5641" max="5641" width="9.375" style="963" customWidth="1"/>
    <col min="5642" max="5888" width="9" style="963"/>
    <col min="5889" max="5889" width="4.875" style="963" customWidth="1"/>
    <col min="5890" max="5890" width="28.25" style="963" customWidth="1"/>
    <col min="5891" max="5891" width="8" style="963" customWidth="1"/>
    <col min="5892" max="5893" width="7.25" style="963" customWidth="1"/>
    <col min="5894" max="5894" width="6.125" style="963" customWidth="1"/>
    <col min="5895" max="5895" width="7.875" style="963" customWidth="1"/>
    <col min="5896" max="5896" width="8.75" style="963" customWidth="1"/>
    <col min="5897" max="5897" width="9.375" style="963" customWidth="1"/>
    <col min="5898" max="6144" width="9" style="963"/>
    <col min="6145" max="6145" width="4.875" style="963" customWidth="1"/>
    <col min="6146" max="6146" width="28.25" style="963" customWidth="1"/>
    <col min="6147" max="6147" width="8" style="963" customWidth="1"/>
    <col min="6148" max="6149" width="7.25" style="963" customWidth="1"/>
    <col min="6150" max="6150" width="6.125" style="963" customWidth="1"/>
    <col min="6151" max="6151" width="7.875" style="963" customWidth="1"/>
    <col min="6152" max="6152" width="8.75" style="963" customWidth="1"/>
    <col min="6153" max="6153" width="9.375" style="963" customWidth="1"/>
    <col min="6154" max="6400" width="9" style="963"/>
    <col min="6401" max="6401" width="4.875" style="963" customWidth="1"/>
    <col min="6402" max="6402" width="28.25" style="963" customWidth="1"/>
    <col min="6403" max="6403" width="8" style="963" customWidth="1"/>
    <col min="6404" max="6405" width="7.25" style="963" customWidth="1"/>
    <col min="6406" max="6406" width="6.125" style="963" customWidth="1"/>
    <col min="6407" max="6407" width="7.875" style="963" customWidth="1"/>
    <col min="6408" max="6408" width="8.75" style="963" customWidth="1"/>
    <col min="6409" max="6409" width="9.375" style="963" customWidth="1"/>
    <col min="6410" max="6656" width="9" style="963"/>
    <col min="6657" max="6657" width="4.875" style="963" customWidth="1"/>
    <col min="6658" max="6658" width="28.25" style="963" customWidth="1"/>
    <col min="6659" max="6659" width="8" style="963" customWidth="1"/>
    <col min="6660" max="6661" width="7.25" style="963" customWidth="1"/>
    <col min="6662" max="6662" width="6.125" style="963" customWidth="1"/>
    <col min="6663" max="6663" width="7.875" style="963" customWidth="1"/>
    <col min="6664" max="6664" width="8.75" style="963" customWidth="1"/>
    <col min="6665" max="6665" width="9.375" style="963" customWidth="1"/>
    <col min="6666" max="6912" width="9" style="963"/>
    <col min="6913" max="6913" width="4.875" style="963" customWidth="1"/>
    <col min="6914" max="6914" width="28.25" style="963" customWidth="1"/>
    <col min="6915" max="6915" width="8" style="963" customWidth="1"/>
    <col min="6916" max="6917" width="7.25" style="963" customWidth="1"/>
    <col min="6918" max="6918" width="6.125" style="963" customWidth="1"/>
    <col min="6919" max="6919" width="7.875" style="963" customWidth="1"/>
    <col min="6920" max="6920" width="8.75" style="963" customWidth="1"/>
    <col min="6921" max="6921" width="9.375" style="963" customWidth="1"/>
    <col min="6922" max="7168" width="9" style="963"/>
    <col min="7169" max="7169" width="4.875" style="963" customWidth="1"/>
    <col min="7170" max="7170" width="28.25" style="963" customWidth="1"/>
    <col min="7171" max="7171" width="8" style="963" customWidth="1"/>
    <col min="7172" max="7173" width="7.25" style="963" customWidth="1"/>
    <col min="7174" max="7174" width="6.125" style="963" customWidth="1"/>
    <col min="7175" max="7175" width="7.875" style="963" customWidth="1"/>
    <col min="7176" max="7176" width="8.75" style="963" customWidth="1"/>
    <col min="7177" max="7177" width="9.375" style="963" customWidth="1"/>
    <col min="7178" max="7424" width="9" style="963"/>
    <col min="7425" max="7425" width="4.875" style="963" customWidth="1"/>
    <col min="7426" max="7426" width="28.25" style="963" customWidth="1"/>
    <col min="7427" max="7427" width="8" style="963" customWidth="1"/>
    <col min="7428" max="7429" width="7.25" style="963" customWidth="1"/>
    <col min="7430" max="7430" width="6.125" style="963" customWidth="1"/>
    <col min="7431" max="7431" width="7.875" style="963" customWidth="1"/>
    <col min="7432" max="7432" width="8.75" style="963" customWidth="1"/>
    <col min="7433" max="7433" width="9.375" style="963" customWidth="1"/>
    <col min="7434" max="7680" width="9" style="963"/>
    <col min="7681" max="7681" width="4.875" style="963" customWidth="1"/>
    <col min="7682" max="7682" width="28.25" style="963" customWidth="1"/>
    <col min="7683" max="7683" width="8" style="963" customWidth="1"/>
    <col min="7684" max="7685" width="7.25" style="963" customWidth="1"/>
    <col min="7686" max="7686" width="6.125" style="963" customWidth="1"/>
    <col min="7687" max="7687" width="7.875" style="963" customWidth="1"/>
    <col min="7688" max="7688" width="8.75" style="963" customWidth="1"/>
    <col min="7689" max="7689" width="9.375" style="963" customWidth="1"/>
    <col min="7690" max="7936" width="9" style="963"/>
    <col min="7937" max="7937" width="4.875" style="963" customWidth="1"/>
    <col min="7938" max="7938" width="28.25" style="963" customWidth="1"/>
    <col min="7939" max="7939" width="8" style="963" customWidth="1"/>
    <col min="7940" max="7941" width="7.25" style="963" customWidth="1"/>
    <col min="7942" max="7942" width="6.125" style="963" customWidth="1"/>
    <col min="7943" max="7943" width="7.875" style="963" customWidth="1"/>
    <col min="7944" max="7944" width="8.75" style="963" customWidth="1"/>
    <col min="7945" max="7945" width="9.375" style="963" customWidth="1"/>
    <col min="7946" max="8192" width="9" style="963"/>
    <col min="8193" max="8193" width="4.875" style="963" customWidth="1"/>
    <col min="8194" max="8194" width="28.25" style="963" customWidth="1"/>
    <col min="8195" max="8195" width="8" style="963" customWidth="1"/>
    <col min="8196" max="8197" width="7.25" style="963" customWidth="1"/>
    <col min="8198" max="8198" width="6.125" style="963" customWidth="1"/>
    <col min="8199" max="8199" width="7.875" style="963" customWidth="1"/>
    <col min="8200" max="8200" width="8.75" style="963" customWidth="1"/>
    <col min="8201" max="8201" width="9.375" style="963" customWidth="1"/>
    <col min="8202" max="8448" width="9" style="963"/>
    <col min="8449" max="8449" width="4.875" style="963" customWidth="1"/>
    <col min="8450" max="8450" width="28.25" style="963" customWidth="1"/>
    <col min="8451" max="8451" width="8" style="963" customWidth="1"/>
    <col min="8452" max="8453" width="7.25" style="963" customWidth="1"/>
    <col min="8454" max="8454" width="6.125" style="963" customWidth="1"/>
    <col min="8455" max="8455" width="7.875" style="963" customWidth="1"/>
    <col min="8456" max="8456" width="8.75" style="963" customWidth="1"/>
    <col min="8457" max="8457" width="9.375" style="963" customWidth="1"/>
    <col min="8458" max="8704" width="9" style="963"/>
    <col min="8705" max="8705" width="4.875" style="963" customWidth="1"/>
    <col min="8706" max="8706" width="28.25" style="963" customWidth="1"/>
    <col min="8707" max="8707" width="8" style="963" customWidth="1"/>
    <col min="8708" max="8709" width="7.25" style="963" customWidth="1"/>
    <col min="8710" max="8710" width="6.125" style="963" customWidth="1"/>
    <col min="8711" max="8711" width="7.875" style="963" customWidth="1"/>
    <col min="8712" max="8712" width="8.75" style="963" customWidth="1"/>
    <col min="8713" max="8713" width="9.375" style="963" customWidth="1"/>
    <col min="8714" max="8960" width="9" style="963"/>
    <col min="8961" max="8961" width="4.875" style="963" customWidth="1"/>
    <col min="8962" max="8962" width="28.25" style="963" customWidth="1"/>
    <col min="8963" max="8963" width="8" style="963" customWidth="1"/>
    <col min="8964" max="8965" width="7.25" style="963" customWidth="1"/>
    <col min="8966" max="8966" width="6.125" style="963" customWidth="1"/>
    <col min="8967" max="8967" width="7.875" style="963" customWidth="1"/>
    <col min="8968" max="8968" width="8.75" style="963" customWidth="1"/>
    <col min="8969" max="8969" width="9.375" style="963" customWidth="1"/>
    <col min="8970" max="9216" width="9" style="963"/>
    <col min="9217" max="9217" width="4.875" style="963" customWidth="1"/>
    <col min="9218" max="9218" width="28.25" style="963" customWidth="1"/>
    <col min="9219" max="9219" width="8" style="963" customWidth="1"/>
    <col min="9220" max="9221" width="7.25" style="963" customWidth="1"/>
    <col min="9222" max="9222" width="6.125" style="963" customWidth="1"/>
    <col min="9223" max="9223" width="7.875" style="963" customWidth="1"/>
    <col min="9224" max="9224" width="8.75" style="963" customWidth="1"/>
    <col min="9225" max="9225" width="9.375" style="963" customWidth="1"/>
    <col min="9226" max="9472" width="9" style="963"/>
    <col min="9473" max="9473" width="4.875" style="963" customWidth="1"/>
    <col min="9474" max="9474" width="28.25" style="963" customWidth="1"/>
    <col min="9475" max="9475" width="8" style="963" customWidth="1"/>
    <col min="9476" max="9477" width="7.25" style="963" customWidth="1"/>
    <col min="9478" max="9478" width="6.125" style="963" customWidth="1"/>
    <col min="9479" max="9479" width="7.875" style="963" customWidth="1"/>
    <col min="9480" max="9480" width="8.75" style="963" customWidth="1"/>
    <col min="9481" max="9481" width="9.375" style="963" customWidth="1"/>
    <col min="9482" max="9728" width="9" style="963"/>
    <col min="9729" max="9729" width="4.875" style="963" customWidth="1"/>
    <col min="9730" max="9730" width="28.25" style="963" customWidth="1"/>
    <col min="9731" max="9731" width="8" style="963" customWidth="1"/>
    <col min="9732" max="9733" width="7.25" style="963" customWidth="1"/>
    <col min="9734" max="9734" width="6.125" style="963" customWidth="1"/>
    <col min="9735" max="9735" width="7.875" style="963" customWidth="1"/>
    <col min="9736" max="9736" width="8.75" style="963" customWidth="1"/>
    <col min="9737" max="9737" width="9.375" style="963" customWidth="1"/>
    <col min="9738" max="9984" width="9" style="963"/>
    <col min="9985" max="9985" width="4.875" style="963" customWidth="1"/>
    <col min="9986" max="9986" width="28.25" style="963" customWidth="1"/>
    <col min="9987" max="9987" width="8" style="963" customWidth="1"/>
    <col min="9988" max="9989" width="7.25" style="963" customWidth="1"/>
    <col min="9990" max="9990" width="6.125" style="963" customWidth="1"/>
    <col min="9991" max="9991" width="7.875" style="963" customWidth="1"/>
    <col min="9992" max="9992" width="8.75" style="963" customWidth="1"/>
    <col min="9993" max="9993" width="9.375" style="963" customWidth="1"/>
    <col min="9994" max="10240" width="9" style="963"/>
    <col min="10241" max="10241" width="4.875" style="963" customWidth="1"/>
    <col min="10242" max="10242" width="28.25" style="963" customWidth="1"/>
    <col min="10243" max="10243" width="8" style="963" customWidth="1"/>
    <col min="10244" max="10245" width="7.25" style="963" customWidth="1"/>
    <col min="10246" max="10246" width="6.125" style="963" customWidth="1"/>
    <col min="10247" max="10247" width="7.875" style="963" customWidth="1"/>
    <col min="10248" max="10248" width="8.75" style="963" customWidth="1"/>
    <col min="10249" max="10249" width="9.375" style="963" customWidth="1"/>
    <col min="10250" max="10496" width="9" style="963"/>
    <col min="10497" max="10497" width="4.875" style="963" customWidth="1"/>
    <col min="10498" max="10498" width="28.25" style="963" customWidth="1"/>
    <col min="10499" max="10499" width="8" style="963" customWidth="1"/>
    <col min="10500" max="10501" width="7.25" style="963" customWidth="1"/>
    <col min="10502" max="10502" width="6.125" style="963" customWidth="1"/>
    <col min="10503" max="10503" width="7.875" style="963" customWidth="1"/>
    <col min="10504" max="10504" width="8.75" style="963" customWidth="1"/>
    <col min="10505" max="10505" width="9.375" style="963" customWidth="1"/>
    <col min="10506" max="10752" width="9" style="963"/>
    <col min="10753" max="10753" width="4.875" style="963" customWidth="1"/>
    <col min="10754" max="10754" width="28.25" style="963" customWidth="1"/>
    <col min="10755" max="10755" width="8" style="963" customWidth="1"/>
    <col min="10756" max="10757" width="7.25" style="963" customWidth="1"/>
    <col min="10758" max="10758" width="6.125" style="963" customWidth="1"/>
    <col min="10759" max="10759" width="7.875" style="963" customWidth="1"/>
    <col min="10760" max="10760" width="8.75" style="963" customWidth="1"/>
    <col min="10761" max="10761" width="9.375" style="963" customWidth="1"/>
    <col min="10762" max="11008" width="9" style="963"/>
    <col min="11009" max="11009" width="4.875" style="963" customWidth="1"/>
    <col min="11010" max="11010" width="28.25" style="963" customWidth="1"/>
    <col min="11011" max="11011" width="8" style="963" customWidth="1"/>
    <col min="11012" max="11013" width="7.25" style="963" customWidth="1"/>
    <col min="11014" max="11014" width="6.125" style="963" customWidth="1"/>
    <col min="11015" max="11015" width="7.875" style="963" customWidth="1"/>
    <col min="11016" max="11016" width="8.75" style="963" customWidth="1"/>
    <col min="11017" max="11017" width="9.375" style="963" customWidth="1"/>
    <col min="11018" max="11264" width="9" style="963"/>
    <col min="11265" max="11265" width="4.875" style="963" customWidth="1"/>
    <col min="11266" max="11266" width="28.25" style="963" customWidth="1"/>
    <col min="11267" max="11267" width="8" style="963" customWidth="1"/>
    <col min="11268" max="11269" width="7.25" style="963" customWidth="1"/>
    <col min="11270" max="11270" width="6.125" style="963" customWidth="1"/>
    <col min="11271" max="11271" width="7.875" style="963" customWidth="1"/>
    <col min="11272" max="11272" width="8.75" style="963" customWidth="1"/>
    <col min="11273" max="11273" width="9.375" style="963" customWidth="1"/>
    <col min="11274" max="11520" width="9" style="963"/>
    <col min="11521" max="11521" width="4.875" style="963" customWidth="1"/>
    <col min="11522" max="11522" width="28.25" style="963" customWidth="1"/>
    <col min="11523" max="11523" width="8" style="963" customWidth="1"/>
    <col min="11524" max="11525" width="7.25" style="963" customWidth="1"/>
    <col min="11526" max="11526" width="6.125" style="963" customWidth="1"/>
    <col min="11527" max="11527" width="7.875" style="963" customWidth="1"/>
    <col min="11528" max="11528" width="8.75" style="963" customWidth="1"/>
    <col min="11529" max="11529" width="9.375" style="963" customWidth="1"/>
    <col min="11530" max="11776" width="9" style="963"/>
    <col min="11777" max="11777" width="4.875" style="963" customWidth="1"/>
    <col min="11778" max="11778" width="28.25" style="963" customWidth="1"/>
    <col min="11779" max="11779" width="8" style="963" customWidth="1"/>
    <col min="11780" max="11781" width="7.25" style="963" customWidth="1"/>
    <col min="11782" max="11782" width="6.125" style="963" customWidth="1"/>
    <col min="11783" max="11783" width="7.875" style="963" customWidth="1"/>
    <col min="11784" max="11784" width="8.75" style="963" customWidth="1"/>
    <col min="11785" max="11785" width="9.375" style="963" customWidth="1"/>
    <col min="11786" max="12032" width="9" style="963"/>
    <col min="12033" max="12033" width="4.875" style="963" customWidth="1"/>
    <col min="12034" max="12034" width="28.25" style="963" customWidth="1"/>
    <col min="12035" max="12035" width="8" style="963" customWidth="1"/>
    <col min="12036" max="12037" width="7.25" style="963" customWidth="1"/>
    <col min="12038" max="12038" width="6.125" style="963" customWidth="1"/>
    <col min="12039" max="12039" width="7.875" style="963" customWidth="1"/>
    <col min="12040" max="12040" width="8.75" style="963" customWidth="1"/>
    <col min="12041" max="12041" width="9.375" style="963" customWidth="1"/>
    <col min="12042" max="12288" width="9" style="963"/>
    <col min="12289" max="12289" width="4.875" style="963" customWidth="1"/>
    <col min="12290" max="12290" width="28.25" style="963" customWidth="1"/>
    <col min="12291" max="12291" width="8" style="963" customWidth="1"/>
    <col min="12292" max="12293" width="7.25" style="963" customWidth="1"/>
    <col min="12294" max="12294" width="6.125" style="963" customWidth="1"/>
    <col min="12295" max="12295" width="7.875" style="963" customWidth="1"/>
    <col min="12296" max="12296" width="8.75" style="963" customWidth="1"/>
    <col min="12297" max="12297" width="9.375" style="963" customWidth="1"/>
    <col min="12298" max="12544" width="9" style="963"/>
    <col min="12545" max="12545" width="4.875" style="963" customWidth="1"/>
    <col min="12546" max="12546" width="28.25" style="963" customWidth="1"/>
    <col min="12547" max="12547" width="8" style="963" customWidth="1"/>
    <col min="12548" max="12549" width="7.25" style="963" customWidth="1"/>
    <col min="12550" max="12550" width="6.125" style="963" customWidth="1"/>
    <col min="12551" max="12551" width="7.875" style="963" customWidth="1"/>
    <col min="12552" max="12552" width="8.75" style="963" customWidth="1"/>
    <col min="12553" max="12553" width="9.375" style="963" customWidth="1"/>
    <col min="12554" max="12800" width="9" style="963"/>
    <col min="12801" max="12801" width="4.875" style="963" customWidth="1"/>
    <col min="12802" max="12802" width="28.25" style="963" customWidth="1"/>
    <col min="12803" max="12803" width="8" style="963" customWidth="1"/>
    <col min="12804" max="12805" width="7.25" style="963" customWidth="1"/>
    <col min="12806" max="12806" width="6.125" style="963" customWidth="1"/>
    <col min="12807" max="12807" width="7.875" style="963" customWidth="1"/>
    <col min="12808" max="12808" width="8.75" style="963" customWidth="1"/>
    <col min="12809" max="12809" width="9.375" style="963" customWidth="1"/>
    <col min="12810" max="13056" width="9" style="963"/>
    <col min="13057" max="13057" width="4.875" style="963" customWidth="1"/>
    <col min="13058" max="13058" width="28.25" style="963" customWidth="1"/>
    <col min="13059" max="13059" width="8" style="963" customWidth="1"/>
    <col min="13060" max="13061" width="7.25" style="963" customWidth="1"/>
    <col min="13062" max="13062" width="6.125" style="963" customWidth="1"/>
    <col min="13063" max="13063" width="7.875" style="963" customWidth="1"/>
    <col min="13064" max="13064" width="8.75" style="963" customWidth="1"/>
    <col min="13065" max="13065" width="9.375" style="963" customWidth="1"/>
    <col min="13066" max="13312" width="9" style="963"/>
    <col min="13313" max="13313" width="4.875" style="963" customWidth="1"/>
    <col min="13314" max="13314" width="28.25" style="963" customWidth="1"/>
    <col min="13315" max="13315" width="8" style="963" customWidth="1"/>
    <col min="13316" max="13317" width="7.25" style="963" customWidth="1"/>
    <col min="13318" max="13318" width="6.125" style="963" customWidth="1"/>
    <col min="13319" max="13319" width="7.875" style="963" customWidth="1"/>
    <col min="13320" max="13320" width="8.75" style="963" customWidth="1"/>
    <col min="13321" max="13321" width="9.375" style="963" customWidth="1"/>
    <col min="13322" max="13568" width="9" style="963"/>
    <col min="13569" max="13569" width="4.875" style="963" customWidth="1"/>
    <col min="13570" max="13570" width="28.25" style="963" customWidth="1"/>
    <col min="13571" max="13571" width="8" style="963" customWidth="1"/>
    <col min="13572" max="13573" width="7.25" style="963" customWidth="1"/>
    <col min="13574" max="13574" width="6.125" style="963" customWidth="1"/>
    <col min="13575" max="13575" width="7.875" style="963" customWidth="1"/>
    <col min="13576" max="13576" width="8.75" style="963" customWidth="1"/>
    <col min="13577" max="13577" width="9.375" style="963" customWidth="1"/>
    <col min="13578" max="13824" width="9" style="963"/>
    <col min="13825" max="13825" width="4.875" style="963" customWidth="1"/>
    <col min="13826" max="13826" width="28.25" style="963" customWidth="1"/>
    <col min="13827" max="13827" width="8" style="963" customWidth="1"/>
    <col min="13828" max="13829" width="7.25" style="963" customWidth="1"/>
    <col min="13830" max="13830" width="6.125" style="963" customWidth="1"/>
    <col min="13831" max="13831" width="7.875" style="963" customWidth="1"/>
    <col min="13832" max="13832" width="8.75" style="963" customWidth="1"/>
    <col min="13833" max="13833" width="9.375" style="963" customWidth="1"/>
    <col min="13834" max="14080" width="9" style="963"/>
    <col min="14081" max="14081" width="4.875" style="963" customWidth="1"/>
    <col min="14082" max="14082" width="28.25" style="963" customWidth="1"/>
    <col min="14083" max="14083" width="8" style="963" customWidth="1"/>
    <col min="14084" max="14085" width="7.25" style="963" customWidth="1"/>
    <col min="14086" max="14086" width="6.125" style="963" customWidth="1"/>
    <col min="14087" max="14087" width="7.875" style="963" customWidth="1"/>
    <col min="14088" max="14088" width="8.75" style="963" customWidth="1"/>
    <col min="14089" max="14089" width="9.375" style="963" customWidth="1"/>
    <col min="14090" max="14336" width="9" style="963"/>
    <col min="14337" max="14337" width="4.875" style="963" customWidth="1"/>
    <col min="14338" max="14338" width="28.25" style="963" customWidth="1"/>
    <col min="14339" max="14339" width="8" style="963" customWidth="1"/>
    <col min="14340" max="14341" width="7.25" style="963" customWidth="1"/>
    <col min="14342" max="14342" width="6.125" style="963" customWidth="1"/>
    <col min="14343" max="14343" width="7.875" style="963" customWidth="1"/>
    <col min="14344" max="14344" width="8.75" style="963" customWidth="1"/>
    <col min="14345" max="14345" width="9.375" style="963" customWidth="1"/>
    <col min="14346" max="14592" width="9" style="963"/>
    <col min="14593" max="14593" width="4.875" style="963" customWidth="1"/>
    <col min="14594" max="14594" width="28.25" style="963" customWidth="1"/>
    <col min="14595" max="14595" width="8" style="963" customWidth="1"/>
    <col min="14596" max="14597" width="7.25" style="963" customWidth="1"/>
    <col min="14598" max="14598" width="6.125" style="963" customWidth="1"/>
    <col min="14599" max="14599" width="7.875" style="963" customWidth="1"/>
    <col min="14600" max="14600" width="8.75" style="963" customWidth="1"/>
    <col min="14601" max="14601" width="9.375" style="963" customWidth="1"/>
    <col min="14602" max="14848" width="9" style="963"/>
    <col min="14849" max="14849" width="4.875" style="963" customWidth="1"/>
    <col min="14850" max="14850" width="28.25" style="963" customWidth="1"/>
    <col min="14851" max="14851" width="8" style="963" customWidth="1"/>
    <col min="14852" max="14853" width="7.25" style="963" customWidth="1"/>
    <col min="14854" max="14854" width="6.125" style="963" customWidth="1"/>
    <col min="14855" max="14855" width="7.875" style="963" customWidth="1"/>
    <col min="14856" max="14856" width="8.75" style="963" customWidth="1"/>
    <col min="14857" max="14857" width="9.375" style="963" customWidth="1"/>
    <col min="14858" max="15104" width="9" style="963"/>
    <col min="15105" max="15105" width="4.875" style="963" customWidth="1"/>
    <col min="15106" max="15106" width="28.25" style="963" customWidth="1"/>
    <col min="15107" max="15107" width="8" style="963" customWidth="1"/>
    <col min="15108" max="15109" width="7.25" style="963" customWidth="1"/>
    <col min="15110" max="15110" width="6.125" style="963" customWidth="1"/>
    <col min="15111" max="15111" width="7.875" style="963" customWidth="1"/>
    <col min="15112" max="15112" width="8.75" style="963" customWidth="1"/>
    <col min="15113" max="15113" width="9.375" style="963" customWidth="1"/>
    <col min="15114" max="15360" width="9" style="963"/>
    <col min="15361" max="15361" width="4.875" style="963" customWidth="1"/>
    <col min="15362" max="15362" width="28.25" style="963" customWidth="1"/>
    <col min="15363" max="15363" width="8" style="963" customWidth="1"/>
    <col min="15364" max="15365" width="7.25" style="963" customWidth="1"/>
    <col min="15366" max="15366" width="6.125" style="963" customWidth="1"/>
    <col min="15367" max="15367" width="7.875" style="963" customWidth="1"/>
    <col min="15368" max="15368" width="8.75" style="963" customWidth="1"/>
    <col min="15369" max="15369" width="9.375" style="963" customWidth="1"/>
    <col min="15370" max="15616" width="9" style="963"/>
    <col min="15617" max="15617" width="4.875" style="963" customWidth="1"/>
    <col min="15618" max="15618" width="28.25" style="963" customWidth="1"/>
    <col min="15619" max="15619" width="8" style="963" customWidth="1"/>
    <col min="15620" max="15621" width="7.25" style="963" customWidth="1"/>
    <col min="15622" max="15622" width="6.125" style="963" customWidth="1"/>
    <col min="15623" max="15623" width="7.875" style="963" customWidth="1"/>
    <col min="15624" max="15624" width="8.75" style="963" customWidth="1"/>
    <col min="15625" max="15625" width="9.375" style="963" customWidth="1"/>
    <col min="15626" max="15872" width="9" style="963"/>
    <col min="15873" max="15873" width="4.875" style="963" customWidth="1"/>
    <col min="15874" max="15874" width="28.25" style="963" customWidth="1"/>
    <col min="15875" max="15875" width="8" style="963" customWidth="1"/>
    <col min="15876" max="15877" width="7.25" style="963" customWidth="1"/>
    <col min="15878" max="15878" width="6.125" style="963" customWidth="1"/>
    <col min="15879" max="15879" width="7.875" style="963" customWidth="1"/>
    <col min="15880" max="15880" width="8.75" style="963" customWidth="1"/>
    <col min="15881" max="15881" width="9.375" style="963" customWidth="1"/>
    <col min="15882" max="16128" width="9" style="963"/>
    <col min="16129" max="16129" width="4.875" style="963" customWidth="1"/>
    <col min="16130" max="16130" width="28.25" style="963" customWidth="1"/>
    <col min="16131" max="16131" width="8" style="963" customWidth="1"/>
    <col min="16132" max="16133" width="7.25" style="963" customWidth="1"/>
    <col min="16134" max="16134" width="6.125" style="963" customWidth="1"/>
    <col min="16135" max="16135" width="7.875" style="963" customWidth="1"/>
    <col min="16136" max="16136" width="8.75" style="963" customWidth="1"/>
    <col min="16137" max="16137" width="9.375" style="963" customWidth="1"/>
    <col min="16138" max="16384" width="9" style="963"/>
  </cols>
  <sheetData>
    <row r="1" spans="1:22" s="399" customFormat="1" ht="23.25" customHeight="1" x14ac:dyDescent="0.3">
      <c r="A1" s="2191" t="s">
        <v>1217</v>
      </c>
      <c r="B1" s="2191"/>
      <c r="C1" s="2191"/>
      <c r="D1" s="2191"/>
      <c r="E1" s="2191"/>
      <c r="F1" s="2191"/>
      <c r="G1" s="2191"/>
      <c r="H1" s="2191"/>
      <c r="I1" s="2191"/>
      <c r="J1" s="357"/>
      <c r="K1" s="357"/>
      <c r="L1" s="357"/>
      <c r="M1" s="357"/>
      <c r="N1" s="357"/>
      <c r="O1" s="357"/>
      <c r="P1" s="357"/>
      <c r="Q1" s="357"/>
      <c r="R1" s="357"/>
      <c r="S1" s="357"/>
      <c r="T1" s="357"/>
      <c r="U1" s="111"/>
      <c r="V1" s="357"/>
    </row>
    <row r="2" spans="1:22" s="399" customFormat="1" ht="17.25" customHeight="1" x14ac:dyDescent="0.25">
      <c r="A2" s="2192" t="str">
        <f>'Biểu 06 DT '!A2:G2</f>
        <v>(Kèm theo Nghị quyết số 14/NQ-HĐND ngày 09 tháng 12 năm 2018 của HĐND tỉnh Bắc Kạn)</v>
      </c>
      <c r="B2" s="2192"/>
      <c r="C2" s="2192"/>
      <c r="D2" s="2192"/>
      <c r="E2" s="2192"/>
      <c r="F2" s="2192"/>
      <c r="G2" s="2192"/>
      <c r="H2" s="2192"/>
      <c r="I2" s="2192"/>
      <c r="J2" s="357"/>
      <c r="K2" s="357"/>
      <c r="L2" s="357"/>
      <c r="M2" s="357"/>
      <c r="N2" s="357"/>
      <c r="O2" s="357"/>
      <c r="P2" s="357"/>
      <c r="Q2" s="357"/>
      <c r="R2" s="357"/>
      <c r="S2" s="357"/>
      <c r="T2" s="357"/>
      <c r="U2" s="111"/>
      <c r="V2" s="357"/>
    </row>
    <row r="3" spans="1:22" s="399" customFormat="1" ht="21" customHeight="1" x14ac:dyDescent="0.25">
      <c r="A3" s="400"/>
      <c r="B3" s="400"/>
      <c r="C3" s="400"/>
      <c r="D3" s="400"/>
      <c r="E3" s="400"/>
      <c r="F3" s="400"/>
      <c r="G3" s="400"/>
      <c r="H3" s="400" t="s">
        <v>1105</v>
      </c>
      <c r="I3" s="400"/>
      <c r="J3" s="357"/>
      <c r="K3" s="357"/>
      <c r="L3" s="357"/>
      <c r="M3" s="357"/>
      <c r="N3" s="357"/>
      <c r="O3" s="357"/>
      <c r="P3" s="357"/>
      <c r="Q3" s="357"/>
      <c r="R3" s="357"/>
      <c r="S3" s="357"/>
      <c r="T3" s="357"/>
      <c r="U3" s="111"/>
      <c r="V3" s="357"/>
    </row>
    <row r="4" spans="1:22" s="399" customFormat="1" ht="18.75" customHeight="1" x14ac:dyDescent="0.2">
      <c r="A4" s="2193" t="s">
        <v>1106</v>
      </c>
      <c r="B4" s="1963" t="s">
        <v>870</v>
      </c>
      <c r="C4" s="1963" t="s">
        <v>1107</v>
      </c>
      <c r="D4" s="1963" t="s">
        <v>96</v>
      </c>
      <c r="E4" s="1963"/>
      <c r="F4" s="1963" t="s">
        <v>1108</v>
      </c>
      <c r="G4" s="1963" t="s">
        <v>1109</v>
      </c>
      <c r="H4" s="1963" t="s">
        <v>1110</v>
      </c>
      <c r="I4" s="1963" t="s">
        <v>1175</v>
      </c>
      <c r="J4" s="357"/>
      <c r="K4" s="357"/>
      <c r="L4" s="357"/>
      <c r="M4" s="357"/>
      <c r="N4" s="357"/>
      <c r="O4" s="357"/>
      <c r="P4" s="357"/>
      <c r="Q4" s="357"/>
      <c r="R4" s="357"/>
      <c r="S4" s="357"/>
      <c r="T4" s="357"/>
      <c r="U4" s="111"/>
      <c r="V4" s="357"/>
    </row>
    <row r="5" spans="1:22" s="399" customFormat="1" ht="12.75" customHeight="1" x14ac:dyDescent="0.2">
      <c r="A5" s="2193"/>
      <c r="B5" s="1963"/>
      <c r="C5" s="1963"/>
      <c r="D5" s="1963" t="s">
        <v>1111</v>
      </c>
      <c r="E5" s="1963" t="s">
        <v>1112</v>
      </c>
      <c r="F5" s="1963"/>
      <c r="G5" s="1963"/>
      <c r="H5" s="1963"/>
      <c r="I5" s="1963"/>
      <c r="J5" s="357"/>
      <c r="K5" s="357"/>
      <c r="L5" s="357"/>
      <c r="M5" s="357"/>
      <c r="N5" s="357"/>
      <c r="O5" s="357"/>
      <c r="P5" s="357"/>
      <c r="Q5" s="357"/>
      <c r="R5" s="357"/>
      <c r="S5" s="357"/>
      <c r="T5" s="357"/>
      <c r="U5" s="111"/>
      <c r="V5" s="357"/>
    </row>
    <row r="6" spans="1:22" s="399" customFormat="1" ht="12.75" customHeight="1" x14ac:dyDescent="0.2">
      <c r="A6" s="2193"/>
      <c r="B6" s="1963"/>
      <c r="C6" s="1963"/>
      <c r="D6" s="1963"/>
      <c r="E6" s="1963"/>
      <c r="F6" s="1963"/>
      <c r="G6" s="1963"/>
      <c r="H6" s="1963"/>
      <c r="I6" s="1963"/>
      <c r="J6" s="357"/>
      <c r="K6" s="357"/>
      <c r="L6" s="357"/>
      <c r="M6" s="357"/>
      <c r="N6" s="357"/>
      <c r="O6" s="357"/>
      <c r="P6" s="357"/>
      <c r="Q6" s="357"/>
      <c r="R6" s="357"/>
      <c r="S6" s="357"/>
      <c r="T6" s="357"/>
      <c r="U6" s="111"/>
      <c r="V6" s="357"/>
    </row>
    <row r="7" spans="1:22" s="399" customFormat="1" ht="56.25" customHeight="1" x14ac:dyDescent="0.2">
      <c r="A7" s="2193"/>
      <c r="B7" s="1963"/>
      <c r="C7" s="1963"/>
      <c r="D7" s="1963"/>
      <c r="E7" s="1963"/>
      <c r="F7" s="1963"/>
      <c r="G7" s="1963"/>
      <c r="H7" s="1963"/>
      <c r="I7" s="1963"/>
      <c r="J7" s="357"/>
      <c r="K7" s="357"/>
      <c r="L7" s="357"/>
      <c r="M7" s="357"/>
      <c r="N7" s="357"/>
      <c r="O7" s="357"/>
      <c r="P7" s="357"/>
      <c r="Q7" s="357"/>
      <c r="R7" s="357"/>
      <c r="S7" s="357"/>
      <c r="T7" s="357"/>
      <c r="U7" s="111"/>
      <c r="V7" s="357"/>
    </row>
    <row r="8" spans="1:22" s="399" customFormat="1" ht="23.25" customHeight="1" x14ac:dyDescent="0.2">
      <c r="A8" s="1659"/>
      <c r="B8" s="1066" t="s">
        <v>61</v>
      </c>
      <c r="C8" s="1068">
        <f>C14+C9+C10+C13+C17+C21+C26+C29+C31+C34+C36+C37+C41+C44+C49+C52+C54+C57+C58+C59+C53</f>
        <v>310714.57335999998</v>
      </c>
      <c r="D8" s="1068">
        <f t="shared" ref="D8:I8" si="0">D14+D9+D10+D13+D17+D21+D26+D29+D31+D34+D36+D37+D41+D44+D49+D52+D54+D57+D58+D59+D53</f>
        <v>16075</v>
      </c>
      <c r="E8" s="1068">
        <f t="shared" si="0"/>
        <v>294639.57335999998</v>
      </c>
      <c r="F8" s="1068">
        <f t="shared" si="0"/>
        <v>10185.253099</v>
      </c>
      <c r="G8" s="1068">
        <f t="shared" si="0"/>
        <v>300529.32026100002</v>
      </c>
      <c r="H8" s="1068">
        <f t="shared" si="0"/>
        <v>14263.640000000001</v>
      </c>
      <c r="I8" s="1068">
        <f t="shared" si="0"/>
        <v>35283.320261000001</v>
      </c>
      <c r="J8" s="426">
        <v>310130.57335999998</v>
      </c>
      <c r="K8" s="426">
        <v>15591</v>
      </c>
      <c r="L8" s="426">
        <v>294508.57335999998</v>
      </c>
      <c r="M8" s="426">
        <v>9700.2530989999996</v>
      </c>
      <c r="N8" s="426">
        <v>299884.32026100002</v>
      </c>
      <c r="O8" s="426">
        <v>14263.640000000001</v>
      </c>
      <c r="P8" s="426">
        <v>34638.320261000001</v>
      </c>
      <c r="Q8" s="357"/>
      <c r="R8" s="357"/>
      <c r="S8" s="357"/>
      <c r="T8" s="357"/>
      <c r="U8" s="111"/>
      <c r="V8" s="357"/>
    </row>
    <row r="9" spans="1:22" s="401" customFormat="1" ht="18.75" customHeight="1" x14ac:dyDescent="0.2">
      <c r="A9" s="423" t="s">
        <v>1113</v>
      </c>
      <c r="B9" s="424" t="s">
        <v>1114</v>
      </c>
      <c r="C9" s="425">
        <v>2260</v>
      </c>
      <c r="D9" s="425">
        <v>2260</v>
      </c>
      <c r="E9" s="425">
        <v>0</v>
      </c>
      <c r="F9" s="425">
        <v>1690</v>
      </c>
      <c r="G9" s="425">
        <v>570</v>
      </c>
      <c r="H9" s="425">
        <v>100</v>
      </c>
      <c r="I9" s="425">
        <v>570</v>
      </c>
      <c r="J9" s="455">
        <f>C9-F9</f>
        <v>570</v>
      </c>
    </row>
    <row r="10" spans="1:22" s="405" customFormat="1" ht="18.75" customHeight="1" x14ac:dyDescent="0.2">
      <c r="A10" s="414" t="s">
        <v>1115</v>
      </c>
      <c r="B10" s="402" t="s">
        <v>1116</v>
      </c>
      <c r="C10" s="403">
        <f>C11+C12</f>
        <v>460</v>
      </c>
      <c r="D10" s="403">
        <f t="shared" ref="D10:I10" si="1">D11+D12</f>
        <v>460</v>
      </c>
      <c r="E10" s="403">
        <f t="shared" si="1"/>
        <v>0</v>
      </c>
      <c r="F10" s="403">
        <f t="shared" si="1"/>
        <v>46</v>
      </c>
      <c r="G10" s="403">
        <f t="shared" si="1"/>
        <v>414</v>
      </c>
      <c r="H10" s="403">
        <f t="shared" si="1"/>
        <v>25</v>
      </c>
      <c r="I10" s="403">
        <f t="shared" si="1"/>
        <v>414</v>
      </c>
      <c r="J10" s="1186">
        <f t="shared" ref="J10:J60" si="2">C10-F10</f>
        <v>414</v>
      </c>
    </row>
    <row r="11" spans="1:22" s="111" customFormat="1" ht="18.75" customHeight="1" x14ac:dyDescent="0.25">
      <c r="A11" s="406" t="s">
        <v>23</v>
      </c>
      <c r="B11" s="402" t="s">
        <v>1117</v>
      </c>
      <c r="C11" s="408">
        <v>20</v>
      </c>
      <c r="D11" s="408">
        <v>20</v>
      </c>
      <c r="E11" s="408">
        <v>0</v>
      </c>
      <c r="F11" s="408">
        <v>2</v>
      </c>
      <c r="G11" s="408">
        <v>18</v>
      </c>
      <c r="H11" s="408">
        <v>0</v>
      </c>
      <c r="I11" s="408">
        <v>18</v>
      </c>
      <c r="J11" s="1186">
        <f t="shared" si="2"/>
        <v>18</v>
      </c>
    </row>
    <row r="12" spans="1:22" s="111" customFormat="1" ht="28.5" x14ac:dyDescent="0.25">
      <c r="A12" s="406" t="s">
        <v>23</v>
      </c>
      <c r="B12" s="402" t="s">
        <v>1118</v>
      </c>
      <c r="C12" s="408">
        <v>440</v>
      </c>
      <c r="D12" s="408">
        <v>440</v>
      </c>
      <c r="E12" s="408">
        <v>0</v>
      </c>
      <c r="F12" s="408">
        <v>44</v>
      </c>
      <c r="G12" s="408">
        <v>396</v>
      </c>
      <c r="H12" s="408">
        <v>25</v>
      </c>
      <c r="I12" s="408">
        <v>396</v>
      </c>
      <c r="J12" s="1186">
        <f t="shared" si="2"/>
        <v>396</v>
      </c>
    </row>
    <row r="13" spans="1:22" s="401" customFormat="1" ht="18.75" customHeight="1" x14ac:dyDescent="0.2">
      <c r="A13" s="410" t="s">
        <v>1119</v>
      </c>
      <c r="B13" s="411" t="s">
        <v>1120</v>
      </c>
      <c r="C13" s="403">
        <v>204</v>
      </c>
      <c r="D13" s="403">
        <v>204</v>
      </c>
      <c r="E13" s="403">
        <v>0</v>
      </c>
      <c r="F13" s="403">
        <v>204</v>
      </c>
      <c r="G13" s="403"/>
      <c r="H13" s="403"/>
      <c r="I13" s="411"/>
      <c r="J13" s="1186">
        <f t="shared" si="2"/>
        <v>0</v>
      </c>
    </row>
    <row r="14" spans="1:22" s="401" customFormat="1" ht="21.75" customHeight="1" x14ac:dyDescent="0.2">
      <c r="A14" s="414" t="s">
        <v>1121</v>
      </c>
      <c r="B14" s="402" t="s">
        <v>1122</v>
      </c>
      <c r="C14" s="403">
        <f>C15+C16</f>
        <v>759</v>
      </c>
      <c r="D14" s="403">
        <f t="shared" ref="D14:I14" si="3">D15+D16</f>
        <v>3</v>
      </c>
      <c r="E14" s="403">
        <f t="shared" si="3"/>
        <v>756</v>
      </c>
      <c r="F14" s="403">
        <f t="shared" si="3"/>
        <v>54</v>
      </c>
      <c r="G14" s="403">
        <f>G15+G16</f>
        <v>705</v>
      </c>
      <c r="H14" s="403">
        <f t="shared" si="3"/>
        <v>203</v>
      </c>
      <c r="I14" s="403">
        <f t="shared" si="3"/>
        <v>705</v>
      </c>
      <c r="J14" s="1186">
        <f t="shared" si="2"/>
        <v>705</v>
      </c>
    </row>
    <row r="15" spans="1:22" s="111" customFormat="1" ht="18.75" customHeight="1" x14ac:dyDescent="0.25">
      <c r="A15" s="406" t="s">
        <v>23</v>
      </c>
      <c r="B15" s="402" t="s">
        <v>1123</v>
      </c>
      <c r="C15" s="408">
        <v>756</v>
      </c>
      <c r="D15" s="408">
        <v>0</v>
      </c>
      <c r="E15" s="408">
        <v>756</v>
      </c>
      <c r="F15" s="408">
        <v>51</v>
      </c>
      <c r="G15" s="408">
        <f>C15-F15</f>
        <v>705</v>
      </c>
      <c r="H15" s="408">
        <v>203</v>
      </c>
      <c r="I15" s="408">
        <f>G15</f>
        <v>705</v>
      </c>
      <c r="J15" s="1186">
        <f t="shared" si="2"/>
        <v>705</v>
      </c>
    </row>
    <row r="16" spans="1:22" s="111" customFormat="1" ht="18.75" customHeight="1" x14ac:dyDescent="0.25">
      <c r="A16" s="406" t="s">
        <v>23</v>
      </c>
      <c r="B16" s="402" t="s">
        <v>1124</v>
      </c>
      <c r="C16" s="408">
        <v>3</v>
      </c>
      <c r="D16" s="408">
        <v>3</v>
      </c>
      <c r="E16" s="408"/>
      <c r="F16" s="408">
        <v>3</v>
      </c>
      <c r="G16" s="408">
        <v>0</v>
      </c>
      <c r="H16" s="408">
        <v>0</v>
      </c>
      <c r="I16" s="408">
        <v>0</v>
      </c>
      <c r="J16" s="1186">
        <f t="shared" si="2"/>
        <v>0</v>
      </c>
    </row>
    <row r="17" spans="1:10" s="401" customFormat="1" ht="19.5" customHeight="1" x14ac:dyDescent="0.2">
      <c r="A17" s="410" t="s">
        <v>1125</v>
      </c>
      <c r="B17" s="411" t="s">
        <v>1126</v>
      </c>
      <c r="C17" s="403">
        <f>C18+C19+C20</f>
        <v>2908</v>
      </c>
      <c r="D17" s="403">
        <f t="shared" ref="D17:H17" si="4">D18+D19+D20</f>
        <v>2338</v>
      </c>
      <c r="E17" s="403">
        <f t="shared" si="4"/>
        <v>570</v>
      </c>
      <c r="F17" s="403">
        <f t="shared" si="4"/>
        <v>28</v>
      </c>
      <c r="G17" s="403">
        <f t="shared" si="4"/>
        <v>2880</v>
      </c>
      <c r="H17" s="403">
        <f t="shared" si="4"/>
        <v>1388.6</v>
      </c>
      <c r="I17" s="403">
        <f>I18+I19+I20</f>
        <v>2880</v>
      </c>
      <c r="J17" s="1186">
        <f t="shared" si="2"/>
        <v>2880</v>
      </c>
    </row>
    <row r="18" spans="1:10" s="111" customFormat="1" ht="18.75" customHeight="1" x14ac:dyDescent="0.25">
      <c r="A18" s="406" t="s">
        <v>23</v>
      </c>
      <c r="B18" s="407" t="s">
        <v>1123</v>
      </c>
      <c r="C18" s="408">
        <v>570</v>
      </c>
      <c r="D18" s="408"/>
      <c r="E18" s="408">
        <v>570</v>
      </c>
      <c r="F18" s="408">
        <v>28</v>
      </c>
      <c r="G18" s="408">
        <v>542</v>
      </c>
      <c r="H18" s="408">
        <v>216.8</v>
      </c>
      <c r="I18" s="408">
        <v>542</v>
      </c>
      <c r="J18" s="1186">
        <f t="shared" si="2"/>
        <v>542</v>
      </c>
    </row>
    <row r="19" spans="1:10" s="111" customFormat="1" ht="18.75" customHeight="1" x14ac:dyDescent="0.25">
      <c r="A19" s="406" t="s">
        <v>23</v>
      </c>
      <c r="B19" s="407" t="s">
        <v>1127</v>
      </c>
      <c r="C19" s="408">
        <v>1157</v>
      </c>
      <c r="D19" s="408">
        <v>1157</v>
      </c>
      <c r="E19" s="408"/>
      <c r="F19" s="408">
        <v>0</v>
      </c>
      <c r="G19" s="408">
        <v>1157</v>
      </c>
      <c r="H19" s="408">
        <v>462.8</v>
      </c>
      <c r="I19" s="408">
        <v>1157</v>
      </c>
      <c r="J19" s="1186">
        <f t="shared" si="2"/>
        <v>1157</v>
      </c>
    </row>
    <row r="20" spans="1:10" s="111" customFormat="1" ht="36.75" customHeight="1" x14ac:dyDescent="0.25">
      <c r="A20" s="1185" t="s">
        <v>23</v>
      </c>
      <c r="B20" s="412" t="s">
        <v>1897</v>
      </c>
      <c r="C20" s="408">
        <v>1181</v>
      </c>
      <c r="D20" s="408">
        <v>1181</v>
      </c>
      <c r="E20" s="408"/>
      <c r="F20" s="408"/>
      <c r="G20" s="408">
        <v>1181</v>
      </c>
      <c r="H20" s="408">
        <v>709</v>
      </c>
      <c r="I20" s="408">
        <v>1181</v>
      </c>
      <c r="J20" s="1186">
        <f t="shared" si="2"/>
        <v>1181</v>
      </c>
    </row>
    <row r="21" spans="1:10" s="401" customFormat="1" ht="18.75" customHeight="1" x14ac:dyDescent="0.2">
      <c r="A21" s="410" t="s">
        <v>1128</v>
      </c>
      <c r="B21" s="411" t="s">
        <v>172</v>
      </c>
      <c r="C21" s="403">
        <f>C22+C23+C24+C25</f>
        <v>271046</v>
      </c>
      <c r="D21" s="403">
        <f t="shared" ref="D21:H21" si="5">D22+D23+D24+D25</f>
        <v>250</v>
      </c>
      <c r="E21" s="403">
        <f t="shared" si="5"/>
        <v>270796</v>
      </c>
      <c r="F21" s="403">
        <f t="shared" si="5"/>
        <v>5464</v>
      </c>
      <c r="G21" s="403">
        <f t="shared" si="5"/>
        <v>265582</v>
      </c>
      <c r="H21" s="403">
        <f t="shared" si="5"/>
        <v>8014</v>
      </c>
      <c r="I21" s="403">
        <f>I22+I23+I24+I25</f>
        <v>336</v>
      </c>
      <c r="J21" s="1186">
        <f t="shared" si="2"/>
        <v>265582</v>
      </c>
    </row>
    <row r="22" spans="1:10" s="111" customFormat="1" ht="18.75" customHeight="1" x14ac:dyDescent="0.25">
      <c r="A22" s="406" t="s">
        <v>23</v>
      </c>
      <c r="B22" s="407" t="s">
        <v>1129</v>
      </c>
      <c r="C22" s="408">
        <v>270676</v>
      </c>
      <c r="D22" s="408"/>
      <c r="E22" s="408">
        <v>270676</v>
      </c>
      <c r="F22" s="408">
        <v>5430</v>
      </c>
      <c r="G22" s="408">
        <v>265246</v>
      </c>
      <c r="H22" s="408">
        <v>7965</v>
      </c>
      <c r="I22" s="407"/>
      <c r="J22" s="1186">
        <f t="shared" si="2"/>
        <v>265246</v>
      </c>
    </row>
    <row r="23" spans="1:10" s="111" customFormat="1" ht="18.75" customHeight="1" x14ac:dyDescent="0.25">
      <c r="A23" s="406" t="s">
        <v>23</v>
      </c>
      <c r="B23" s="409" t="s">
        <v>1130</v>
      </c>
      <c r="C23" s="408">
        <v>150</v>
      </c>
      <c r="D23" s="408">
        <v>150</v>
      </c>
      <c r="E23" s="408"/>
      <c r="F23" s="408">
        <v>8</v>
      </c>
      <c r="G23" s="408">
        <v>142</v>
      </c>
      <c r="H23" s="408">
        <v>20</v>
      </c>
      <c r="I23" s="408">
        <v>142</v>
      </c>
      <c r="J23" s="1186">
        <f t="shared" si="2"/>
        <v>142</v>
      </c>
    </row>
    <row r="24" spans="1:10" s="111" customFormat="1" ht="18.75" customHeight="1" x14ac:dyDescent="0.25">
      <c r="A24" s="406" t="s">
        <v>23</v>
      </c>
      <c r="B24" s="409" t="s">
        <v>1911</v>
      </c>
      <c r="C24" s="408">
        <v>100</v>
      </c>
      <c r="D24" s="408">
        <v>100</v>
      </c>
      <c r="E24" s="408"/>
      <c r="F24" s="408">
        <v>20</v>
      </c>
      <c r="G24" s="408">
        <v>80</v>
      </c>
      <c r="H24" s="408">
        <v>13</v>
      </c>
      <c r="I24" s="408">
        <v>80</v>
      </c>
      <c r="J24" s="1186">
        <f t="shared" si="2"/>
        <v>80</v>
      </c>
    </row>
    <row r="25" spans="1:10" s="111" customFormat="1" ht="30" customHeight="1" x14ac:dyDescent="0.25">
      <c r="A25" s="406" t="s">
        <v>23</v>
      </c>
      <c r="B25" s="409" t="s">
        <v>1898</v>
      </c>
      <c r="C25" s="408">
        <v>120</v>
      </c>
      <c r="D25" s="408"/>
      <c r="E25" s="408">
        <v>120</v>
      </c>
      <c r="F25" s="408">
        <v>6</v>
      </c>
      <c r="G25" s="408">
        <v>114</v>
      </c>
      <c r="H25" s="408">
        <v>16</v>
      </c>
      <c r="I25" s="408">
        <v>114</v>
      </c>
      <c r="J25" s="1186">
        <f t="shared" si="2"/>
        <v>114</v>
      </c>
    </row>
    <row r="26" spans="1:10" s="401" customFormat="1" ht="18.75" customHeight="1" x14ac:dyDescent="0.2">
      <c r="A26" s="410" t="s">
        <v>1131</v>
      </c>
      <c r="B26" s="411" t="s">
        <v>163</v>
      </c>
      <c r="C26" s="403">
        <f>C27+C28</f>
        <v>880</v>
      </c>
      <c r="D26" s="403">
        <f t="shared" ref="D26:I26" si="6">D27+D28</f>
        <v>790</v>
      </c>
      <c r="E26" s="403">
        <f t="shared" si="6"/>
        <v>90</v>
      </c>
      <c r="F26" s="403">
        <f t="shared" si="6"/>
        <v>341</v>
      </c>
      <c r="G26" s="403">
        <f t="shared" si="6"/>
        <v>539</v>
      </c>
      <c r="H26" s="403">
        <f t="shared" si="6"/>
        <v>215.6</v>
      </c>
      <c r="I26" s="403">
        <f t="shared" si="6"/>
        <v>539</v>
      </c>
      <c r="J26" s="1186">
        <f t="shared" si="2"/>
        <v>539</v>
      </c>
    </row>
    <row r="27" spans="1:10" s="111" customFormat="1" ht="18.75" customHeight="1" x14ac:dyDescent="0.25">
      <c r="A27" s="406" t="s">
        <v>23</v>
      </c>
      <c r="B27" s="407" t="s">
        <v>1132</v>
      </c>
      <c r="C27" s="408">
        <v>640</v>
      </c>
      <c r="D27" s="408">
        <v>640</v>
      </c>
      <c r="E27" s="408"/>
      <c r="F27" s="408">
        <v>311</v>
      </c>
      <c r="G27" s="408">
        <v>329</v>
      </c>
      <c r="H27" s="408">
        <v>131.6</v>
      </c>
      <c r="I27" s="408">
        <v>329</v>
      </c>
      <c r="J27" s="1186">
        <f t="shared" si="2"/>
        <v>329</v>
      </c>
    </row>
    <row r="28" spans="1:10" s="111" customFormat="1" ht="18.75" customHeight="1" x14ac:dyDescent="0.25">
      <c r="A28" s="406" t="s">
        <v>1133</v>
      </c>
      <c r="B28" s="407" t="s">
        <v>1134</v>
      </c>
      <c r="C28" s="408">
        <v>240</v>
      </c>
      <c r="D28" s="408">
        <v>150</v>
      </c>
      <c r="E28" s="408">
        <v>90</v>
      </c>
      <c r="F28" s="408">
        <v>30</v>
      </c>
      <c r="G28" s="408">
        <v>210</v>
      </c>
      <c r="H28" s="408">
        <v>84</v>
      </c>
      <c r="I28" s="408">
        <v>210</v>
      </c>
      <c r="J28" s="1186">
        <f t="shared" si="2"/>
        <v>210</v>
      </c>
    </row>
    <row r="29" spans="1:10" s="401" customFormat="1" ht="18.75" customHeight="1" x14ac:dyDescent="0.2">
      <c r="A29" s="410" t="s">
        <v>1135</v>
      </c>
      <c r="B29" s="411" t="s">
        <v>1136</v>
      </c>
      <c r="C29" s="403">
        <f>C30</f>
        <v>5300</v>
      </c>
      <c r="D29" s="403">
        <f t="shared" ref="D29:I29" si="7">D30</f>
        <v>0</v>
      </c>
      <c r="E29" s="403">
        <f t="shared" si="7"/>
        <v>5300</v>
      </c>
      <c r="F29" s="403">
        <f t="shared" si="7"/>
        <v>500</v>
      </c>
      <c r="G29" s="403">
        <f t="shared" si="7"/>
        <v>4800</v>
      </c>
      <c r="H29" s="403">
        <f t="shared" si="7"/>
        <v>420</v>
      </c>
      <c r="I29" s="403">
        <f t="shared" si="7"/>
        <v>4800</v>
      </c>
      <c r="J29" s="1186">
        <f t="shared" si="2"/>
        <v>4800</v>
      </c>
    </row>
    <row r="30" spans="1:10" s="111" customFormat="1" ht="33" customHeight="1" x14ac:dyDescent="0.25">
      <c r="A30" s="406" t="s">
        <v>23</v>
      </c>
      <c r="B30" s="409" t="s">
        <v>1137</v>
      </c>
      <c r="C30" s="408">
        <f>E30</f>
        <v>5300</v>
      </c>
      <c r="D30" s="408">
        <v>0</v>
      </c>
      <c r="E30" s="408">
        <v>5300</v>
      </c>
      <c r="F30" s="408">
        <v>500</v>
      </c>
      <c r="G30" s="408">
        <f>E30-F30</f>
        <v>4800</v>
      </c>
      <c r="H30" s="408">
        <v>420</v>
      </c>
      <c r="I30" s="408">
        <f>G30</f>
        <v>4800</v>
      </c>
      <c r="J30" s="1186">
        <f t="shared" si="2"/>
        <v>4800</v>
      </c>
    </row>
    <row r="31" spans="1:10" s="401" customFormat="1" ht="18.75" customHeight="1" x14ac:dyDescent="0.2">
      <c r="A31" s="414">
        <v>9</v>
      </c>
      <c r="B31" s="402" t="s">
        <v>1138</v>
      </c>
      <c r="C31" s="403">
        <f>C32+C33</f>
        <v>7515</v>
      </c>
      <c r="D31" s="403">
        <f t="shared" ref="D31:I31" si="8">D32+D33</f>
        <v>1800</v>
      </c>
      <c r="E31" s="403">
        <f t="shared" si="8"/>
        <v>5715</v>
      </c>
      <c r="F31" s="403">
        <f t="shared" si="8"/>
        <v>906</v>
      </c>
      <c r="G31" s="403">
        <f t="shared" si="8"/>
        <v>6609</v>
      </c>
      <c r="H31" s="403">
        <f t="shared" si="8"/>
        <v>925</v>
      </c>
      <c r="I31" s="403">
        <f t="shared" si="8"/>
        <v>6609</v>
      </c>
      <c r="J31" s="1186">
        <f t="shared" si="2"/>
        <v>6609</v>
      </c>
    </row>
    <row r="32" spans="1:10" s="111" customFormat="1" ht="18.75" customHeight="1" x14ac:dyDescent="0.25">
      <c r="A32" s="1016"/>
      <c r="B32" s="415" t="s">
        <v>249</v>
      </c>
      <c r="C32" s="408">
        <v>1800</v>
      </c>
      <c r="D32" s="408">
        <v>1800</v>
      </c>
      <c r="E32" s="408"/>
      <c r="F32" s="408">
        <v>906</v>
      </c>
      <c r="G32" s="408">
        <v>894</v>
      </c>
      <c r="H32" s="408">
        <v>89</v>
      </c>
      <c r="I32" s="408">
        <v>894</v>
      </c>
      <c r="J32" s="1186">
        <f t="shared" si="2"/>
        <v>894</v>
      </c>
    </row>
    <row r="33" spans="1:21" s="111" customFormat="1" ht="18.75" customHeight="1" x14ac:dyDescent="0.25">
      <c r="A33" s="1016"/>
      <c r="B33" s="415" t="s">
        <v>1150</v>
      </c>
      <c r="C33" s="408">
        <v>5715</v>
      </c>
      <c r="D33" s="408"/>
      <c r="E33" s="408">
        <v>5715</v>
      </c>
      <c r="F33" s="408"/>
      <c r="G33" s="408">
        <v>5715</v>
      </c>
      <c r="H33" s="408">
        <v>836</v>
      </c>
      <c r="I33" s="408">
        <v>5715</v>
      </c>
      <c r="J33" s="1186">
        <f t="shared" si="2"/>
        <v>5715</v>
      </c>
    </row>
    <row r="34" spans="1:21" s="401" customFormat="1" ht="18.75" customHeight="1" x14ac:dyDescent="0.2">
      <c r="A34" s="410" t="s">
        <v>1139</v>
      </c>
      <c r="B34" s="411" t="s">
        <v>1140</v>
      </c>
      <c r="C34" s="403">
        <v>220</v>
      </c>
      <c r="D34" s="403">
        <v>220</v>
      </c>
      <c r="E34" s="403">
        <v>0</v>
      </c>
      <c r="F34" s="403">
        <v>33</v>
      </c>
      <c r="G34" s="403">
        <v>187</v>
      </c>
      <c r="H34" s="403">
        <v>35</v>
      </c>
      <c r="I34" s="403">
        <v>187</v>
      </c>
      <c r="J34" s="1186">
        <f t="shared" si="2"/>
        <v>187</v>
      </c>
    </row>
    <row r="35" spans="1:21" s="111" customFormat="1" ht="18.75" customHeight="1" x14ac:dyDescent="0.25">
      <c r="A35" s="406" t="s">
        <v>23</v>
      </c>
      <c r="B35" s="407" t="s">
        <v>1141</v>
      </c>
      <c r="C35" s="408">
        <v>220</v>
      </c>
      <c r="D35" s="98">
        <v>220</v>
      </c>
      <c r="E35" s="98"/>
      <c r="F35" s="98">
        <v>33</v>
      </c>
      <c r="G35" s="98">
        <v>187</v>
      </c>
      <c r="H35" s="98">
        <v>35</v>
      </c>
      <c r="I35" s="408">
        <v>187</v>
      </c>
      <c r="J35" s="1186">
        <f t="shared" si="2"/>
        <v>187</v>
      </c>
    </row>
    <row r="36" spans="1:21" s="401" customFormat="1" ht="18.75" customHeight="1" x14ac:dyDescent="0.2">
      <c r="A36" s="410" t="s">
        <v>1142</v>
      </c>
      <c r="B36" s="411" t="s">
        <v>1144</v>
      </c>
      <c r="C36" s="403">
        <v>65</v>
      </c>
      <c r="D36" s="403">
        <v>65</v>
      </c>
      <c r="E36" s="403"/>
      <c r="F36" s="403">
        <v>56</v>
      </c>
      <c r="G36" s="403">
        <v>9</v>
      </c>
      <c r="H36" s="403">
        <v>4</v>
      </c>
      <c r="I36" s="411">
        <v>9</v>
      </c>
      <c r="J36" s="1186">
        <f t="shared" si="2"/>
        <v>9</v>
      </c>
    </row>
    <row r="37" spans="1:21" s="401" customFormat="1" ht="18.75" customHeight="1" x14ac:dyDescent="0.2">
      <c r="A37" s="410" t="s">
        <v>1143</v>
      </c>
      <c r="B37" s="411" t="s">
        <v>166</v>
      </c>
      <c r="C37" s="403">
        <f>C38+C39</f>
        <v>397</v>
      </c>
      <c r="D37" s="403">
        <f t="shared" ref="D37:I37" si="9">D38+D39</f>
        <v>207</v>
      </c>
      <c r="E37" s="403">
        <f t="shared" si="9"/>
        <v>190</v>
      </c>
      <c r="F37" s="403">
        <f t="shared" si="9"/>
        <v>68</v>
      </c>
      <c r="G37" s="403">
        <f t="shared" si="9"/>
        <v>329</v>
      </c>
      <c r="H37" s="403">
        <f t="shared" si="9"/>
        <v>114</v>
      </c>
      <c r="I37" s="403">
        <f t="shared" si="9"/>
        <v>329</v>
      </c>
      <c r="J37" s="1186">
        <f t="shared" si="2"/>
        <v>329</v>
      </c>
    </row>
    <row r="38" spans="1:21" s="111" customFormat="1" ht="15" x14ac:dyDescent="0.25">
      <c r="A38" s="406"/>
      <c r="B38" s="407" t="s">
        <v>249</v>
      </c>
      <c r="C38" s="403">
        <v>207</v>
      </c>
      <c r="D38" s="408">
        <v>207</v>
      </c>
      <c r="E38" s="408"/>
      <c r="F38" s="408">
        <v>34</v>
      </c>
      <c r="G38" s="408">
        <v>173</v>
      </c>
      <c r="H38" s="408">
        <v>69</v>
      </c>
      <c r="I38" s="408">
        <v>173</v>
      </c>
      <c r="J38" s="1186">
        <f t="shared" si="2"/>
        <v>173</v>
      </c>
    </row>
    <row r="39" spans="1:21" s="111" customFormat="1" ht="18.75" customHeight="1" x14ac:dyDescent="0.25">
      <c r="A39" s="406"/>
      <c r="B39" s="407" t="s">
        <v>1123</v>
      </c>
      <c r="C39" s="403">
        <v>190</v>
      </c>
      <c r="D39" s="408"/>
      <c r="E39" s="408">
        <v>190</v>
      </c>
      <c r="F39" s="408">
        <v>34</v>
      </c>
      <c r="G39" s="408">
        <v>156</v>
      </c>
      <c r="H39" s="408">
        <v>45</v>
      </c>
      <c r="I39" s="408">
        <v>156</v>
      </c>
      <c r="J39" s="1186">
        <f t="shared" si="2"/>
        <v>156</v>
      </c>
    </row>
    <row r="40" spans="1:21" s="401" customFormat="1" ht="30" hidden="1" customHeight="1" x14ac:dyDescent="0.2">
      <c r="A40" s="410" t="s">
        <v>1146</v>
      </c>
      <c r="B40" s="416" t="s">
        <v>1147</v>
      </c>
      <c r="C40" s="403"/>
      <c r="D40" s="403"/>
      <c r="E40" s="403"/>
      <c r="F40" s="403"/>
      <c r="G40" s="403"/>
      <c r="H40" s="403"/>
      <c r="I40" s="403"/>
      <c r="J40" s="1186">
        <f t="shared" si="2"/>
        <v>0</v>
      </c>
    </row>
    <row r="41" spans="1:21" s="401" customFormat="1" ht="18.75" customHeight="1" x14ac:dyDescent="0.2">
      <c r="A41" s="410" t="s">
        <v>1145</v>
      </c>
      <c r="B41" s="411" t="s">
        <v>188</v>
      </c>
      <c r="C41" s="403">
        <f>C42+C43</f>
        <v>1182</v>
      </c>
      <c r="D41" s="403">
        <f t="shared" ref="D41:I41" si="10">D42+D43</f>
        <v>501</v>
      </c>
      <c r="E41" s="403">
        <f t="shared" si="10"/>
        <v>681</v>
      </c>
      <c r="F41" s="403">
        <f t="shared" si="10"/>
        <v>68</v>
      </c>
      <c r="G41" s="403">
        <f t="shared" si="10"/>
        <v>1114</v>
      </c>
      <c r="H41" s="403">
        <f t="shared" si="10"/>
        <v>117</v>
      </c>
      <c r="I41" s="403">
        <f t="shared" si="10"/>
        <v>1114</v>
      </c>
      <c r="J41" s="1186">
        <f t="shared" si="2"/>
        <v>1114</v>
      </c>
    </row>
    <row r="42" spans="1:21" s="401" customFormat="1" ht="18.75" customHeight="1" x14ac:dyDescent="0.25">
      <c r="A42" s="410" t="s">
        <v>288</v>
      </c>
      <c r="B42" s="407" t="s">
        <v>1149</v>
      </c>
      <c r="C42" s="408">
        <v>501</v>
      </c>
      <c r="D42" s="408">
        <v>501</v>
      </c>
      <c r="E42" s="408"/>
      <c r="F42" s="408">
        <v>0</v>
      </c>
      <c r="G42" s="408">
        <v>501</v>
      </c>
      <c r="H42" s="408">
        <v>45</v>
      </c>
      <c r="I42" s="408">
        <v>501</v>
      </c>
      <c r="J42" s="1186">
        <f t="shared" si="2"/>
        <v>501</v>
      </c>
    </row>
    <row r="43" spans="1:21" s="401" customFormat="1" ht="18.75" customHeight="1" x14ac:dyDescent="0.25">
      <c r="A43" s="410" t="s">
        <v>288</v>
      </c>
      <c r="B43" s="407" t="s">
        <v>1150</v>
      </c>
      <c r="C43" s="408">
        <v>681</v>
      </c>
      <c r="D43" s="408"/>
      <c r="E43" s="408">
        <v>681</v>
      </c>
      <c r="F43" s="408">
        <v>68</v>
      </c>
      <c r="G43" s="408">
        <v>613</v>
      </c>
      <c r="H43" s="408">
        <v>72</v>
      </c>
      <c r="I43" s="408">
        <v>613</v>
      </c>
      <c r="J43" s="1186">
        <f t="shared" si="2"/>
        <v>613</v>
      </c>
    </row>
    <row r="44" spans="1:21" s="111" customFormat="1" ht="18.75" customHeight="1" x14ac:dyDescent="0.2">
      <c r="A44" s="410" t="s">
        <v>1146</v>
      </c>
      <c r="B44" s="411" t="s">
        <v>1152</v>
      </c>
      <c r="C44" s="403">
        <f>C45+C46+C47+C48</f>
        <v>9220</v>
      </c>
      <c r="D44" s="403">
        <f t="shared" ref="D44:I44" si="11">D45+D46+D47+D48</f>
        <v>2860</v>
      </c>
      <c r="E44" s="403">
        <f t="shared" si="11"/>
        <v>6360</v>
      </c>
      <c r="F44" s="403">
        <f t="shared" si="11"/>
        <v>60</v>
      </c>
      <c r="G44" s="403">
        <f t="shared" si="11"/>
        <v>9160</v>
      </c>
      <c r="H44" s="403">
        <f t="shared" si="11"/>
        <v>1653</v>
      </c>
      <c r="I44" s="403">
        <f t="shared" si="11"/>
        <v>9160</v>
      </c>
      <c r="J44" s="1186">
        <f>C44-F44</f>
        <v>9160</v>
      </c>
      <c r="U44" s="445"/>
    </row>
    <row r="45" spans="1:21" s="111" customFormat="1" ht="18.75" customHeight="1" x14ac:dyDescent="0.25">
      <c r="A45" s="410" t="s">
        <v>23</v>
      </c>
      <c r="B45" s="407" t="s">
        <v>1127</v>
      </c>
      <c r="C45" s="408">
        <v>600</v>
      </c>
      <c r="D45" s="408">
        <v>600</v>
      </c>
      <c r="E45" s="408"/>
      <c r="F45" s="408"/>
      <c r="G45" s="408">
        <v>600</v>
      </c>
      <c r="H45" s="408">
        <v>240</v>
      </c>
      <c r="I45" s="408">
        <v>600</v>
      </c>
      <c r="J45" s="1186">
        <f t="shared" si="2"/>
        <v>600</v>
      </c>
    </row>
    <row r="46" spans="1:21" s="111" customFormat="1" ht="32.25" customHeight="1" x14ac:dyDescent="0.25">
      <c r="A46" s="410" t="s">
        <v>23</v>
      </c>
      <c r="B46" s="412" t="s">
        <v>1897</v>
      </c>
      <c r="C46" s="408">
        <v>2260</v>
      </c>
      <c r="D46" s="408">
        <v>2260</v>
      </c>
      <c r="E46" s="408"/>
      <c r="F46" s="408"/>
      <c r="G46" s="408">
        <v>2260</v>
      </c>
      <c r="H46" s="408">
        <v>904</v>
      </c>
      <c r="I46" s="408">
        <v>2260</v>
      </c>
      <c r="J46" s="1186">
        <f t="shared" si="2"/>
        <v>2260</v>
      </c>
    </row>
    <row r="47" spans="1:21" s="111" customFormat="1" ht="18.75" customHeight="1" x14ac:dyDescent="0.25">
      <c r="A47" s="410" t="s">
        <v>23</v>
      </c>
      <c r="B47" s="407" t="s">
        <v>1150</v>
      </c>
      <c r="C47" s="408">
        <v>6060</v>
      </c>
      <c r="D47" s="408"/>
      <c r="E47" s="408">
        <v>6060</v>
      </c>
      <c r="F47" s="408">
        <v>60</v>
      </c>
      <c r="G47" s="408">
        <v>6000</v>
      </c>
      <c r="H47" s="408">
        <v>429</v>
      </c>
      <c r="I47" s="408">
        <v>6000</v>
      </c>
      <c r="J47" s="1186">
        <f t="shared" si="2"/>
        <v>6000</v>
      </c>
    </row>
    <row r="48" spans="1:21" s="111" customFormat="1" ht="18.75" customHeight="1" x14ac:dyDescent="0.25">
      <c r="A48" s="410" t="s">
        <v>23</v>
      </c>
      <c r="B48" s="407" t="s">
        <v>1153</v>
      </c>
      <c r="C48" s="408">
        <v>300</v>
      </c>
      <c r="D48" s="408"/>
      <c r="E48" s="408">
        <v>300</v>
      </c>
      <c r="F48" s="408">
        <v>0</v>
      </c>
      <c r="G48" s="408">
        <v>300</v>
      </c>
      <c r="H48" s="408">
        <v>80</v>
      </c>
      <c r="I48" s="408">
        <f>G48</f>
        <v>300</v>
      </c>
      <c r="J48" s="1186">
        <f t="shared" si="2"/>
        <v>300</v>
      </c>
    </row>
    <row r="49" spans="1:22" s="401" customFormat="1" ht="18.75" customHeight="1" x14ac:dyDescent="0.2">
      <c r="A49" s="410" t="s">
        <v>1148</v>
      </c>
      <c r="B49" s="411" t="s">
        <v>1155</v>
      </c>
      <c r="C49" s="403">
        <f>C50+C51</f>
        <v>2472</v>
      </c>
      <c r="D49" s="403">
        <f t="shared" ref="D49:I49" si="12">D50+D51</f>
        <v>2333</v>
      </c>
      <c r="E49" s="403">
        <f t="shared" si="12"/>
        <v>139</v>
      </c>
      <c r="F49" s="403">
        <f t="shared" si="12"/>
        <v>58</v>
      </c>
      <c r="G49" s="403">
        <f t="shared" si="12"/>
        <v>2414</v>
      </c>
      <c r="H49" s="403">
        <f t="shared" si="12"/>
        <v>333</v>
      </c>
      <c r="I49" s="403">
        <f t="shared" si="12"/>
        <v>2414</v>
      </c>
      <c r="J49" s="1186">
        <f t="shared" si="2"/>
        <v>2414</v>
      </c>
    </row>
    <row r="50" spans="1:22" s="111" customFormat="1" ht="15" x14ac:dyDescent="0.25">
      <c r="A50" s="406" t="s">
        <v>23</v>
      </c>
      <c r="B50" s="407" t="s">
        <v>1127</v>
      </c>
      <c r="C50" s="408">
        <v>2333</v>
      </c>
      <c r="D50" s="408">
        <v>2333</v>
      </c>
      <c r="E50" s="408">
        <v>0</v>
      </c>
      <c r="F50" s="408">
        <v>58</v>
      </c>
      <c r="G50" s="408">
        <v>2275</v>
      </c>
      <c r="H50" s="408">
        <v>333</v>
      </c>
      <c r="I50" s="408">
        <v>2275</v>
      </c>
      <c r="J50" s="1186">
        <f t="shared" si="2"/>
        <v>2275</v>
      </c>
    </row>
    <row r="51" spans="1:22" s="111" customFormat="1" ht="18.75" customHeight="1" x14ac:dyDescent="0.25">
      <c r="A51" s="406" t="s">
        <v>23</v>
      </c>
      <c r="B51" s="407" t="s">
        <v>1153</v>
      </c>
      <c r="C51" s="408">
        <v>139</v>
      </c>
      <c r="D51" s="408">
        <v>0</v>
      </c>
      <c r="E51" s="408">
        <v>139</v>
      </c>
      <c r="F51" s="408">
        <v>0</v>
      </c>
      <c r="G51" s="408">
        <v>139</v>
      </c>
      <c r="H51" s="408">
        <v>0</v>
      </c>
      <c r="I51" s="408">
        <v>139</v>
      </c>
      <c r="J51" s="1186">
        <f t="shared" si="2"/>
        <v>139</v>
      </c>
    </row>
    <row r="52" spans="1:22" s="111" customFormat="1" ht="30" customHeight="1" x14ac:dyDescent="0.2">
      <c r="A52" s="410" t="s">
        <v>1151</v>
      </c>
      <c r="B52" s="416" t="s">
        <v>1157</v>
      </c>
      <c r="C52" s="403">
        <v>421.57335999999998</v>
      </c>
      <c r="D52" s="403">
        <v>0</v>
      </c>
      <c r="E52" s="403">
        <v>421.57335999999998</v>
      </c>
      <c r="F52" s="403">
        <v>9.2530990000000006</v>
      </c>
      <c r="G52" s="403">
        <v>412.32026099999996</v>
      </c>
      <c r="H52" s="403">
        <v>18.440000000000001</v>
      </c>
      <c r="I52" s="403">
        <v>412.32026099999996</v>
      </c>
      <c r="J52" s="1186">
        <f t="shared" si="2"/>
        <v>412.32026099999996</v>
      </c>
    </row>
    <row r="53" spans="1:22" s="111" customFormat="1" ht="30" customHeight="1" x14ac:dyDescent="0.2">
      <c r="A53" s="410" t="s">
        <v>1154</v>
      </c>
      <c r="B53" s="416" t="s">
        <v>1902</v>
      </c>
      <c r="C53" s="403">
        <v>484</v>
      </c>
      <c r="D53" s="403">
        <v>484</v>
      </c>
      <c r="E53" s="403"/>
      <c r="F53" s="403">
        <v>484</v>
      </c>
      <c r="G53" s="403"/>
      <c r="H53" s="403"/>
      <c r="I53" s="403"/>
      <c r="J53" s="1186">
        <f t="shared" si="2"/>
        <v>0</v>
      </c>
    </row>
    <row r="54" spans="1:22" s="111" customFormat="1" ht="18.75" customHeight="1" x14ac:dyDescent="0.2">
      <c r="A54" s="410" t="s">
        <v>1156</v>
      </c>
      <c r="B54" s="411" t="s">
        <v>179</v>
      </c>
      <c r="C54" s="403">
        <f>C55+C56</f>
        <v>1800</v>
      </c>
      <c r="D54" s="403">
        <f t="shared" ref="D54:I54" si="13">D55+D56</f>
        <v>1300</v>
      </c>
      <c r="E54" s="403">
        <f t="shared" si="13"/>
        <v>500</v>
      </c>
      <c r="F54" s="403">
        <f t="shared" si="13"/>
        <v>40</v>
      </c>
      <c r="G54" s="403">
        <f t="shared" si="13"/>
        <v>1760</v>
      </c>
      <c r="H54" s="403">
        <f t="shared" si="13"/>
        <v>288</v>
      </c>
      <c r="I54" s="403">
        <f t="shared" si="13"/>
        <v>1760</v>
      </c>
      <c r="J54" s="1186">
        <f t="shared" si="2"/>
        <v>1760</v>
      </c>
    </row>
    <row r="55" spans="1:22" s="111" customFormat="1" ht="18.75" customHeight="1" x14ac:dyDescent="0.25">
      <c r="A55" s="406" t="s">
        <v>23</v>
      </c>
      <c r="B55" s="407" t="s">
        <v>1127</v>
      </c>
      <c r="C55" s="408">
        <v>1300</v>
      </c>
      <c r="D55" s="408">
        <v>1300</v>
      </c>
      <c r="E55" s="408">
        <v>0</v>
      </c>
      <c r="F55" s="408">
        <v>30</v>
      </c>
      <c r="G55" s="408">
        <v>1270</v>
      </c>
      <c r="H55" s="408">
        <v>243</v>
      </c>
      <c r="I55" s="408">
        <v>1270</v>
      </c>
      <c r="J55" s="1186">
        <f t="shared" si="2"/>
        <v>1270</v>
      </c>
    </row>
    <row r="56" spans="1:22" s="111" customFormat="1" ht="18.75" customHeight="1" x14ac:dyDescent="0.25">
      <c r="A56" s="406" t="s">
        <v>23</v>
      </c>
      <c r="B56" s="407" t="s">
        <v>1150</v>
      </c>
      <c r="C56" s="408">
        <v>500</v>
      </c>
      <c r="D56" s="408"/>
      <c r="E56" s="407">
        <v>500</v>
      </c>
      <c r="F56" s="407">
        <v>10</v>
      </c>
      <c r="G56" s="408">
        <v>490</v>
      </c>
      <c r="H56" s="408">
        <v>45</v>
      </c>
      <c r="I56" s="408">
        <v>490</v>
      </c>
      <c r="J56" s="1186">
        <f t="shared" si="2"/>
        <v>490</v>
      </c>
    </row>
    <row r="57" spans="1:22" s="401" customFormat="1" ht="18.75" customHeight="1" x14ac:dyDescent="0.2">
      <c r="A57" s="414">
        <v>19</v>
      </c>
      <c r="B57" s="402" t="s">
        <v>174</v>
      </c>
      <c r="C57" s="418">
        <v>220</v>
      </c>
      <c r="D57" s="418"/>
      <c r="E57" s="417">
        <v>220</v>
      </c>
      <c r="F57" s="417"/>
      <c r="G57" s="418">
        <v>220</v>
      </c>
      <c r="H57" s="418">
        <v>9</v>
      </c>
      <c r="I57" s="418">
        <v>220</v>
      </c>
      <c r="J57" s="1186">
        <f t="shared" si="2"/>
        <v>220</v>
      </c>
    </row>
    <row r="58" spans="1:22" s="111" customFormat="1" ht="29.25" customHeight="1" x14ac:dyDescent="0.2">
      <c r="A58" s="414">
        <v>20</v>
      </c>
      <c r="B58" s="402" t="s">
        <v>1159</v>
      </c>
      <c r="C58" s="403">
        <v>2417</v>
      </c>
      <c r="D58" s="403"/>
      <c r="E58" s="411">
        <v>2417</v>
      </c>
      <c r="F58" s="411">
        <v>76</v>
      </c>
      <c r="G58" s="403">
        <v>2341</v>
      </c>
      <c r="H58" s="403">
        <v>202</v>
      </c>
      <c r="I58" s="403">
        <v>2341</v>
      </c>
      <c r="J58" s="1186">
        <f t="shared" si="2"/>
        <v>2341</v>
      </c>
    </row>
    <row r="59" spans="1:22" s="1086" customFormat="1" ht="28.5" x14ac:dyDescent="0.2">
      <c r="A59" s="410" t="s">
        <v>1158</v>
      </c>
      <c r="B59" s="1688" t="s">
        <v>1899</v>
      </c>
      <c r="C59" s="403">
        <v>484</v>
      </c>
      <c r="D59" s="403">
        <v>0</v>
      </c>
      <c r="E59" s="403">
        <v>484</v>
      </c>
      <c r="F59" s="403">
        <v>0</v>
      </c>
      <c r="G59" s="403">
        <f>G60</f>
        <v>484</v>
      </c>
      <c r="H59" s="403">
        <v>199</v>
      </c>
      <c r="I59" s="403">
        <f>I60</f>
        <v>484</v>
      </c>
      <c r="J59" s="1186">
        <f t="shared" si="2"/>
        <v>484</v>
      </c>
      <c r="U59" s="401"/>
    </row>
    <row r="60" spans="1:22" s="111" customFormat="1" x14ac:dyDescent="0.25">
      <c r="A60" s="1685"/>
      <c r="B60" s="1686" t="s">
        <v>1150</v>
      </c>
      <c r="C60" s="1686">
        <v>484</v>
      </c>
      <c r="D60" s="1686"/>
      <c r="E60" s="1686">
        <v>484</v>
      </c>
      <c r="F60" s="1687"/>
      <c r="G60" s="1687">
        <f>E60</f>
        <v>484</v>
      </c>
      <c r="H60" s="1687">
        <v>199</v>
      </c>
      <c r="I60" s="1687">
        <f>G60</f>
        <v>484</v>
      </c>
      <c r="J60" s="1186">
        <f t="shared" si="2"/>
        <v>484</v>
      </c>
    </row>
    <row r="61" spans="1:22" s="399" customFormat="1" ht="15" x14ac:dyDescent="0.25">
      <c r="A61" s="419"/>
      <c r="B61" s="420"/>
      <c r="C61" s="420"/>
      <c r="D61" s="420"/>
      <c r="E61" s="420"/>
      <c r="F61" s="2190"/>
      <c r="G61" s="2190"/>
      <c r="H61" s="2190"/>
      <c r="I61" s="2190"/>
      <c r="J61" s="357"/>
      <c r="K61" s="357"/>
      <c r="L61" s="357"/>
      <c r="M61" s="357"/>
      <c r="N61" s="357"/>
      <c r="O61" s="357"/>
      <c r="P61" s="357"/>
      <c r="Q61" s="357"/>
      <c r="R61" s="357"/>
      <c r="S61" s="357"/>
      <c r="T61" s="357"/>
      <c r="U61" s="111"/>
      <c r="V61" s="357"/>
    </row>
    <row r="62" spans="1:22" s="399" customFormat="1" ht="16.5" x14ac:dyDescent="0.25">
      <c r="A62" s="421"/>
      <c r="G62" s="422"/>
      <c r="H62" s="422"/>
      <c r="I62" s="422"/>
      <c r="J62" s="357"/>
      <c r="K62" s="357"/>
      <c r="L62" s="357"/>
      <c r="M62" s="357"/>
      <c r="N62" s="357"/>
      <c r="O62" s="357"/>
      <c r="P62" s="357"/>
      <c r="Q62" s="357"/>
      <c r="R62" s="357"/>
      <c r="S62" s="357"/>
      <c r="T62" s="357"/>
      <c r="U62" s="111"/>
      <c r="V62" s="357"/>
    </row>
  </sheetData>
  <mergeCells count="13">
    <mergeCell ref="F61:I61"/>
    <mergeCell ref="D5:D7"/>
    <mergeCell ref="E5:E7"/>
    <mergeCell ref="A1:I1"/>
    <mergeCell ref="A2:I2"/>
    <mergeCell ref="A4:A7"/>
    <mergeCell ref="B4:B7"/>
    <mergeCell ref="C4:C7"/>
    <mergeCell ref="D4:E4"/>
    <mergeCell ref="F4:F7"/>
    <mergeCell ref="G4:G7"/>
    <mergeCell ref="H4:H7"/>
    <mergeCell ref="I4:I7"/>
  </mergeCells>
  <pageMargins left="0.56000000000000005" right="0.2" top="0.75" bottom="0.75" header="0.45" footer="0.3"/>
  <pageSetup paperSize="9" firstPageNumber="10" orientation="portrait" useFirstPageNumber="1" r:id="rId1"/>
  <headerFooter>
    <oddHeader>&amp;RBiểu số 08 DT</oddHeader>
    <oddFooter>&amp;C&amp;P</oddFooter>
  </headerFooter>
  <legacyDrawing r:id="rId2"/>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pageSetUpPr fitToPage="1"/>
  </sheetPr>
  <dimension ref="A1:AZ435"/>
  <sheetViews>
    <sheetView workbookViewId="0">
      <pane xSplit="2" ySplit="9" topLeftCell="D10" activePane="bottomRight" state="frozen"/>
      <selection pane="topRight" activeCell="C1" sqref="C1"/>
      <selection pane="bottomLeft" activeCell="A10" sqref="A10"/>
      <selection pane="bottomRight" activeCell="Z12" sqref="Z12"/>
    </sheetView>
  </sheetViews>
  <sheetFormatPr defaultRowHeight="11.25" x14ac:dyDescent="0.25"/>
  <cols>
    <col min="1" max="1" width="3.25" style="1564" customWidth="1"/>
    <col min="2" max="2" width="28.375" style="1551" customWidth="1"/>
    <col min="3" max="3" width="11.25" style="1564" customWidth="1"/>
    <col min="4" max="4" width="6.875" style="1635" customWidth="1"/>
    <col min="5" max="5" width="7" style="1635" customWidth="1"/>
    <col min="6" max="6" width="7.625" style="1635" hidden="1" customWidth="1"/>
    <col min="7" max="7" width="6.25" style="1635" hidden="1" customWidth="1"/>
    <col min="8" max="8" width="7.125" style="1635" hidden="1" customWidth="1"/>
    <col min="9" max="10" width="6.375" style="1635" hidden="1" customWidth="1"/>
    <col min="11" max="12" width="6.125" style="1635" hidden="1" customWidth="1"/>
    <col min="13" max="13" width="5.875" style="1635" hidden="1" customWidth="1"/>
    <col min="14" max="14" width="4.875" style="1635" hidden="1" customWidth="1"/>
    <col min="15" max="15" width="6" style="1635" hidden="1" customWidth="1"/>
    <col min="16" max="16" width="7.125" style="1635" hidden="1" customWidth="1"/>
    <col min="17" max="17" width="6.75" style="1635" hidden="1" customWidth="1"/>
    <col min="18" max="18" width="5.375" style="1635" hidden="1" customWidth="1"/>
    <col min="19" max="19" width="5.875" style="1635" hidden="1" customWidth="1"/>
    <col min="20" max="20" width="7.125" style="1635" customWidth="1"/>
    <col min="21" max="21" width="7.375" style="1635" customWidth="1"/>
    <col min="22" max="22" width="7.5" style="1635" customWidth="1"/>
    <col min="23" max="23" width="8.375" style="1635" customWidth="1"/>
    <col min="24" max="24" width="6" style="1635" hidden="1" customWidth="1"/>
    <col min="25" max="25" width="6.625" style="1635" customWidth="1"/>
    <col min="26" max="26" width="7.375" style="1635" customWidth="1"/>
    <col min="27" max="27" width="7.125" style="1635" customWidth="1"/>
    <col min="28" max="28" width="7.25" style="1635" hidden="1" customWidth="1"/>
    <col min="29" max="29" width="6.875" style="1635" customWidth="1"/>
    <col min="30" max="30" width="7.375" style="1635" customWidth="1"/>
    <col min="31" max="31" width="6.5" style="1635" hidden="1" customWidth="1"/>
    <col min="32" max="32" width="6.75" style="1635" customWidth="1"/>
    <col min="33" max="33" width="5.75" style="1635" customWidth="1"/>
    <col min="34" max="34" width="9" style="1635" customWidth="1"/>
    <col min="35" max="35" width="10.875" style="1564" customWidth="1"/>
    <col min="36" max="36" width="15.375" style="1564" hidden="1" customWidth="1"/>
    <col min="37" max="37" width="11" style="1551" hidden="1" customWidth="1"/>
    <col min="38" max="39" width="8.125" style="1551" hidden="1" customWidth="1"/>
    <col min="40" max="52" width="0" style="1551" hidden="1" customWidth="1"/>
    <col min="53" max="205" width="9" style="1551"/>
    <col min="206" max="206" width="4.5" style="1551" customWidth="1"/>
    <col min="207" max="207" width="28.375" style="1551" customWidth="1"/>
    <col min="208" max="210" width="9" style="1551" customWidth="1"/>
    <col min="211" max="212" width="10.875" style="1551" customWidth="1"/>
    <col min="213" max="213" width="9.875" style="1551" customWidth="1"/>
    <col min="214" max="214" width="10.875" style="1551" customWidth="1"/>
    <col min="215" max="215" width="9.875" style="1551" customWidth="1"/>
    <col min="216" max="216" width="10.875" style="1551" customWidth="1"/>
    <col min="217" max="217" width="9.875" style="1551" customWidth="1"/>
    <col min="218" max="218" width="10.875" style="1551" customWidth="1"/>
    <col min="219" max="219" width="9.875" style="1551" customWidth="1"/>
    <col min="220" max="220" width="10.875" style="1551" customWidth="1"/>
    <col min="221" max="221" width="9.875" style="1551" customWidth="1"/>
    <col min="222" max="222" width="12.375" style="1551" customWidth="1"/>
    <col min="223" max="223" width="9" style="1551" customWidth="1"/>
    <col min="224" max="224" width="15" style="1551" customWidth="1"/>
    <col min="225" max="225" width="10.5" style="1551" customWidth="1"/>
    <col min="226" max="226" width="12.375" style="1551" customWidth="1"/>
    <col min="227" max="227" width="9" style="1551" customWidth="1"/>
    <col min="228" max="228" width="15" style="1551" customWidth="1"/>
    <col min="229" max="229" width="10.5" style="1551" customWidth="1"/>
    <col min="230" max="230" width="9.375" style="1551" customWidth="1"/>
    <col min="231" max="233" width="7.875" style="1551" customWidth="1"/>
    <col min="234" max="461" width="9" style="1551"/>
    <col min="462" max="462" width="4.5" style="1551" customWidth="1"/>
    <col min="463" max="463" width="28.375" style="1551" customWidth="1"/>
    <col min="464" max="466" width="9" style="1551" customWidth="1"/>
    <col min="467" max="468" width="10.875" style="1551" customWidth="1"/>
    <col min="469" max="469" width="9.875" style="1551" customWidth="1"/>
    <col min="470" max="470" width="10.875" style="1551" customWidth="1"/>
    <col min="471" max="471" width="9.875" style="1551" customWidth="1"/>
    <col min="472" max="472" width="10.875" style="1551" customWidth="1"/>
    <col min="473" max="473" width="9.875" style="1551" customWidth="1"/>
    <col min="474" max="474" width="10.875" style="1551" customWidth="1"/>
    <col min="475" max="475" width="9.875" style="1551" customWidth="1"/>
    <col min="476" max="476" width="10.875" style="1551" customWidth="1"/>
    <col min="477" max="477" width="9.875" style="1551" customWidth="1"/>
    <col min="478" max="478" width="12.375" style="1551" customWidth="1"/>
    <col min="479" max="479" width="9" style="1551" customWidth="1"/>
    <col min="480" max="480" width="15" style="1551" customWidth="1"/>
    <col min="481" max="481" width="10.5" style="1551" customWidth="1"/>
    <col min="482" max="482" width="12.375" style="1551" customWidth="1"/>
    <col min="483" max="483" width="9" style="1551" customWidth="1"/>
    <col min="484" max="484" width="15" style="1551" customWidth="1"/>
    <col min="485" max="485" width="10.5" style="1551" customWidth="1"/>
    <col min="486" max="486" width="9.375" style="1551" customWidth="1"/>
    <col min="487" max="489" width="7.875" style="1551" customWidth="1"/>
    <col min="490" max="717" width="9" style="1551"/>
    <col min="718" max="718" width="4.5" style="1551" customWidth="1"/>
    <col min="719" max="719" width="28.375" style="1551" customWidth="1"/>
    <col min="720" max="722" width="9" style="1551" customWidth="1"/>
    <col min="723" max="724" width="10.875" style="1551" customWidth="1"/>
    <col min="725" max="725" width="9.875" style="1551" customWidth="1"/>
    <col min="726" max="726" width="10.875" style="1551" customWidth="1"/>
    <col min="727" max="727" width="9.875" style="1551" customWidth="1"/>
    <col min="728" max="728" width="10.875" style="1551" customWidth="1"/>
    <col min="729" max="729" width="9.875" style="1551" customWidth="1"/>
    <col min="730" max="730" width="10.875" style="1551" customWidth="1"/>
    <col min="731" max="731" width="9.875" style="1551" customWidth="1"/>
    <col min="732" max="732" width="10.875" style="1551" customWidth="1"/>
    <col min="733" max="733" width="9.875" style="1551" customWidth="1"/>
    <col min="734" max="734" width="12.375" style="1551" customWidth="1"/>
    <col min="735" max="735" width="9" style="1551" customWidth="1"/>
    <col min="736" max="736" width="15" style="1551" customWidth="1"/>
    <col min="737" max="737" width="10.5" style="1551" customWidth="1"/>
    <col min="738" max="738" width="12.375" style="1551" customWidth="1"/>
    <col min="739" max="739" width="9" style="1551" customWidth="1"/>
    <col min="740" max="740" width="15" style="1551" customWidth="1"/>
    <col min="741" max="741" width="10.5" style="1551" customWidth="1"/>
    <col min="742" max="742" width="9.375" style="1551" customWidth="1"/>
    <col min="743" max="745" width="7.875" style="1551" customWidth="1"/>
    <col min="746" max="973" width="9" style="1551"/>
    <col min="974" max="974" width="4.5" style="1551" customWidth="1"/>
    <col min="975" max="975" width="28.375" style="1551" customWidth="1"/>
    <col min="976" max="978" width="9" style="1551" customWidth="1"/>
    <col min="979" max="980" width="10.875" style="1551" customWidth="1"/>
    <col min="981" max="981" width="9.875" style="1551" customWidth="1"/>
    <col min="982" max="982" width="10.875" style="1551" customWidth="1"/>
    <col min="983" max="983" width="9.875" style="1551" customWidth="1"/>
    <col min="984" max="984" width="10.875" style="1551" customWidth="1"/>
    <col min="985" max="985" width="9.875" style="1551" customWidth="1"/>
    <col min="986" max="986" width="10.875" style="1551" customWidth="1"/>
    <col min="987" max="987" width="9.875" style="1551" customWidth="1"/>
    <col min="988" max="988" width="10.875" style="1551" customWidth="1"/>
    <col min="989" max="989" width="9.875" style="1551" customWidth="1"/>
    <col min="990" max="990" width="12.375" style="1551" customWidth="1"/>
    <col min="991" max="991" width="9" style="1551" customWidth="1"/>
    <col min="992" max="992" width="15" style="1551" customWidth="1"/>
    <col min="993" max="993" width="10.5" style="1551" customWidth="1"/>
    <col min="994" max="994" width="12.375" style="1551" customWidth="1"/>
    <col min="995" max="995" width="9" style="1551" customWidth="1"/>
    <col min="996" max="996" width="15" style="1551" customWidth="1"/>
    <col min="997" max="997" width="10.5" style="1551" customWidth="1"/>
    <col min="998" max="998" width="9.375" style="1551" customWidth="1"/>
    <col min="999" max="1001" width="7.875" style="1551" customWidth="1"/>
    <col min="1002" max="1229" width="9" style="1551"/>
    <col min="1230" max="1230" width="4.5" style="1551" customWidth="1"/>
    <col min="1231" max="1231" width="28.375" style="1551" customWidth="1"/>
    <col min="1232" max="1234" width="9" style="1551" customWidth="1"/>
    <col min="1235" max="1236" width="10.875" style="1551" customWidth="1"/>
    <col min="1237" max="1237" width="9.875" style="1551" customWidth="1"/>
    <col min="1238" max="1238" width="10.875" style="1551" customWidth="1"/>
    <col min="1239" max="1239" width="9.875" style="1551" customWidth="1"/>
    <col min="1240" max="1240" width="10.875" style="1551" customWidth="1"/>
    <col min="1241" max="1241" width="9.875" style="1551" customWidth="1"/>
    <col min="1242" max="1242" width="10.875" style="1551" customWidth="1"/>
    <col min="1243" max="1243" width="9.875" style="1551" customWidth="1"/>
    <col min="1244" max="1244" width="10.875" style="1551" customWidth="1"/>
    <col min="1245" max="1245" width="9.875" style="1551" customWidth="1"/>
    <col min="1246" max="1246" width="12.375" style="1551" customWidth="1"/>
    <col min="1247" max="1247" width="9" style="1551" customWidth="1"/>
    <col min="1248" max="1248" width="15" style="1551" customWidth="1"/>
    <col min="1249" max="1249" width="10.5" style="1551" customWidth="1"/>
    <col min="1250" max="1250" width="12.375" style="1551" customWidth="1"/>
    <col min="1251" max="1251" width="9" style="1551" customWidth="1"/>
    <col min="1252" max="1252" width="15" style="1551" customWidth="1"/>
    <col min="1253" max="1253" width="10.5" style="1551" customWidth="1"/>
    <col min="1254" max="1254" width="9.375" style="1551" customWidth="1"/>
    <col min="1255" max="1257" width="7.875" style="1551" customWidth="1"/>
    <col min="1258" max="1485" width="9" style="1551"/>
    <col min="1486" max="1486" width="4.5" style="1551" customWidth="1"/>
    <col min="1487" max="1487" width="28.375" style="1551" customWidth="1"/>
    <col min="1488" max="1490" width="9" style="1551" customWidth="1"/>
    <col min="1491" max="1492" width="10.875" style="1551" customWidth="1"/>
    <col min="1493" max="1493" width="9.875" style="1551" customWidth="1"/>
    <col min="1494" max="1494" width="10.875" style="1551" customWidth="1"/>
    <col min="1495" max="1495" width="9.875" style="1551" customWidth="1"/>
    <col min="1496" max="1496" width="10.875" style="1551" customWidth="1"/>
    <col min="1497" max="1497" width="9.875" style="1551" customWidth="1"/>
    <col min="1498" max="1498" width="10.875" style="1551" customWidth="1"/>
    <col min="1499" max="1499" width="9.875" style="1551" customWidth="1"/>
    <col min="1500" max="1500" width="10.875" style="1551" customWidth="1"/>
    <col min="1501" max="1501" width="9.875" style="1551" customWidth="1"/>
    <col min="1502" max="1502" width="12.375" style="1551" customWidth="1"/>
    <col min="1503" max="1503" width="9" style="1551" customWidth="1"/>
    <col min="1504" max="1504" width="15" style="1551" customWidth="1"/>
    <col min="1505" max="1505" width="10.5" style="1551" customWidth="1"/>
    <col min="1506" max="1506" width="12.375" style="1551" customWidth="1"/>
    <col min="1507" max="1507" width="9" style="1551" customWidth="1"/>
    <col min="1508" max="1508" width="15" style="1551" customWidth="1"/>
    <col min="1509" max="1509" width="10.5" style="1551" customWidth="1"/>
    <col min="1510" max="1510" width="9.375" style="1551" customWidth="1"/>
    <col min="1511" max="1513" width="7.875" style="1551" customWidth="1"/>
    <col min="1514" max="1741" width="9" style="1551"/>
    <col min="1742" max="1742" width="4.5" style="1551" customWidth="1"/>
    <col min="1743" max="1743" width="28.375" style="1551" customWidth="1"/>
    <col min="1744" max="1746" width="9" style="1551" customWidth="1"/>
    <col min="1747" max="1748" width="10.875" style="1551" customWidth="1"/>
    <col min="1749" max="1749" width="9.875" style="1551" customWidth="1"/>
    <col min="1750" max="1750" width="10.875" style="1551" customWidth="1"/>
    <col min="1751" max="1751" width="9.875" style="1551" customWidth="1"/>
    <col min="1752" max="1752" width="10.875" style="1551" customWidth="1"/>
    <col min="1753" max="1753" width="9.875" style="1551" customWidth="1"/>
    <col min="1754" max="1754" width="10.875" style="1551" customWidth="1"/>
    <col min="1755" max="1755" width="9.875" style="1551" customWidth="1"/>
    <col min="1756" max="1756" width="10.875" style="1551" customWidth="1"/>
    <col min="1757" max="1757" width="9.875" style="1551" customWidth="1"/>
    <col min="1758" max="1758" width="12.375" style="1551" customWidth="1"/>
    <col min="1759" max="1759" width="9" style="1551" customWidth="1"/>
    <col min="1760" max="1760" width="15" style="1551" customWidth="1"/>
    <col min="1761" max="1761" width="10.5" style="1551" customWidth="1"/>
    <col min="1762" max="1762" width="12.375" style="1551" customWidth="1"/>
    <col min="1763" max="1763" width="9" style="1551" customWidth="1"/>
    <col min="1764" max="1764" width="15" style="1551" customWidth="1"/>
    <col min="1765" max="1765" width="10.5" style="1551" customWidth="1"/>
    <col min="1766" max="1766" width="9.375" style="1551" customWidth="1"/>
    <col min="1767" max="1769" width="7.875" style="1551" customWidth="1"/>
    <col min="1770" max="1997" width="9" style="1551"/>
    <col min="1998" max="1998" width="4.5" style="1551" customWidth="1"/>
    <col min="1999" max="1999" width="28.375" style="1551" customWidth="1"/>
    <col min="2000" max="2002" width="9" style="1551" customWidth="1"/>
    <col min="2003" max="2004" width="10.875" style="1551" customWidth="1"/>
    <col min="2005" max="2005" width="9.875" style="1551" customWidth="1"/>
    <col min="2006" max="2006" width="10.875" style="1551" customWidth="1"/>
    <col min="2007" max="2007" width="9.875" style="1551" customWidth="1"/>
    <col min="2008" max="2008" width="10.875" style="1551" customWidth="1"/>
    <col min="2009" max="2009" width="9.875" style="1551" customWidth="1"/>
    <col min="2010" max="2010" width="10.875" style="1551" customWidth="1"/>
    <col min="2011" max="2011" width="9.875" style="1551" customWidth="1"/>
    <col min="2012" max="2012" width="10.875" style="1551" customWidth="1"/>
    <col min="2013" max="2013" width="9.875" style="1551" customWidth="1"/>
    <col min="2014" max="2014" width="12.375" style="1551" customWidth="1"/>
    <col min="2015" max="2015" width="9" style="1551" customWidth="1"/>
    <col min="2016" max="2016" width="15" style="1551" customWidth="1"/>
    <col min="2017" max="2017" width="10.5" style="1551" customWidth="1"/>
    <col min="2018" max="2018" width="12.375" style="1551" customWidth="1"/>
    <col min="2019" max="2019" width="9" style="1551" customWidth="1"/>
    <col min="2020" max="2020" width="15" style="1551" customWidth="1"/>
    <col min="2021" max="2021" width="10.5" style="1551" customWidth="1"/>
    <col min="2022" max="2022" width="9.375" style="1551" customWidth="1"/>
    <col min="2023" max="2025" width="7.875" style="1551" customWidth="1"/>
    <col min="2026" max="2253" width="9" style="1551"/>
    <col min="2254" max="2254" width="4.5" style="1551" customWidth="1"/>
    <col min="2255" max="2255" width="28.375" style="1551" customWidth="1"/>
    <col min="2256" max="2258" width="9" style="1551" customWidth="1"/>
    <col min="2259" max="2260" width="10.875" style="1551" customWidth="1"/>
    <col min="2261" max="2261" width="9.875" style="1551" customWidth="1"/>
    <col min="2262" max="2262" width="10.875" style="1551" customWidth="1"/>
    <col min="2263" max="2263" width="9.875" style="1551" customWidth="1"/>
    <col min="2264" max="2264" width="10.875" style="1551" customWidth="1"/>
    <col min="2265" max="2265" width="9.875" style="1551" customWidth="1"/>
    <col min="2266" max="2266" width="10.875" style="1551" customWidth="1"/>
    <col min="2267" max="2267" width="9.875" style="1551" customWidth="1"/>
    <col min="2268" max="2268" width="10.875" style="1551" customWidth="1"/>
    <col min="2269" max="2269" width="9.875" style="1551" customWidth="1"/>
    <col min="2270" max="2270" width="12.375" style="1551" customWidth="1"/>
    <col min="2271" max="2271" width="9" style="1551" customWidth="1"/>
    <col min="2272" max="2272" width="15" style="1551" customWidth="1"/>
    <col min="2273" max="2273" width="10.5" style="1551" customWidth="1"/>
    <col min="2274" max="2274" width="12.375" style="1551" customWidth="1"/>
    <col min="2275" max="2275" width="9" style="1551" customWidth="1"/>
    <col min="2276" max="2276" width="15" style="1551" customWidth="1"/>
    <col min="2277" max="2277" width="10.5" style="1551" customWidth="1"/>
    <col min="2278" max="2278" width="9.375" style="1551" customWidth="1"/>
    <col min="2279" max="2281" width="7.875" style="1551" customWidth="1"/>
    <col min="2282" max="2509" width="9" style="1551"/>
    <col min="2510" max="2510" width="4.5" style="1551" customWidth="1"/>
    <col min="2511" max="2511" width="28.375" style="1551" customWidth="1"/>
    <col min="2512" max="2514" width="9" style="1551" customWidth="1"/>
    <col min="2515" max="2516" width="10.875" style="1551" customWidth="1"/>
    <col min="2517" max="2517" width="9.875" style="1551" customWidth="1"/>
    <col min="2518" max="2518" width="10.875" style="1551" customWidth="1"/>
    <col min="2519" max="2519" width="9.875" style="1551" customWidth="1"/>
    <col min="2520" max="2520" width="10.875" style="1551" customWidth="1"/>
    <col min="2521" max="2521" width="9.875" style="1551" customWidth="1"/>
    <col min="2522" max="2522" width="10.875" style="1551" customWidth="1"/>
    <col min="2523" max="2523" width="9.875" style="1551" customWidth="1"/>
    <col min="2524" max="2524" width="10.875" style="1551" customWidth="1"/>
    <col min="2525" max="2525" width="9.875" style="1551" customWidth="1"/>
    <col min="2526" max="2526" width="12.375" style="1551" customWidth="1"/>
    <col min="2527" max="2527" width="9" style="1551" customWidth="1"/>
    <col min="2528" max="2528" width="15" style="1551" customWidth="1"/>
    <col min="2529" max="2529" width="10.5" style="1551" customWidth="1"/>
    <col min="2530" max="2530" width="12.375" style="1551" customWidth="1"/>
    <col min="2531" max="2531" width="9" style="1551" customWidth="1"/>
    <col min="2532" max="2532" width="15" style="1551" customWidth="1"/>
    <col min="2533" max="2533" width="10.5" style="1551" customWidth="1"/>
    <col min="2534" max="2534" width="9.375" style="1551" customWidth="1"/>
    <col min="2535" max="2537" width="7.875" style="1551" customWidth="1"/>
    <col min="2538" max="2765" width="9" style="1551"/>
    <col min="2766" max="2766" width="4.5" style="1551" customWidth="1"/>
    <col min="2767" max="2767" width="28.375" style="1551" customWidth="1"/>
    <col min="2768" max="2770" width="9" style="1551" customWidth="1"/>
    <col min="2771" max="2772" width="10.875" style="1551" customWidth="1"/>
    <col min="2773" max="2773" width="9.875" style="1551" customWidth="1"/>
    <col min="2774" max="2774" width="10.875" style="1551" customWidth="1"/>
    <col min="2775" max="2775" width="9.875" style="1551" customWidth="1"/>
    <col min="2776" max="2776" width="10.875" style="1551" customWidth="1"/>
    <col min="2777" max="2777" width="9.875" style="1551" customWidth="1"/>
    <col min="2778" max="2778" width="10.875" style="1551" customWidth="1"/>
    <col min="2779" max="2779" width="9.875" style="1551" customWidth="1"/>
    <col min="2780" max="2780" width="10.875" style="1551" customWidth="1"/>
    <col min="2781" max="2781" width="9.875" style="1551" customWidth="1"/>
    <col min="2782" max="2782" width="12.375" style="1551" customWidth="1"/>
    <col min="2783" max="2783" width="9" style="1551" customWidth="1"/>
    <col min="2784" max="2784" width="15" style="1551" customWidth="1"/>
    <col min="2785" max="2785" width="10.5" style="1551" customWidth="1"/>
    <col min="2786" max="2786" width="12.375" style="1551" customWidth="1"/>
    <col min="2787" max="2787" width="9" style="1551" customWidth="1"/>
    <col min="2788" max="2788" width="15" style="1551" customWidth="1"/>
    <col min="2789" max="2789" width="10.5" style="1551" customWidth="1"/>
    <col min="2790" max="2790" width="9.375" style="1551" customWidth="1"/>
    <col min="2791" max="2793" width="7.875" style="1551" customWidth="1"/>
    <col min="2794" max="3021" width="9" style="1551"/>
    <col min="3022" max="3022" width="4.5" style="1551" customWidth="1"/>
    <col min="3023" max="3023" width="28.375" style="1551" customWidth="1"/>
    <col min="3024" max="3026" width="9" style="1551" customWidth="1"/>
    <col min="3027" max="3028" width="10.875" style="1551" customWidth="1"/>
    <col min="3029" max="3029" width="9.875" style="1551" customWidth="1"/>
    <col min="3030" max="3030" width="10.875" style="1551" customWidth="1"/>
    <col min="3031" max="3031" width="9.875" style="1551" customWidth="1"/>
    <col min="3032" max="3032" width="10.875" style="1551" customWidth="1"/>
    <col min="3033" max="3033" width="9.875" style="1551" customWidth="1"/>
    <col min="3034" max="3034" width="10.875" style="1551" customWidth="1"/>
    <col min="3035" max="3035" width="9.875" style="1551" customWidth="1"/>
    <col min="3036" max="3036" width="10.875" style="1551" customWidth="1"/>
    <col min="3037" max="3037" width="9.875" style="1551" customWidth="1"/>
    <col min="3038" max="3038" width="12.375" style="1551" customWidth="1"/>
    <col min="3039" max="3039" width="9" style="1551" customWidth="1"/>
    <col min="3040" max="3040" width="15" style="1551" customWidth="1"/>
    <col min="3041" max="3041" width="10.5" style="1551" customWidth="1"/>
    <col min="3042" max="3042" width="12.375" style="1551" customWidth="1"/>
    <col min="3043" max="3043" width="9" style="1551" customWidth="1"/>
    <col min="3044" max="3044" width="15" style="1551" customWidth="1"/>
    <col min="3045" max="3045" width="10.5" style="1551" customWidth="1"/>
    <col min="3046" max="3046" width="9.375" style="1551" customWidth="1"/>
    <col min="3047" max="3049" width="7.875" style="1551" customWidth="1"/>
    <col min="3050" max="3277" width="9" style="1551"/>
    <col min="3278" max="3278" width="4.5" style="1551" customWidth="1"/>
    <col min="3279" max="3279" width="28.375" style="1551" customWidth="1"/>
    <col min="3280" max="3282" width="9" style="1551" customWidth="1"/>
    <col min="3283" max="3284" width="10.875" style="1551" customWidth="1"/>
    <col min="3285" max="3285" width="9.875" style="1551" customWidth="1"/>
    <col min="3286" max="3286" width="10.875" style="1551" customWidth="1"/>
    <col min="3287" max="3287" width="9.875" style="1551" customWidth="1"/>
    <col min="3288" max="3288" width="10.875" style="1551" customWidth="1"/>
    <col min="3289" max="3289" width="9.875" style="1551" customWidth="1"/>
    <col min="3290" max="3290" width="10.875" style="1551" customWidth="1"/>
    <col min="3291" max="3291" width="9.875" style="1551" customWidth="1"/>
    <col min="3292" max="3292" width="10.875" style="1551" customWidth="1"/>
    <col min="3293" max="3293" width="9.875" style="1551" customWidth="1"/>
    <col min="3294" max="3294" width="12.375" style="1551" customWidth="1"/>
    <col min="3295" max="3295" width="9" style="1551" customWidth="1"/>
    <col min="3296" max="3296" width="15" style="1551" customWidth="1"/>
    <col min="3297" max="3297" width="10.5" style="1551" customWidth="1"/>
    <col min="3298" max="3298" width="12.375" style="1551" customWidth="1"/>
    <col min="3299" max="3299" width="9" style="1551" customWidth="1"/>
    <col min="3300" max="3300" width="15" style="1551" customWidth="1"/>
    <col min="3301" max="3301" width="10.5" style="1551" customWidth="1"/>
    <col min="3302" max="3302" width="9.375" style="1551" customWidth="1"/>
    <col min="3303" max="3305" width="7.875" style="1551" customWidth="1"/>
    <col min="3306" max="3533" width="9" style="1551"/>
    <col min="3534" max="3534" width="4.5" style="1551" customWidth="1"/>
    <col min="3535" max="3535" width="28.375" style="1551" customWidth="1"/>
    <col min="3536" max="3538" width="9" style="1551" customWidth="1"/>
    <col min="3539" max="3540" width="10.875" style="1551" customWidth="1"/>
    <col min="3541" max="3541" width="9.875" style="1551" customWidth="1"/>
    <col min="3542" max="3542" width="10.875" style="1551" customWidth="1"/>
    <col min="3543" max="3543" width="9.875" style="1551" customWidth="1"/>
    <col min="3544" max="3544" width="10.875" style="1551" customWidth="1"/>
    <col min="3545" max="3545" width="9.875" style="1551" customWidth="1"/>
    <col min="3546" max="3546" width="10.875" style="1551" customWidth="1"/>
    <col min="3547" max="3547" width="9.875" style="1551" customWidth="1"/>
    <col min="3548" max="3548" width="10.875" style="1551" customWidth="1"/>
    <col min="3549" max="3549" width="9.875" style="1551" customWidth="1"/>
    <col min="3550" max="3550" width="12.375" style="1551" customWidth="1"/>
    <col min="3551" max="3551" width="9" style="1551" customWidth="1"/>
    <col min="3552" max="3552" width="15" style="1551" customWidth="1"/>
    <col min="3553" max="3553" width="10.5" style="1551" customWidth="1"/>
    <col min="3554" max="3554" width="12.375" style="1551" customWidth="1"/>
    <col min="3555" max="3555" width="9" style="1551" customWidth="1"/>
    <col min="3556" max="3556" width="15" style="1551" customWidth="1"/>
    <col min="3557" max="3557" width="10.5" style="1551" customWidth="1"/>
    <col min="3558" max="3558" width="9.375" style="1551" customWidth="1"/>
    <col min="3559" max="3561" width="7.875" style="1551" customWidth="1"/>
    <col min="3562" max="3789" width="9" style="1551"/>
    <col min="3790" max="3790" width="4.5" style="1551" customWidth="1"/>
    <col min="3791" max="3791" width="28.375" style="1551" customWidth="1"/>
    <col min="3792" max="3794" width="9" style="1551" customWidth="1"/>
    <col min="3795" max="3796" width="10.875" style="1551" customWidth="1"/>
    <col min="3797" max="3797" width="9.875" style="1551" customWidth="1"/>
    <col min="3798" max="3798" width="10.875" style="1551" customWidth="1"/>
    <col min="3799" max="3799" width="9.875" style="1551" customWidth="1"/>
    <col min="3800" max="3800" width="10.875" style="1551" customWidth="1"/>
    <col min="3801" max="3801" width="9.875" style="1551" customWidth="1"/>
    <col min="3802" max="3802" width="10.875" style="1551" customWidth="1"/>
    <col min="3803" max="3803" width="9.875" style="1551" customWidth="1"/>
    <col min="3804" max="3804" width="10.875" style="1551" customWidth="1"/>
    <col min="3805" max="3805" width="9.875" style="1551" customWidth="1"/>
    <col min="3806" max="3806" width="12.375" style="1551" customWidth="1"/>
    <col min="3807" max="3807" width="9" style="1551" customWidth="1"/>
    <col min="3808" max="3808" width="15" style="1551" customWidth="1"/>
    <col min="3809" max="3809" width="10.5" style="1551" customWidth="1"/>
    <col min="3810" max="3810" width="12.375" style="1551" customWidth="1"/>
    <col min="3811" max="3811" width="9" style="1551" customWidth="1"/>
    <col min="3812" max="3812" width="15" style="1551" customWidth="1"/>
    <col min="3813" max="3813" width="10.5" style="1551" customWidth="1"/>
    <col min="3814" max="3814" width="9.375" style="1551" customWidth="1"/>
    <col min="3815" max="3817" width="7.875" style="1551" customWidth="1"/>
    <col min="3818" max="4045" width="9" style="1551"/>
    <col min="4046" max="4046" width="4.5" style="1551" customWidth="1"/>
    <col min="4047" max="4047" width="28.375" style="1551" customWidth="1"/>
    <col min="4048" max="4050" width="9" style="1551" customWidth="1"/>
    <col min="4051" max="4052" width="10.875" style="1551" customWidth="1"/>
    <col min="4053" max="4053" width="9.875" style="1551" customWidth="1"/>
    <col min="4054" max="4054" width="10.875" style="1551" customWidth="1"/>
    <col min="4055" max="4055" width="9.875" style="1551" customWidth="1"/>
    <col min="4056" max="4056" width="10.875" style="1551" customWidth="1"/>
    <col min="4057" max="4057" width="9.875" style="1551" customWidth="1"/>
    <col min="4058" max="4058" width="10.875" style="1551" customWidth="1"/>
    <col min="4059" max="4059" width="9.875" style="1551" customWidth="1"/>
    <col min="4060" max="4060" width="10.875" style="1551" customWidth="1"/>
    <col min="4061" max="4061" width="9.875" style="1551" customWidth="1"/>
    <col min="4062" max="4062" width="12.375" style="1551" customWidth="1"/>
    <col min="4063" max="4063" width="9" style="1551" customWidth="1"/>
    <col min="4064" max="4064" width="15" style="1551" customWidth="1"/>
    <col min="4065" max="4065" width="10.5" style="1551" customWidth="1"/>
    <col min="4066" max="4066" width="12.375" style="1551" customWidth="1"/>
    <col min="4067" max="4067" width="9" style="1551" customWidth="1"/>
    <col min="4068" max="4068" width="15" style="1551" customWidth="1"/>
    <col min="4069" max="4069" width="10.5" style="1551" customWidth="1"/>
    <col min="4070" max="4070" width="9.375" style="1551" customWidth="1"/>
    <col min="4071" max="4073" width="7.875" style="1551" customWidth="1"/>
    <col min="4074" max="4301" width="9" style="1551"/>
    <col min="4302" max="4302" width="4.5" style="1551" customWidth="1"/>
    <col min="4303" max="4303" width="28.375" style="1551" customWidth="1"/>
    <col min="4304" max="4306" width="9" style="1551" customWidth="1"/>
    <col min="4307" max="4308" width="10.875" style="1551" customWidth="1"/>
    <col min="4309" max="4309" width="9.875" style="1551" customWidth="1"/>
    <col min="4310" max="4310" width="10.875" style="1551" customWidth="1"/>
    <col min="4311" max="4311" width="9.875" style="1551" customWidth="1"/>
    <col min="4312" max="4312" width="10.875" style="1551" customWidth="1"/>
    <col min="4313" max="4313" width="9.875" style="1551" customWidth="1"/>
    <col min="4314" max="4314" width="10.875" style="1551" customWidth="1"/>
    <col min="4315" max="4315" width="9.875" style="1551" customWidth="1"/>
    <col min="4316" max="4316" width="10.875" style="1551" customWidth="1"/>
    <col min="4317" max="4317" width="9.875" style="1551" customWidth="1"/>
    <col min="4318" max="4318" width="12.375" style="1551" customWidth="1"/>
    <col min="4319" max="4319" width="9" style="1551" customWidth="1"/>
    <col min="4320" max="4320" width="15" style="1551" customWidth="1"/>
    <col min="4321" max="4321" width="10.5" style="1551" customWidth="1"/>
    <col min="4322" max="4322" width="12.375" style="1551" customWidth="1"/>
    <col min="4323" max="4323" width="9" style="1551" customWidth="1"/>
    <col min="4324" max="4324" width="15" style="1551" customWidth="1"/>
    <col min="4325" max="4325" width="10.5" style="1551" customWidth="1"/>
    <col min="4326" max="4326" width="9.375" style="1551" customWidth="1"/>
    <col min="4327" max="4329" width="7.875" style="1551" customWidth="1"/>
    <col min="4330" max="4557" width="9" style="1551"/>
    <col min="4558" max="4558" width="4.5" style="1551" customWidth="1"/>
    <col min="4559" max="4559" width="28.375" style="1551" customWidth="1"/>
    <col min="4560" max="4562" width="9" style="1551" customWidth="1"/>
    <col min="4563" max="4564" width="10.875" style="1551" customWidth="1"/>
    <col min="4565" max="4565" width="9.875" style="1551" customWidth="1"/>
    <col min="4566" max="4566" width="10.875" style="1551" customWidth="1"/>
    <col min="4567" max="4567" width="9.875" style="1551" customWidth="1"/>
    <col min="4568" max="4568" width="10.875" style="1551" customWidth="1"/>
    <col min="4569" max="4569" width="9.875" style="1551" customWidth="1"/>
    <col min="4570" max="4570" width="10.875" style="1551" customWidth="1"/>
    <col min="4571" max="4571" width="9.875" style="1551" customWidth="1"/>
    <col min="4572" max="4572" width="10.875" style="1551" customWidth="1"/>
    <col min="4573" max="4573" width="9.875" style="1551" customWidth="1"/>
    <col min="4574" max="4574" width="12.375" style="1551" customWidth="1"/>
    <col min="4575" max="4575" width="9" style="1551" customWidth="1"/>
    <col min="4576" max="4576" width="15" style="1551" customWidth="1"/>
    <col min="4577" max="4577" width="10.5" style="1551" customWidth="1"/>
    <col min="4578" max="4578" width="12.375" style="1551" customWidth="1"/>
    <col min="4579" max="4579" width="9" style="1551" customWidth="1"/>
    <col min="4580" max="4580" width="15" style="1551" customWidth="1"/>
    <col min="4581" max="4581" width="10.5" style="1551" customWidth="1"/>
    <col min="4582" max="4582" width="9.375" style="1551" customWidth="1"/>
    <col min="4583" max="4585" width="7.875" style="1551" customWidth="1"/>
    <col min="4586" max="4813" width="9" style="1551"/>
    <col min="4814" max="4814" width="4.5" style="1551" customWidth="1"/>
    <col min="4815" max="4815" width="28.375" style="1551" customWidth="1"/>
    <col min="4816" max="4818" width="9" style="1551" customWidth="1"/>
    <col min="4819" max="4820" width="10.875" style="1551" customWidth="1"/>
    <col min="4821" max="4821" width="9.875" style="1551" customWidth="1"/>
    <col min="4822" max="4822" width="10.875" style="1551" customWidth="1"/>
    <col min="4823" max="4823" width="9.875" style="1551" customWidth="1"/>
    <col min="4824" max="4824" width="10.875" style="1551" customWidth="1"/>
    <col min="4825" max="4825" width="9.875" style="1551" customWidth="1"/>
    <col min="4826" max="4826" width="10.875" style="1551" customWidth="1"/>
    <col min="4827" max="4827" width="9.875" style="1551" customWidth="1"/>
    <col min="4828" max="4828" width="10.875" style="1551" customWidth="1"/>
    <col min="4829" max="4829" width="9.875" style="1551" customWidth="1"/>
    <col min="4830" max="4830" width="12.375" style="1551" customWidth="1"/>
    <col min="4831" max="4831" width="9" style="1551" customWidth="1"/>
    <col min="4832" max="4832" width="15" style="1551" customWidth="1"/>
    <col min="4833" max="4833" width="10.5" style="1551" customWidth="1"/>
    <col min="4834" max="4834" width="12.375" style="1551" customWidth="1"/>
    <col min="4835" max="4835" width="9" style="1551" customWidth="1"/>
    <col min="4836" max="4836" width="15" style="1551" customWidth="1"/>
    <col min="4837" max="4837" width="10.5" style="1551" customWidth="1"/>
    <col min="4838" max="4838" width="9.375" style="1551" customWidth="1"/>
    <col min="4839" max="4841" width="7.875" style="1551" customWidth="1"/>
    <col min="4842" max="5069" width="9" style="1551"/>
    <col min="5070" max="5070" width="4.5" style="1551" customWidth="1"/>
    <col min="5071" max="5071" width="28.375" style="1551" customWidth="1"/>
    <col min="5072" max="5074" width="9" style="1551" customWidth="1"/>
    <col min="5075" max="5076" width="10.875" style="1551" customWidth="1"/>
    <col min="5077" max="5077" width="9.875" style="1551" customWidth="1"/>
    <col min="5078" max="5078" width="10.875" style="1551" customWidth="1"/>
    <col min="5079" max="5079" width="9.875" style="1551" customWidth="1"/>
    <col min="5080" max="5080" width="10.875" style="1551" customWidth="1"/>
    <col min="5081" max="5081" width="9.875" style="1551" customWidth="1"/>
    <col min="5082" max="5082" width="10.875" style="1551" customWidth="1"/>
    <col min="5083" max="5083" width="9.875" style="1551" customWidth="1"/>
    <col min="5084" max="5084" width="10.875" style="1551" customWidth="1"/>
    <col min="5085" max="5085" width="9.875" style="1551" customWidth="1"/>
    <col min="5086" max="5086" width="12.375" style="1551" customWidth="1"/>
    <col min="5087" max="5087" width="9" style="1551" customWidth="1"/>
    <col min="5088" max="5088" width="15" style="1551" customWidth="1"/>
    <col min="5089" max="5089" width="10.5" style="1551" customWidth="1"/>
    <col min="5090" max="5090" width="12.375" style="1551" customWidth="1"/>
    <col min="5091" max="5091" width="9" style="1551" customWidth="1"/>
    <col min="5092" max="5092" width="15" style="1551" customWidth="1"/>
    <col min="5093" max="5093" width="10.5" style="1551" customWidth="1"/>
    <col min="5094" max="5094" width="9.375" style="1551" customWidth="1"/>
    <col min="5095" max="5097" width="7.875" style="1551" customWidth="1"/>
    <col min="5098" max="5325" width="9" style="1551"/>
    <col min="5326" max="5326" width="4.5" style="1551" customWidth="1"/>
    <col min="5327" max="5327" width="28.375" style="1551" customWidth="1"/>
    <col min="5328" max="5330" width="9" style="1551" customWidth="1"/>
    <col min="5331" max="5332" width="10.875" style="1551" customWidth="1"/>
    <col min="5333" max="5333" width="9.875" style="1551" customWidth="1"/>
    <col min="5334" max="5334" width="10.875" style="1551" customWidth="1"/>
    <col min="5335" max="5335" width="9.875" style="1551" customWidth="1"/>
    <col min="5336" max="5336" width="10.875" style="1551" customWidth="1"/>
    <col min="5337" max="5337" width="9.875" style="1551" customWidth="1"/>
    <col min="5338" max="5338" width="10.875" style="1551" customWidth="1"/>
    <col min="5339" max="5339" width="9.875" style="1551" customWidth="1"/>
    <col min="5340" max="5340" width="10.875" style="1551" customWidth="1"/>
    <col min="5341" max="5341" width="9.875" style="1551" customWidth="1"/>
    <col min="5342" max="5342" width="12.375" style="1551" customWidth="1"/>
    <col min="5343" max="5343" width="9" style="1551" customWidth="1"/>
    <col min="5344" max="5344" width="15" style="1551" customWidth="1"/>
    <col min="5345" max="5345" width="10.5" style="1551" customWidth="1"/>
    <col min="5346" max="5346" width="12.375" style="1551" customWidth="1"/>
    <col min="5347" max="5347" width="9" style="1551" customWidth="1"/>
    <col min="5348" max="5348" width="15" style="1551" customWidth="1"/>
    <col min="5349" max="5349" width="10.5" style="1551" customWidth="1"/>
    <col min="5350" max="5350" width="9.375" style="1551" customWidth="1"/>
    <col min="5351" max="5353" width="7.875" style="1551" customWidth="1"/>
    <col min="5354" max="5581" width="9" style="1551"/>
    <col min="5582" max="5582" width="4.5" style="1551" customWidth="1"/>
    <col min="5583" max="5583" width="28.375" style="1551" customWidth="1"/>
    <col min="5584" max="5586" width="9" style="1551" customWidth="1"/>
    <col min="5587" max="5588" width="10.875" style="1551" customWidth="1"/>
    <col min="5589" max="5589" width="9.875" style="1551" customWidth="1"/>
    <col min="5590" max="5590" width="10.875" style="1551" customWidth="1"/>
    <col min="5591" max="5591" width="9.875" style="1551" customWidth="1"/>
    <col min="5592" max="5592" width="10.875" style="1551" customWidth="1"/>
    <col min="5593" max="5593" width="9.875" style="1551" customWidth="1"/>
    <col min="5594" max="5594" width="10.875" style="1551" customWidth="1"/>
    <col min="5595" max="5595" width="9.875" style="1551" customWidth="1"/>
    <col min="5596" max="5596" width="10.875" style="1551" customWidth="1"/>
    <col min="5597" max="5597" width="9.875" style="1551" customWidth="1"/>
    <col min="5598" max="5598" width="12.375" style="1551" customWidth="1"/>
    <col min="5599" max="5599" width="9" style="1551" customWidth="1"/>
    <col min="5600" max="5600" width="15" style="1551" customWidth="1"/>
    <col min="5601" max="5601" width="10.5" style="1551" customWidth="1"/>
    <col min="5602" max="5602" width="12.375" style="1551" customWidth="1"/>
    <col min="5603" max="5603" width="9" style="1551" customWidth="1"/>
    <col min="5604" max="5604" width="15" style="1551" customWidth="1"/>
    <col min="5605" max="5605" width="10.5" style="1551" customWidth="1"/>
    <col min="5606" max="5606" width="9.375" style="1551" customWidth="1"/>
    <col min="5607" max="5609" width="7.875" style="1551" customWidth="1"/>
    <col min="5610" max="5837" width="9" style="1551"/>
    <col min="5838" max="5838" width="4.5" style="1551" customWidth="1"/>
    <col min="5839" max="5839" width="28.375" style="1551" customWidth="1"/>
    <col min="5840" max="5842" width="9" style="1551" customWidth="1"/>
    <col min="5843" max="5844" width="10.875" style="1551" customWidth="1"/>
    <col min="5845" max="5845" width="9.875" style="1551" customWidth="1"/>
    <col min="5846" max="5846" width="10.875" style="1551" customWidth="1"/>
    <col min="5847" max="5847" width="9.875" style="1551" customWidth="1"/>
    <col min="5848" max="5848" width="10.875" style="1551" customWidth="1"/>
    <col min="5849" max="5849" width="9.875" style="1551" customWidth="1"/>
    <col min="5850" max="5850" width="10.875" style="1551" customWidth="1"/>
    <col min="5851" max="5851" width="9.875" style="1551" customWidth="1"/>
    <col min="5852" max="5852" width="10.875" style="1551" customWidth="1"/>
    <col min="5853" max="5853" width="9.875" style="1551" customWidth="1"/>
    <col min="5854" max="5854" width="12.375" style="1551" customWidth="1"/>
    <col min="5855" max="5855" width="9" style="1551" customWidth="1"/>
    <col min="5856" max="5856" width="15" style="1551" customWidth="1"/>
    <col min="5857" max="5857" width="10.5" style="1551" customWidth="1"/>
    <col min="5858" max="5858" width="12.375" style="1551" customWidth="1"/>
    <col min="5859" max="5859" width="9" style="1551" customWidth="1"/>
    <col min="5860" max="5860" width="15" style="1551" customWidth="1"/>
    <col min="5861" max="5861" width="10.5" style="1551" customWidth="1"/>
    <col min="5862" max="5862" width="9.375" style="1551" customWidth="1"/>
    <col min="5863" max="5865" width="7.875" style="1551" customWidth="1"/>
    <col min="5866" max="6093" width="9" style="1551"/>
    <col min="6094" max="6094" width="4.5" style="1551" customWidth="1"/>
    <col min="6095" max="6095" width="28.375" style="1551" customWidth="1"/>
    <col min="6096" max="6098" width="9" style="1551" customWidth="1"/>
    <col min="6099" max="6100" width="10.875" style="1551" customWidth="1"/>
    <col min="6101" max="6101" width="9.875" style="1551" customWidth="1"/>
    <col min="6102" max="6102" width="10.875" style="1551" customWidth="1"/>
    <col min="6103" max="6103" width="9.875" style="1551" customWidth="1"/>
    <col min="6104" max="6104" width="10.875" style="1551" customWidth="1"/>
    <col min="6105" max="6105" width="9.875" style="1551" customWidth="1"/>
    <col min="6106" max="6106" width="10.875" style="1551" customWidth="1"/>
    <col min="6107" max="6107" width="9.875" style="1551" customWidth="1"/>
    <col min="6108" max="6108" width="10.875" style="1551" customWidth="1"/>
    <col min="6109" max="6109" width="9.875" style="1551" customWidth="1"/>
    <col min="6110" max="6110" width="12.375" style="1551" customWidth="1"/>
    <col min="6111" max="6111" width="9" style="1551" customWidth="1"/>
    <col min="6112" max="6112" width="15" style="1551" customWidth="1"/>
    <col min="6113" max="6113" width="10.5" style="1551" customWidth="1"/>
    <col min="6114" max="6114" width="12.375" style="1551" customWidth="1"/>
    <col min="6115" max="6115" width="9" style="1551" customWidth="1"/>
    <col min="6116" max="6116" width="15" style="1551" customWidth="1"/>
    <col min="6117" max="6117" width="10.5" style="1551" customWidth="1"/>
    <col min="6118" max="6118" width="9.375" style="1551" customWidth="1"/>
    <col min="6119" max="6121" width="7.875" style="1551" customWidth="1"/>
    <col min="6122" max="6349" width="9" style="1551"/>
    <col min="6350" max="6350" width="4.5" style="1551" customWidth="1"/>
    <col min="6351" max="6351" width="28.375" style="1551" customWidth="1"/>
    <col min="6352" max="6354" width="9" style="1551" customWidth="1"/>
    <col min="6355" max="6356" width="10.875" style="1551" customWidth="1"/>
    <col min="6357" max="6357" width="9.875" style="1551" customWidth="1"/>
    <col min="6358" max="6358" width="10.875" style="1551" customWidth="1"/>
    <col min="6359" max="6359" width="9.875" style="1551" customWidth="1"/>
    <col min="6360" max="6360" width="10.875" style="1551" customWidth="1"/>
    <col min="6361" max="6361" width="9.875" style="1551" customWidth="1"/>
    <col min="6362" max="6362" width="10.875" style="1551" customWidth="1"/>
    <col min="6363" max="6363" width="9.875" style="1551" customWidth="1"/>
    <col min="6364" max="6364" width="10.875" style="1551" customWidth="1"/>
    <col min="6365" max="6365" width="9.875" style="1551" customWidth="1"/>
    <col min="6366" max="6366" width="12.375" style="1551" customWidth="1"/>
    <col min="6367" max="6367" width="9" style="1551" customWidth="1"/>
    <col min="6368" max="6368" width="15" style="1551" customWidth="1"/>
    <col min="6369" max="6369" width="10.5" style="1551" customWidth="1"/>
    <col min="6370" max="6370" width="12.375" style="1551" customWidth="1"/>
    <col min="6371" max="6371" width="9" style="1551" customWidth="1"/>
    <col min="6372" max="6372" width="15" style="1551" customWidth="1"/>
    <col min="6373" max="6373" width="10.5" style="1551" customWidth="1"/>
    <col min="6374" max="6374" width="9.375" style="1551" customWidth="1"/>
    <col min="6375" max="6377" width="7.875" style="1551" customWidth="1"/>
    <col min="6378" max="6605" width="9" style="1551"/>
    <col min="6606" max="6606" width="4.5" style="1551" customWidth="1"/>
    <col min="6607" max="6607" width="28.375" style="1551" customWidth="1"/>
    <col min="6608" max="6610" width="9" style="1551" customWidth="1"/>
    <col min="6611" max="6612" width="10.875" style="1551" customWidth="1"/>
    <col min="6613" max="6613" width="9.875" style="1551" customWidth="1"/>
    <col min="6614" max="6614" width="10.875" style="1551" customWidth="1"/>
    <col min="6615" max="6615" width="9.875" style="1551" customWidth="1"/>
    <col min="6616" max="6616" width="10.875" style="1551" customWidth="1"/>
    <col min="6617" max="6617" width="9.875" style="1551" customWidth="1"/>
    <col min="6618" max="6618" width="10.875" style="1551" customWidth="1"/>
    <col min="6619" max="6619" width="9.875" style="1551" customWidth="1"/>
    <col min="6620" max="6620" width="10.875" style="1551" customWidth="1"/>
    <col min="6621" max="6621" width="9.875" style="1551" customWidth="1"/>
    <col min="6622" max="6622" width="12.375" style="1551" customWidth="1"/>
    <col min="6623" max="6623" width="9" style="1551" customWidth="1"/>
    <col min="6624" max="6624" width="15" style="1551" customWidth="1"/>
    <col min="6625" max="6625" width="10.5" style="1551" customWidth="1"/>
    <col min="6626" max="6626" width="12.375" style="1551" customWidth="1"/>
    <col min="6627" max="6627" width="9" style="1551" customWidth="1"/>
    <col min="6628" max="6628" width="15" style="1551" customWidth="1"/>
    <col min="6629" max="6629" width="10.5" style="1551" customWidth="1"/>
    <col min="6630" max="6630" width="9.375" style="1551" customWidth="1"/>
    <col min="6631" max="6633" width="7.875" style="1551" customWidth="1"/>
    <col min="6634" max="6861" width="9" style="1551"/>
    <col min="6862" max="6862" width="4.5" style="1551" customWidth="1"/>
    <col min="6863" max="6863" width="28.375" style="1551" customWidth="1"/>
    <col min="6864" max="6866" width="9" style="1551" customWidth="1"/>
    <col min="6867" max="6868" width="10.875" style="1551" customWidth="1"/>
    <col min="6869" max="6869" width="9.875" style="1551" customWidth="1"/>
    <col min="6870" max="6870" width="10.875" style="1551" customWidth="1"/>
    <col min="6871" max="6871" width="9.875" style="1551" customWidth="1"/>
    <col min="6872" max="6872" width="10.875" style="1551" customWidth="1"/>
    <col min="6873" max="6873" width="9.875" style="1551" customWidth="1"/>
    <col min="6874" max="6874" width="10.875" style="1551" customWidth="1"/>
    <col min="6875" max="6875" width="9.875" style="1551" customWidth="1"/>
    <col min="6876" max="6876" width="10.875" style="1551" customWidth="1"/>
    <col min="6877" max="6877" width="9.875" style="1551" customWidth="1"/>
    <col min="6878" max="6878" width="12.375" style="1551" customWidth="1"/>
    <col min="6879" max="6879" width="9" style="1551" customWidth="1"/>
    <col min="6880" max="6880" width="15" style="1551" customWidth="1"/>
    <col min="6881" max="6881" width="10.5" style="1551" customWidth="1"/>
    <col min="6882" max="6882" width="12.375" style="1551" customWidth="1"/>
    <col min="6883" max="6883" width="9" style="1551" customWidth="1"/>
    <col min="6884" max="6884" width="15" style="1551" customWidth="1"/>
    <col min="6885" max="6885" width="10.5" style="1551" customWidth="1"/>
    <col min="6886" max="6886" width="9.375" style="1551" customWidth="1"/>
    <col min="6887" max="6889" width="7.875" style="1551" customWidth="1"/>
    <col min="6890" max="7117" width="9" style="1551"/>
    <col min="7118" max="7118" width="4.5" style="1551" customWidth="1"/>
    <col min="7119" max="7119" width="28.375" style="1551" customWidth="1"/>
    <col min="7120" max="7122" width="9" style="1551" customWidth="1"/>
    <col min="7123" max="7124" width="10.875" style="1551" customWidth="1"/>
    <col min="7125" max="7125" width="9.875" style="1551" customWidth="1"/>
    <col min="7126" max="7126" width="10.875" style="1551" customWidth="1"/>
    <col min="7127" max="7127" width="9.875" style="1551" customWidth="1"/>
    <col min="7128" max="7128" width="10.875" style="1551" customWidth="1"/>
    <col min="7129" max="7129" width="9.875" style="1551" customWidth="1"/>
    <col min="7130" max="7130" width="10.875" style="1551" customWidth="1"/>
    <col min="7131" max="7131" width="9.875" style="1551" customWidth="1"/>
    <col min="7132" max="7132" width="10.875" style="1551" customWidth="1"/>
    <col min="7133" max="7133" width="9.875" style="1551" customWidth="1"/>
    <col min="7134" max="7134" width="12.375" style="1551" customWidth="1"/>
    <col min="7135" max="7135" width="9" style="1551" customWidth="1"/>
    <col min="7136" max="7136" width="15" style="1551" customWidth="1"/>
    <col min="7137" max="7137" width="10.5" style="1551" customWidth="1"/>
    <col min="7138" max="7138" width="12.375" style="1551" customWidth="1"/>
    <col min="7139" max="7139" width="9" style="1551" customWidth="1"/>
    <col min="7140" max="7140" width="15" style="1551" customWidth="1"/>
    <col min="7141" max="7141" width="10.5" style="1551" customWidth="1"/>
    <col min="7142" max="7142" width="9.375" style="1551" customWidth="1"/>
    <col min="7143" max="7145" width="7.875" style="1551" customWidth="1"/>
    <col min="7146" max="7373" width="9" style="1551"/>
    <col min="7374" max="7374" width="4.5" style="1551" customWidth="1"/>
    <col min="7375" max="7375" width="28.375" style="1551" customWidth="1"/>
    <col min="7376" max="7378" width="9" style="1551" customWidth="1"/>
    <col min="7379" max="7380" width="10.875" style="1551" customWidth="1"/>
    <col min="7381" max="7381" width="9.875" style="1551" customWidth="1"/>
    <col min="7382" max="7382" width="10.875" style="1551" customWidth="1"/>
    <col min="7383" max="7383" width="9.875" style="1551" customWidth="1"/>
    <col min="7384" max="7384" width="10.875" style="1551" customWidth="1"/>
    <col min="7385" max="7385" width="9.875" style="1551" customWidth="1"/>
    <col min="7386" max="7386" width="10.875" style="1551" customWidth="1"/>
    <col min="7387" max="7387" width="9.875" style="1551" customWidth="1"/>
    <col min="7388" max="7388" width="10.875" style="1551" customWidth="1"/>
    <col min="7389" max="7389" width="9.875" style="1551" customWidth="1"/>
    <col min="7390" max="7390" width="12.375" style="1551" customWidth="1"/>
    <col min="7391" max="7391" width="9" style="1551" customWidth="1"/>
    <col min="7392" max="7392" width="15" style="1551" customWidth="1"/>
    <col min="7393" max="7393" width="10.5" style="1551" customWidth="1"/>
    <col min="7394" max="7394" width="12.375" style="1551" customWidth="1"/>
    <col min="7395" max="7395" width="9" style="1551" customWidth="1"/>
    <col min="7396" max="7396" width="15" style="1551" customWidth="1"/>
    <col min="7397" max="7397" width="10.5" style="1551" customWidth="1"/>
    <col min="7398" max="7398" width="9.375" style="1551" customWidth="1"/>
    <col min="7399" max="7401" width="7.875" style="1551" customWidth="1"/>
    <col min="7402" max="7629" width="9" style="1551"/>
    <col min="7630" max="7630" width="4.5" style="1551" customWidth="1"/>
    <col min="7631" max="7631" width="28.375" style="1551" customWidth="1"/>
    <col min="7632" max="7634" width="9" style="1551" customWidth="1"/>
    <col min="7635" max="7636" width="10.875" style="1551" customWidth="1"/>
    <col min="7637" max="7637" width="9.875" style="1551" customWidth="1"/>
    <col min="7638" max="7638" width="10.875" style="1551" customWidth="1"/>
    <col min="7639" max="7639" width="9.875" style="1551" customWidth="1"/>
    <col min="7640" max="7640" width="10.875" style="1551" customWidth="1"/>
    <col min="7641" max="7641" width="9.875" style="1551" customWidth="1"/>
    <col min="7642" max="7642" width="10.875" style="1551" customWidth="1"/>
    <col min="7643" max="7643" width="9.875" style="1551" customWidth="1"/>
    <col min="7644" max="7644" width="10.875" style="1551" customWidth="1"/>
    <col min="7645" max="7645" width="9.875" style="1551" customWidth="1"/>
    <col min="7646" max="7646" width="12.375" style="1551" customWidth="1"/>
    <col min="7647" max="7647" width="9" style="1551" customWidth="1"/>
    <col min="7648" max="7648" width="15" style="1551" customWidth="1"/>
    <col min="7649" max="7649" width="10.5" style="1551" customWidth="1"/>
    <col min="7650" max="7650" width="12.375" style="1551" customWidth="1"/>
    <col min="7651" max="7651" width="9" style="1551" customWidth="1"/>
    <col min="7652" max="7652" width="15" style="1551" customWidth="1"/>
    <col min="7653" max="7653" width="10.5" style="1551" customWidth="1"/>
    <col min="7654" max="7654" width="9.375" style="1551" customWidth="1"/>
    <col min="7655" max="7657" width="7.875" style="1551" customWidth="1"/>
    <col min="7658" max="7885" width="9" style="1551"/>
    <col min="7886" max="7886" width="4.5" style="1551" customWidth="1"/>
    <col min="7887" max="7887" width="28.375" style="1551" customWidth="1"/>
    <col min="7888" max="7890" width="9" style="1551" customWidth="1"/>
    <col min="7891" max="7892" width="10.875" style="1551" customWidth="1"/>
    <col min="7893" max="7893" width="9.875" style="1551" customWidth="1"/>
    <col min="7894" max="7894" width="10.875" style="1551" customWidth="1"/>
    <col min="7895" max="7895" width="9.875" style="1551" customWidth="1"/>
    <col min="7896" max="7896" width="10.875" style="1551" customWidth="1"/>
    <col min="7897" max="7897" width="9.875" style="1551" customWidth="1"/>
    <col min="7898" max="7898" width="10.875" style="1551" customWidth="1"/>
    <col min="7899" max="7899" width="9.875" style="1551" customWidth="1"/>
    <col min="7900" max="7900" width="10.875" style="1551" customWidth="1"/>
    <col min="7901" max="7901" width="9.875" style="1551" customWidth="1"/>
    <col min="7902" max="7902" width="12.375" style="1551" customWidth="1"/>
    <col min="7903" max="7903" width="9" style="1551" customWidth="1"/>
    <col min="7904" max="7904" width="15" style="1551" customWidth="1"/>
    <col min="7905" max="7905" width="10.5" style="1551" customWidth="1"/>
    <col min="7906" max="7906" width="12.375" style="1551" customWidth="1"/>
    <col min="7907" max="7907" width="9" style="1551" customWidth="1"/>
    <col min="7908" max="7908" width="15" style="1551" customWidth="1"/>
    <col min="7909" max="7909" width="10.5" style="1551" customWidth="1"/>
    <col min="7910" max="7910" width="9.375" style="1551" customWidth="1"/>
    <col min="7911" max="7913" width="7.875" style="1551" customWidth="1"/>
    <col min="7914" max="8141" width="9" style="1551"/>
    <col min="8142" max="8142" width="4.5" style="1551" customWidth="1"/>
    <col min="8143" max="8143" width="28.375" style="1551" customWidth="1"/>
    <col min="8144" max="8146" width="9" style="1551" customWidth="1"/>
    <col min="8147" max="8148" width="10.875" style="1551" customWidth="1"/>
    <col min="8149" max="8149" width="9.875" style="1551" customWidth="1"/>
    <col min="8150" max="8150" width="10.875" style="1551" customWidth="1"/>
    <col min="8151" max="8151" width="9.875" style="1551" customWidth="1"/>
    <col min="8152" max="8152" width="10.875" style="1551" customWidth="1"/>
    <col min="8153" max="8153" width="9.875" style="1551" customWidth="1"/>
    <col min="8154" max="8154" width="10.875" style="1551" customWidth="1"/>
    <col min="8155" max="8155" width="9.875" style="1551" customWidth="1"/>
    <col min="8156" max="8156" width="10.875" style="1551" customWidth="1"/>
    <col min="8157" max="8157" width="9.875" style="1551" customWidth="1"/>
    <col min="8158" max="8158" width="12.375" style="1551" customWidth="1"/>
    <col min="8159" max="8159" width="9" style="1551" customWidth="1"/>
    <col min="8160" max="8160" width="15" style="1551" customWidth="1"/>
    <col min="8161" max="8161" width="10.5" style="1551" customWidth="1"/>
    <col min="8162" max="8162" width="12.375" style="1551" customWidth="1"/>
    <col min="8163" max="8163" width="9" style="1551" customWidth="1"/>
    <col min="8164" max="8164" width="15" style="1551" customWidth="1"/>
    <col min="8165" max="8165" width="10.5" style="1551" customWidth="1"/>
    <col min="8166" max="8166" width="9.375" style="1551" customWidth="1"/>
    <col min="8167" max="8169" width="7.875" style="1551" customWidth="1"/>
    <col min="8170" max="8397" width="9" style="1551"/>
    <col min="8398" max="8398" width="4.5" style="1551" customWidth="1"/>
    <col min="8399" max="8399" width="28.375" style="1551" customWidth="1"/>
    <col min="8400" max="8402" width="9" style="1551" customWidth="1"/>
    <col min="8403" max="8404" width="10.875" style="1551" customWidth="1"/>
    <col min="8405" max="8405" width="9.875" style="1551" customWidth="1"/>
    <col min="8406" max="8406" width="10.875" style="1551" customWidth="1"/>
    <col min="8407" max="8407" width="9.875" style="1551" customWidth="1"/>
    <col min="8408" max="8408" width="10.875" style="1551" customWidth="1"/>
    <col min="8409" max="8409" width="9.875" style="1551" customWidth="1"/>
    <col min="8410" max="8410" width="10.875" style="1551" customWidth="1"/>
    <col min="8411" max="8411" width="9.875" style="1551" customWidth="1"/>
    <col min="8412" max="8412" width="10.875" style="1551" customWidth="1"/>
    <col min="8413" max="8413" width="9.875" style="1551" customWidth="1"/>
    <col min="8414" max="8414" width="12.375" style="1551" customWidth="1"/>
    <col min="8415" max="8415" width="9" style="1551" customWidth="1"/>
    <col min="8416" max="8416" width="15" style="1551" customWidth="1"/>
    <col min="8417" max="8417" width="10.5" style="1551" customWidth="1"/>
    <col min="8418" max="8418" width="12.375" style="1551" customWidth="1"/>
    <col min="8419" max="8419" width="9" style="1551" customWidth="1"/>
    <col min="8420" max="8420" width="15" style="1551" customWidth="1"/>
    <col min="8421" max="8421" width="10.5" style="1551" customWidth="1"/>
    <col min="8422" max="8422" width="9.375" style="1551" customWidth="1"/>
    <col min="8423" max="8425" width="7.875" style="1551" customWidth="1"/>
    <col min="8426" max="8653" width="9" style="1551"/>
    <col min="8654" max="8654" width="4.5" style="1551" customWidth="1"/>
    <col min="8655" max="8655" width="28.375" style="1551" customWidth="1"/>
    <col min="8656" max="8658" width="9" style="1551" customWidth="1"/>
    <col min="8659" max="8660" width="10.875" style="1551" customWidth="1"/>
    <col min="8661" max="8661" width="9.875" style="1551" customWidth="1"/>
    <col min="8662" max="8662" width="10.875" style="1551" customWidth="1"/>
    <col min="8663" max="8663" width="9.875" style="1551" customWidth="1"/>
    <col min="8664" max="8664" width="10.875" style="1551" customWidth="1"/>
    <col min="8665" max="8665" width="9.875" style="1551" customWidth="1"/>
    <col min="8666" max="8666" width="10.875" style="1551" customWidth="1"/>
    <col min="8667" max="8667" width="9.875" style="1551" customWidth="1"/>
    <col min="8668" max="8668" width="10.875" style="1551" customWidth="1"/>
    <col min="8669" max="8669" width="9.875" style="1551" customWidth="1"/>
    <col min="8670" max="8670" width="12.375" style="1551" customWidth="1"/>
    <col min="8671" max="8671" width="9" style="1551" customWidth="1"/>
    <col min="8672" max="8672" width="15" style="1551" customWidth="1"/>
    <col min="8673" max="8673" width="10.5" style="1551" customWidth="1"/>
    <col min="8674" max="8674" width="12.375" style="1551" customWidth="1"/>
    <col min="8675" max="8675" width="9" style="1551" customWidth="1"/>
    <col min="8676" max="8676" width="15" style="1551" customWidth="1"/>
    <col min="8677" max="8677" width="10.5" style="1551" customWidth="1"/>
    <col min="8678" max="8678" width="9.375" style="1551" customWidth="1"/>
    <col min="8679" max="8681" width="7.875" style="1551" customWidth="1"/>
    <col min="8682" max="8909" width="9" style="1551"/>
    <col min="8910" max="8910" width="4.5" style="1551" customWidth="1"/>
    <col min="8911" max="8911" width="28.375" style="1551" customWidth="1"/>
    <col min="8912" max="8914" width="9" style="1551" customWidth="1"/>
    <col min="8915" max="8916" width="10.875" style="1551" customWidth="1"/>
    <col min="8917" max="8917" width="9.875" style="1551" customWidth="1"/>
    <col min="8918" max="8918" width="10.875" style="1551" customWidth="1"/>
    <col min="8919" max="8919" width="9.875" style="1551" customWidth="1"/>
    <col min="8920" max="8920" width="10.875" style="1551" customWidth="1"/>
    <col min="8921" max="8921" width="9.875" style="1551" customWidth="1"/>
    <col min="8922" max="8922" width="10.875" style="1551" customWidth="1"/>
    <col min="8923" max="8923" width="9.875" style="1551" customWidth="1"/>
    <col min="8924" max="8924" width="10.875" style="1551" customWidth="1"/>
    <col min="8925" max="8925" width="9.875" style="1551" customWidth="1"/>
    <col min="8926" max="8926" width="12.375" style="1551" customWidth="1"/>
    <col min="8927" max="8927" width="9" style="1551" customWidth="1"/>
    <col min="8928" max="8928" width="15" style="1551" customWidth="1"/>
    <col min="8929" max="8929" width="10.5" style="1551" customWidth="1"/>
    <col min="8930" max="8930" width="12.375" style="1551" customWidth="1"/>
    <col min="8931" max="8931" width="9" style="1551" customWidth="1"/>
    <col min="8932" max="8932" width="15" style="1551" customWidth="1"/>
    <col min="8933" max="8933" width="10.5" style="1551" customWidth="1"/>
    <col min="8934" max="8934" width="9.375" style="1551" customWidth="1"/>
    <col min="8935" max="8937" width="7.875" style="1551" customWidth="1"/>
    <col min="8938" max="9165" width="9" style="1551"/>
    <col min="9166" max="9166" width="4.5" style="1551" customWidth="1"/>
    <col min="9167" max="9167" width="28.375" style="1551" customWidth="1"/>
    <col min="9168" max="9170" width="9" style="1551" customWidth="1"/>
    <col min="9171" max="9172" width="10.875" style="1551" customWidth="1"/>
    <col min="9173" max="9173" width="9.875" style="1551" customWidth="1"/>
    <col min="9174" max="9174" width="10.875" style="1551" customWidth="1"/>
    <col min="9175" max="9175" width="9.875" style="1551" customWidth="1"/>
    <col min="9176" max="9176" width="10.875" style="1551" customWidth="1"/>
    <col min="9177" max="9177" width="9.875" style="1551" customWidth="1"/>
    <col min="9178" max="9178" width="10.875" style="1551" customWidth="1"/>
    <col min="9179" max="9179" width="9.875" style="1551" customWidth="1"/>
    <col min="9180" max="9180" width="10.875" style="1551" customWidth="1"/>
    <col min="9181" max="9181" width="9.875" style="1551" customWidth="1"/>
    <col min="9182" max="9182" width="12.375" style="1551" customWidth="1"/>
    <col min="9183" max="9183" width="9" style="1551" customWidth="1"/>
    <col min="9184" max="9184" width="15" style="1551" customWidth="1"/>
    <col min="9185" max="9185" width="10.5" style="1551" customWidth="1"/>
    <col min="9186" max="9186" width="12.375" style="1551" customWidth="1"/>
    <col min="9187" max="9187" width="9" style="1551" customWidth="1"/>
    <col min="9188" max="9188" width="15" style="1551" customWidth="1"/>
    <col min="9189" max="9189" width="10.5" style="1551" customWidth="1"/>
    <col min="9190" max="9190" width="9.375" style="1551" customWidth="1"/>
    <col min="9191" max="9193" width="7.875" style="1551" customWidth="1"/>
    <col min="9194" max="9421" width="9" style="1551"/>
    <col min="9422" max="9422" width="4.5" style="1551" customWidth="1"/>
    <col min="9423" max="9423" width="28.375" style="1551" customWidth="1"/>
    <col min="9424" max="9426" width="9" style="1551" customWidth="1"/>
    <col min="9427" max="9428" width="10.875" style="1551" customWidth="1"/>
    <col min="9429" max="9429" width="9.875" style="1551" customWidth="1"/>
    <col min="9430" max="9430" width="10.875" style="1551" customWidth="1"/>
    <col min="9431" max="9431" width="9.875" style="1551" customWidth="1"/>
    <col min="9432" max="9432" width="10.875" style="1551" customWidth="1"/>
    <col min="9433" max="9433" width="9.875" style="1551" customWidth="1"/>
    <col min="9434" max="9434" width="10.875" style="1551" customWidth="1"/>
    <col min="9435" max="9435" width="9.875" style="1551" customWidth="1"/>
    <col min="9436" max="9436" width="10.875" style="1551" customWidth="1"/>
    <col min="9437" max="9437" width="9.875" style="1551" customWidth="1"/>
    <col min="9438" max="9438" width="12.375" style="1551" customWidth="1"/>
    <col min="9439" max="9439" width="9" style="1551" customWidth="1"/>
    <col min="9440" max="9440" width="15" style="1551" customWidth="1"/>
    <col min="9441" max="9441" width="10.5" style="1551" customWidth="1"/>
    <col min="9442" max="9442" width="12.375" style="1551" customWidth="1"/>
    <col min="9443" max="9443" width="9" style="1551" customWidth="1"/>
    <col min="9444" max="9444" width="15" style="1551" customWidth="1"/>
    <col min="9445" max="9445" width="10.5" style="1551" customWidth="1"/>
    <col min="9446" max="9446" width="9.375" style="1551" customWidth="1"/>
    <col min="9447" max="9449" width="7.875" style="1551" customWidth="1"/>
    <col min="9450" max="9677" width="9" style="1551"/>
    <col min="9678" max="9678" width="4.5" style="1551" customWidth="1"/>
    <col min="9679" max="9679" width="28.375" style="1551" customWidth="1"/>
    <col min="9680" max="9682" width="9" style="1551" customWidth="1"/>
    <col min="9683" max="9684" width="10.875" style="1551" customWidth="1"/>
    <col min="9685" max="9685" width="9.875" style="1551" customWidth="1"/>
    <col min="9686" max="9686" width="10.875" style="1551" customWidth="1"/>
    <col min="9687" max="9687" width="9.875" style="1551" customWidth="1"/>
    <col min="9688" max="9688" width="10.875" style="1551" customWidth="1"/>
    <col min="9689" max="9689" width="9.875" style="1551" customWidth="1"/>
    <col min="9690" max="9690" width="10.875" style="1551" customWidth="1"/>
    <col min="9691" max="9691" width="9.875" style="1551" customWidth="1"/>
    <col min="9692" max="9692" width="10.875" style="1551" customWidth="1"/>
    <col min="9693" max="9693" width="9.875" style="1551" customWidth="1"/>
    <col min="9694" max="9694" width="12.375" style="1551" customWidth="1"/>
    <col min="9695" max="9695" width="9" style="1551" customWidth="1"/>
    <col min="9696" max="9696" width="15" style="1551" customWidth="1"/>
    <col min="9697" max="9697" width="10.5" style="1551" customWidth="1"/>
    <col min="9698" max="9698" width="12.375" style="1551" customWidth="1"/>
    <col min="9699" max="9699" width="9" style="1551" customWidth="1"/>
    <col min="9700" max="9700" width="15" style="1551" customWidth="1"/>
    <col min="9701" max="9701" width="10.5" style="1551" customWidth="1"/>
    <col min="9702" max="9702" width="9.375" style="1551" customWidth="1"/>
    <col min="9703" max="9705" width="7.875" style="1551" customWidth="1"/>
    <col min="9706" max="9933" width="9" style="1551"/>
    <col min="9934" max="9934" width="4.5" style="1551" customWidth="1"/>
    <col min="9935" max="9935" width="28.375" style="1551" customWidth="1"/>
    <col min="9936" max="9938" width="9" style="1551" customWidth="1"/>
    <col min="9939" max="9940" width="10.875" style="1551" customWidth="1"/>
    <col min="9941" max="9941" width="9.875" style="1551" customWidth="1"/>
    <col min="9942" max="9942" width="10.875" style="1551" customWidth="1"/>
    <col min="9943" max="9943" width="9.875" style="1551" customWidth="1"/>
    <col min="9944" max="9944" width="10.875" style="1551" customWidth="1"/>
    <col min="9945" max="9945" width="9.875" style="1551" customWidth="1"/>
    <col min="9946" max="9946" width="10.875" style="1551" customWidth="1"/>
    <col min="9947" max="9947" width="9.875" style="1551" customWidth="1"/>
    <col min="9948" max="9948" width="10.875" style="1551" customWidth="1"/>
    <col min="9949" max="9949" width="9.875" style="1551" customWidth="1"/>
    <col min="9950" max="9950" width="12.375" style="1551" customWidth="1"/>
    <col min="9951" max="9951" width="9" style="1551" customWidth="1"/>
    <col min="9952" max="9952" width="15" style="1551" customWidth="1"/>
    <col min="9953" max="9953" width="10.5" style="1551" customWidth="1"/>
    <col min="9954" max="9954" width="12.375" style="1551" customWidth="1"/>
    <col min="9955" max="9955" width="9" style="1551" customWidth="1"/>
    <col min="9956" max="9956" width="15" style="1551" customWidth="1"/>
    <col min="9957" max="9957" width="10.5" style="1551" customWidth="1"/>
    <col min="9958" max="9958" width="9.375" style="1551" customWidth="1"/>
    <col min="9959" max="9961" width="7.875" style="1551" customWidth="1"/>
    <col min="9962" max="10189" width="9" style="1551"/>
    <col min="10190" max="10190" width="4.5" style="1551" customWidth="1"/>
    <col min="10191" max="10191" width="28.375" style="1551" customWidth="1"/>
    <col min="10192" max="10194" width="9" style="1551" customWidth="1"/>
    <col min="10195" max="10196" width="10.875" style="1551" customWidth="1"/>
    <col min="10197" max="10197" width="9.875" style="1551" customWidth="1"/>
    <col min="10198" max="10198" width="10.875" style="1551" customWidth="1"/>
    <col min="10199" max="10199" width="9.875" style="1551" customWidth="1"/>
    <col min="10200" max="10200" width="10.875" style="1551" customWidth="1"/>
    <col min="10201" max="10201" width="9.875" style="1551" customWidth="1"/>
    <col min="10202" max="10202" width="10.875" style="1551" customWidth="1"/>
    <col min="10203" max="10203" width="9.875" style="1551" customWidth="1"/>
    <col min="10204" max="10204" width="10.875" style="1551" customWidth="1"/>
    <col min="10205" max="10205" width="9.875" style="1551" customWidth="1"/>
    <col min="10206" max="10206" width="12.375" style="1551" customWidth="1"/>
    <col min="10207" max="10207" width="9" style="1551" customWidth="1"/>
    <col min="10208" max="10208" width="15" style="1551" customWidth="1"/>
    <col min="10209" max="10209" width="10.5" style="1551" customWidth="1"/>
    <col min="10210" max="10210" width="12.375" style="1551" customWidth="1"/>
    <col min="10211" max="10211" width="9" style="1551" customWidth="1"/>
    <col min="10212" max="10212" width="15" style="1551" customWidth="1"/>
    <col min="10213" max="10213" width="10.5" style="1551" customWidth="1"/>
    <col min="10214" max="10214" width="9.375" style="1551" customWidth="1"/>
    <col min="10215" max="10217" width="7.875" style="1551" customWidth="1"/>
    <col min="10218" max="10445" width="9" style="1551"/>
    <col min="10446" max="10446" width="4.5" style="1551" customWidth="1"/>
    <col min="10447" max="10447" width="28.375" style="1551" customWidth="1"/>
    <col min="10448" max="10450" width="9" style="1551" customWidth="1"/>
    <col min="10451" max="10452" width="10.875" style="1551" customWidth="1"/>
    <col min="10453" max="10453" width="9.875" style="1551" customWidth="1"/>
    <col min="10454" max="10454" width="10.875" style="1551" customWidth="1"/>
    <col min="10455" max="10455" width="9.875" style="1551" customWidth="1"/>
    <col min="10456" max="10456" width="10.875" style="1551" customWidth="1"/>
    <col min="10457" max="10457" width="9.875" style="1551" customWidth="1"/>
    <col min="10458" max="10458" width="10.875" style="1551" customWidth="1"/>
    <col min="10459" max="10459" width="9.875" style="1551" customWidth="1"/>
    <col min="10460" max="10460" width="10.875" style="1551" customWidth="1"/>
    <col min="10461" max="10461" width="9.875" style="1551" customWidth="1"/>
    <col min="10462" max="10462" width="12.375" style="1551" customWidth="1"/>
    <col min="10463" max="10463" width="9" style="1551" customWidth="1"/>
    <col min="10464" max="10464" width="15" style="1551" customWidth="1"/>
    <col min="10465" max="10465" width="10.5" style="1551" customWidth="1"/>
    <col min="10466" max="10466" width="12.375" style="1551" customWidth="1"/>
    <col min="10467" max="10467" width="9" style="1551" customWidth="1"/>
    <col min="10468" max="10468" width="15" style="1551" customWidth="1"/>
    <col min="10469" max="10469" width="10.5" style="1551" customWidth="1"/>
    <col min="10470" max="10470" width="9.375" style="1551" customWidth="1"/>
    <col min="10471" max="10473" width="7.875" style="1551" customWidth="1"/>
    <col min="10474" max="10701" width="9" style="1551"/>
    <col min="10702" max="10702" width="4.5" style="1551" customWidth="1"/>
    <col min="10703" max="10703" width="28.375" style="1551" customWidth="1"/>
    <col min="10704" max="10706" width="9" style="1551" customWidth="1"/>
    <col min="10707" max="10708" width="10.875" style="1551" customWidth="1"/>
    <col min="10709" max="10709" width="9.875" style="1551" customWidth="1"/>
    <col min="10710" max="10710" width="10.875" style="1551" customWidth="1"/>
    <col min="10711" max="10711" width="9.875" style="1551" customWidth="1"/>
    <col min="10712" max="10712" width="10.875" style="1551" customWidth="1"/>
    <col min="10713" max="10713" width="9.875" style="1551" customWidth="1"/>
    <col min="10714" max="10714" width="10.875" style="1551" customWidth="1"/>
    <col min="10715" max="10715" width="9.875" style="1551" customWidth="1"/>
    <col min="10716" max="10716" width="10.875" style="1551" customWidth="1"/>
    <col min="10717" max="10717" width="9.875" style="1551" customWidth="1"/>
    <col min="10718" max="10718" width="12.375" style="1551" customWidth="1"/>
    <col min="10719" max="10719" width="9" style="1551" customWidth="1"/>
    <col min="10720" max="10720" width="15" style="1551" customWidth="1"/>
    <col min="10721" max="10721" width="10.5" style="1551" customWidth="1"/>
    <col min="10722" max="10722" width="12.375" style="1551" customWidth="1"/>
    <col min="10723" max="10723" width="9" style="1551" customWidth="1"/>
    <col min="10724" max="10724" width="15" style="1551" customWidth="1"/>
    <col min="10725" max="10725" width="10.5" style="1551" customWidth="1"/>
    <col min="10726" max="10726" width="9.375" style="1551" customWidth="1"/>
    <col min="10727" max="10729" width="7.875" style="1551" customWidth="1"/>
    <col min="10730" max="10957" width="9" style="1551"/>
    <col min="10958" max="10958" width="4.5" style="1551" customWidth="1"/>
    <col min="10959" max="10959" width="28.375" style="1551" customWidth="1"/>
    <col min="10960" max="10962" width="9" style="1551" customWidth="1"/>
    <col min="10963" max="10964" width="10.875" style="1551" customWidth="1"/>
    <col min="10965" max="10965" width="9.875" style="1551" customWidth="1"/>
    <col min="10966" max="10966" width="10.875" style="1551" customWidth="1"/>
    <col min="10967" max="10967" width="9.875" style="1551" customWidth="1"/>
    <col min="10968" max="10968" width="10.875" style="1551" customWidth="1"/>
    <col min="10969" max="10969" width="9.875" style="1551" customWidth="1"/>
    <col min="10970" max="10970" width="10.875" style="1551" customWidth="1"/>
    <col min="10971" max="10971" width="9.875" style="1551" customWidth="1"/>
    <col min="10972" max="10972" width="10.875" style="1551" customWidth="1"/>
    <col min="10973" max="10973" width="9.875" style="1551" customWidth="1"/>
    <col min="10974" max="10974" width="12.375" style="1551" customWidth="1"/>
    <col min="10975" max="10975" width="9" style="1551" customWidth="1"/>
    <col min="10976" max="10976" width="15" style="1551" customWidth="1"/>
    <col min="10977" max="10977" width="10.5" style="1551" customWidth="1"/>
    <col min="10978" max="10978" width="12.375" style="1551" customWidth="1"/>
    <col min="10979" max="10979" width="9" style="1551" customWidth="1"/>
    <col min="10980" max="10980" width="15" style="1551" customWidth="1"/>
    <col min="10981" max="10981" width="10.5" style="1551" customWidth="1"/>
    <col min="10982" max="10982" width="9.375" style="1551" customWidth="1"/>
    <col min="10983" max="10985" width="7.875" style="1551" customWidth="1"/>
    <col min="10986" max="11213" width="9" style="1551"/>
    <col min="11214" max="11214" width="4.5" style="1551" customWidth="1"/>
    <col min="11215" max="11215" width="28.375" style="1551" customWidth="1"/>
    <col min="11216" max="11218" width="9" style="1551" customWidth="1"/>
    <col min="11219" max="11220" width="10.875" style="1551" customWidth="1"/>
    <col min="11221" max="11221" width="9.875" style="1551" customWidth="1"/>
    <col min="11222" max="11222" width="10.875" style="1551" customWidth="1"/>
    <col min="11223" max="11223" width="9.875" style="1551" customWidth="1"/>
    <col min="11224" max="11224" width="10.875" style="1551" customWidth="1"/>
    <col min="11225" max="11225" width="9.875" style="1551" customWidth="1"/>
    <col min="11226" max="11226" width="10.875" style="1551" customWidth="1"/>
    <col min="11227" max="11227" width="9.875" style="1551" customWidth="1"/>
    <col min="11228" max="11228" width="10.875" style="1551" customWidth="1"/>
    <col min="11229" max="11229" width="9.875" style="1551" customWidth="1"/>
    <col min="11230" max="11230" width="12.375" style="1551" customWidth="1"/>
    <col min="11231" max="11231" width="9" style="1551" customWidth="1"/>
    <col min="11232" max="11232" width="15" style="1551" customWidth="1"/>
    <col min="11233" max="11233" width="10.5" style="1551" customWidth="1"/>
    <col min="11234" max="11234" width="12.375" style="1551" customWidth="1"/>
    <col min="11235" max="11235" width="9" style="1551" customWidth="1"/>
    <col min="11236" max="11236" width="15" style="1551" customWidth="1"/>
    <col min="11237" max="11237" width="10.5" style="1551" customWidth="1"/>
    <col min="11238" max="11238" width="9.375" style="1551" customWidth="1"/>
    <col min="11239" max="11241" width="7.875" style="1551" customWidth="1"/>
    <col min="11242" max="11469" width="9" style="1551"/>
    <col min="11470" max="11470" width="4.5" style="1551" customWidth="1"/>
    <col min="11471" max="11471" width="28.375" style="1551" customWidth="1"/>
    <col min="11472" max="11474" width="9" style="1551" customWidth="1"/>
    <col min="11475" max="11476" width="10.875" style="1551" customWidth="1"/>
    <col min="11477" max="11477" width="9.875" style="1551" customWidth="1"/>
    <col min="11478" max="11478" width="10.875" style="1551" customWidth="1"/>
    <col min="11479" max="11479" width="9.875" style="1551" customWidth="1"/>
    <col min="11480" max="11480" width="10.875" style="1551" customWidth="1"/>
    <col min="11481" max="11481" width="9.875" style="1551" customWidth="1"/>
    <col min="11482" max="11482" width="10.875" style="1551" customWidth="1"/>
    <col min="11483" max="11483" width="9.875" style="1551" customWidth="1"/>
    <col min="11484" max="11484" width="10.875" style="1551" customWidth="1"/>
    <col min="11485" max="11485" width="9.875" style="1551" customWidth="1"/>
    <col min="11486" max="11486" width="12.375" style="1551" customWidth="1"/>
    <col min="11487" max="11487" width="9" style="1551" customWidth="1"/>
    <col min="11488" max="11488" width="15" style="1551" customWidth="1"/>
    <col min="11489" max="11489" width="10.5" style="1551" customWidth="1"/>
    <col min="11490" max="11490" width="12.375" style="1551" customWidth="1"/>
    <col min="11491" max="11491" width="9" style="1551" customWidth="1"/>
    <col min="11492" max="11492" width="15" style="1551" customWidth="1"/>
    <col min="11493" max="11493" width="10.5" style="1551" customWidth="1"/>
    <col min="11494" max="11494" width="9.375" style="1551" customWidth="1"/>
    <col min="11495" max="11497" width="7.875" style="1551" customWidth="1"/>
    <col min="11498" max="11725" width="9" style="1551"/>
    <col min="11726" max="11726" width="4.5" style="1551" customWidth="1"/>
    <col min="11727" max="11727" width="28.375" style="1551" customWidth="1"/>
    <col min="11728" max="11730" width="9" style="1551" customWidth="1"/>
    <col min="11731" max="11732" width="10.875" style="1551" customWidth="1"/>
    <col min="11733" max="11733" width="9.875" style="1551" customWidth="1"/>
    <col min="11734" max="11734" width="10.875" style="1551" customWidth="1"/>
    <col min="11735" max="11735" width="9.875" style="1551" customWidth="1"/>
    <col min="11736" max="11736" width="10.875" style="1551" customWidth="1"/>
    <col min="11737" max="11737" width="9.875" style="1551" customWidth="1"/>
    <col min="11738" max="11738" width="10.875" style="1551" customWidth="1"/>
    <col min="11739" max="11739" width="9.875" style="1551" customWidth="1"/>
    <col min="11740" max="11740" width="10.875" style="1551" customWidth="1"/>
    <col min="11741" max="11741" width="9.875" style="1551" customWidth="1"/>
    <col min="11742" max="11742" width="12.375" style="1551" customWidth="1"/>
    <col min="11743" max="11743" width="9" style="1551" customWidth="1"/>
    <col min="11744" max="11744" width="15" style="1551" customWidth="1"/>
    <col min="11745" max="11745" width="10.5" style="1551" customWidth="1"/>
    <col min="11746" max="11746" width="12.375" style="1551" customWidth="1"/>
    <col min="11747" max="11747" width="9" style="1551" customWidth="1"/>
    <col min="11748" max="11748" width="15" style="1551" customWidth="1"/>
    <col min="11749" max="11749" width="10.5" style="1551" customWidth="1"/>
    <col min="11750" max="11750" width="9.375" style="1551" customWidth="1"/>
    <col min="11751" max="11753" width="7.875" style="1551" customWidth="1"/>
    <col min="11754" max="11981" width="9" style="1551"/>
    <col min="11982" max="11982" width="4.5" style="1551" customWidth="1"/>
    <col min="11983" max="11983" width="28.375" style="1551" customWidth="1"/>
    <col min="11984" max="11986" width="9" style="1551" customWidth="1"/>
    <col min="11987" max="11988" width="10.875" style="1551" customWidth="1"/>
    <col min="11989" max="11989" width="9.875" style="1551" customWidth="1"/>
    <col min="11990" max="11990" width="10.875" style="1551" customWidth="1"/>
    <col min="11991" max="11991" width="9.875" style="1551" customWidth="1"/>
    <col min="11992" max="11992" width="10.875" style="1551" customWidth="1"/>
    <col min="11993" max="11993" width="9.875" style="1551" customWidth="1"/>
    <col min="11994" max="11994" width="10.875" style="1551" customWidth="1"/>
    <col min="11995" max="11995" width="9.875" style="1551" customWidth="1"/>
    <col min="11996" max="11996" width="10.875" style="1551" customWidth="1"/>
    <col min="11997" max="11997" width="9.875" style="1551" customWidth="1"/>
    <col min="11998" max="11998" width="12.375" style="1551" customWidth="1"/>
    <col min="11999" max="11999" width="9" style="1551" customWidth="1"/>
    <col min="12000" max="12000" width="15" style="1551" customWidth="1"/>
    <col min="12001" max="12001" width="10.5" style="1551" customWidth="1"/>
    <col min="12002" max="12002" width="12.375" style="1551" customWidth="1"/>
    <col min="12003" max="12003" width="9" style="1551" customWidth="1"/>
    <col min="12004" max="12004" width="15" style="1551" customWidth="1"/>
    <col min="12005" max="12005" width="10.5" style="1551" customWidth="1"/>
    <col min="12006" max="12006" width="9.375" style="1551" customWidth="1"/>
    <col min="12007" max="12009" width="7.875" style="1551" customWidth="1"/>
    <col min="12010" max="12237" width="9" style="1551"/>
    <col min="12238" max="12238" width="4.5" style="1551" customWidth="1"/>
    <col min="12239" max="12239" width="28.375" style="1551" customWidth="1"/>
    <col min="12240" max="12242" width="9" style="1551" customWidth="1"/>
    <col min="12243" max="12244" width="10.875" style="1551" customWidth="1"/>
    <col min="12245" max="12245" width="9.875" style="1551" customWidth="1"/>
    <col min="12246" max="12246" width="10.875" style="1551" customWidth="1"/>
    <col min="12247" max="12247" width="9.875" style="1551" customWidth="1"/>
    <col min="12248" max="12248" width="10.875" style="1551" customWidth="1"/>
    <col min="12249" max="12249" width="9.875" style="1551" customWidth="1"/>
    <col min="12250" max="12250" width="10.875" style="1551" customWidth="1"/>
    <col min="12251" max="12251" width="9.875" style="1551" customWidth="1"/>
    <col min="12252" max="12252" width="10.875" style="1551" customWidth="1"/>
    <col min="12253" max="12253" width="9.875" style="1551" customWidth="1"/>
    <col min="12254" max="12254" width="12.375" style="1551" customWidth="1"/>
    <col min="12255" max="12255" width="9" style="1551" customWidth="1"/>
    <col min="12256" max="12256" width="15" style="1551" customWidth="1"/>
    <col min="12257" max="12257" width="10.5" style="1551" customWidth="1"/>
    <col min="12258" max="12258" width="12.375" style="1551" customWidth="1"/>
    <col min="12259" max="12259" width="9" style="1551" customWidth="1"/>
    <col min="12260" max="12260" width="15" style="1551" customWidth="1"/>
    <col min="12261" max="12261" width="10.5" style="1551" customWidth="1"/>
    <col min="12262" max="12262" width="9.375" style="1551" customWidth="1"/>
    <col min="12263" max="12265" width="7.875" style="1551" customWidth="1"/>
    <col min="12266" max="12493" width="9" style="1551"/>
    <col min="12494" max="12494" width="4.5" style="1551" customWidth="1"/>
    <col min="12495" max="12495" width="28.375" style="1551" customWidth="1"/>
    <col min="12496" max="12498" width="9" style="1551" customWidth="1"/>
    <col min="12499" max="12500" width="10.875" style="1551" customWidth="1"/>
    <col min="12501" max="12501" width="9.875" style="1551" customWidth="1"/>
    <col min="12502" max="12502" width="10.875" style="1551" customWidth="1"/>
    <col min="12503" max="12503" width="9.875" style="1551" customWidth="1"/>
    <col min="12504" max="12504" width="10.875" style="1551" customWidth="1"/>
    <col min="12505" max="12505" width="9.875" style="1551" customWidth="1"/>
    <col min="12506" max="12506" width="10.875" style="1551" customWidth="1"/>
    <col min="12507" max="12507" width="9.875" style="1551" customWidth="1"/>
    <col min="12508" max="12508" width="10.875" style="1551" customWidth="1"/>
    <col min="12509" max="12509" width="9.875" style="1551" customWidth="1"/>
    <col min="12510" max="12510" width="12.375" style="1551" customWidth="1"/>
    <col min="12511" max="12511" width="9" style="1551" customWidth="1"/>
    <col min="12512" max="12512" width="15" style="1551" customWidth="1"/>
    <col min="12513" max="12513" width="10.5" style="1551" customWidth="1"/>
    <col min="12514" max="12514" width="12.375" style="1551" customWidth="1"/>
    <col min="12515" max="12515" width="9" style="1551" customWidth="1"/>
    <col min="12516" max="12516" width="15" style="1551" customWidth="1"/>
    <col min="12517" max="12517" width="10.5" style="1551" customWidth="1"/>
    <col min="12518" max="12518" width="9.375" style="1551" customWidth="1"/>
    <col min="12519" max="12521" width="7.875" style="1551" customWidth="1"/>
    <col min="12522" max="12749" width="9" style="1551"/>
    <col min="12750" max="12750" width="4.5" style="1551" customWidth="1"/>
    <col min="12751" max="12751" width="28.375" style="1551" customWidth="1"/>
    <col min="12752" max="12754" width="9" style="1551" customWidth="1"/>
    <col min="12755" max="12756" width="10.875" style="1551" customWidth="1"/>
    <col min="12757" max="12757" width="9.875" style="1551" customWidth="1"/>
    <col min="12758" max="12758" width="10.875" style="1551" customWidth="1"/>
    <col min="12759" max="12759" width="9.875" style="1551" customWidth="1"/>
    <col min="12760" max="12760" width="10.875" style="1551" customWidth="1"/>
    <col min="12761" max="12761" width="9.875" style="1551" customWidth="1"/>
    <col min="12762" max="12762" width="10.875" style="1551" customWidth="1"/>
    <col min="12763" max="12763" width="9.875" style="1551" customWidth="1"/>
    <col min="12764" max="12764" width="10.875" style="1551" customWidth="1"/>
    <col min="12765" max="12765" width="9.875" style="1551" customWidth="1"/>
    <col min="12766" max="12766" width="12.375" style="1551" customWidth="1"/>
    <col min="12767" max="12767" width="9" style="1551" customWidth="1"/>
    <col min="12768" max="12768" width="15" style="1551" customWidth="1"/>
    <col min="12769" max="12769" width="10.5" style="1551" customWidth="1"/>
    <col min="12770" max="12770" width="12.375" style="1551" customWidth="1"/>
    <col min="12771" max="12771" width="9" style="1551" customWidth="1"/>
    <col min="12772" max="12772" width="15" style="1551" customWidth="1"/>
    <col min="12773" max="12773" width="10.5" style="1551" customWidth="1"/>
    <col min="12774" max="12774" width="9.375" style="1551" customWidth="1"/>
    <col min="12775" max="12777" width="7.875" style="1551" customWidth="1"/>
    <col min="12778" max="13005" width="9" style="1551"/>
    <col min="13006" max="13006" width="4.5" style="1551" customWidth="1"/>
    <col min="13007" max="13007" width="28.375" style="1551" customWidth="1"/>
    <col min="13008" max="13010" width="9" style="1551" customWidth="1"/>
    <col min="13011" max="13012" width="10.875" style="1551" customWidth="1"/>
    <col min="13013" max="13013" width="9.875" style="1551" customWidth="1"/>
    <col min="13014" max="13014" width="10.875" style="1551" customWidth="1"/>
    <col min="13015" max="13015" width="9.875" style="1551" customWidth="1"/>
    <col min="13016" max="13016" width="10.875" style="1551" customWidth="1"/>
    <col min="13017" max="13017" width="9.875" style="1551" customWidth="1"/>
    <col min="13018" max="13018" width="10.875" style="1551" customWidth="1"/>
    <col min="13019" max="13019" width="9.875" style="1551" customWidth="1"/>
    <col min="13020" max="13020" width="10.875" style="1551" customWidth="1"/>
    <col min="13021" max="13021" width="9.875" style="1551" customWidth="1"/>
    <col min="13022" max="13022" width="12.375" style="1551" customWidth="1"/>
    <col min="13023" max="13023" width="9" style="1551" customWidth="1"/>
    <col min="13024" max="13024" width="15" style="1551" customWidth="1"/>
    <col min="13025" max="13025" width="10.5" style="1551" customWidth="1"/>
    <col min="13026" max="13026" width="12.375" style="1551" customWidth="1"/>
    <col min="13027" max="13027" width="9" style="1551" customWidth="1"/>
    <col min="13028" max="13028" width="15" style="1551" customWidth="1"/>
    <col min="13029" max="13029" width="10.5" style="1551" customWidth="1"/>
    <col min="13030" max="13030" width="9.375" style="1551" customWidth="1"/>
    <col min="13031" max="13033" width="7.875" style="1551" customWidth="1"/>
    <col min="13034" max="13261" width="9" style="1551"/>
    <col min="13262" max="13262" width="4.5" style="1551" customWidth="1"/>
    <col min="13263" max="13263" width="28.375" style="1551" customWidth="1"/>
    <col min="13264" max="13266" width="9" style="1551" customWidth="1"/>
    <col min="13267" max="13268" width="10.875" style="1551" customWidth="1"/>
    <col min="13269" max="13269" width="9.875" style="1551" customWidth="1"/>
    <col min="13270" max="13270" width="10.875" style="1551" customWidth="1"/>
    <col min="13271" max="13271" width="9.875" style="1551" customWidth="1"/>
    <col min="13272" max="13272" width="10.875" style="1551" customWidth="1"/>
    <col min="13273" max="13273" width="9.875" style="1551" customWidth="1"/>
    <col min="13274" max="13274" width="10.875" style="1551" customWidth="1"/>
    <col min="13275" max="13275" width="9.875" style="1551" customWidth="1"/>
    <col min="13276" max="13276" width="10.875" style="1551" customWidth="1"/>
    <col min="13277" max="13277" width="9.875" style="1551" customWidth="1"/>
    <col min="13278" max="13278" width="12.375" style="1551" customWidth="1"/>
    <col min="13279" max="13279" width="9" style="1551" customWidth="1"/>
    <col min="13280" max="13280" width="15" style="1551" customWidth="1"/>
    <col min="13281" max="13281" width="10.5" style="1551" customWidth="1"/>
    <col min="13282" max="13282" width="12.375" style="1551" customWidth="1"/>
    <col min="13283" max="13283" width="9" style="1551" customWidth="1"/>
    <col min="13284" max="13284" width="15" style="1551" customWidth="1"/>
    <col min="13285" max="13285" width="10.5" style="1551" customWidth="1"/>
    <col min="13286" max="13286" width="9.375" style="1551" customWidth="1"/>
    <col min="13287" max="13289" width="7.875" style="1551" customWidth="1"/>
    <col min="13290" max="13517" width="9" style="1551"/>
    <col min="13518" max="13518" width="4.5" style="1551" customWidth="1"/>
    <col min="13519" max="13519" width="28.375" style="1551" customWidth="1"/>
    <col min="13520" max="13522" width="9" style="1551" customWidth="1"/>
    <col min="13523" max="13524" width="10.875" style="1551" customWidth="1"/>
    <col min="13525" max="13525" width="9.875" style="1551" customWidth="1"/>
    <col min="13526" max="13526" width="10.875" style="1551" customWidth="1"/>
    <col min="13527" max="13527" width="9.875" style="1551" customWidth="1"/>
    <col min="13528" max="13528" width="10.875" style="1551" customWidth="1"/>
    <col min="13529" max="13529" width="9.875" style="1551" customWidth="1"/>
    <col min="13530" max="13530" width="10.875" style="1551" customWidth="1"/>
    <col min="13531" max="13531" width="9.875" style="1551" customWidth="1"/>
    <col min="13532" max="13532" width="10.875" style="1551" customWidth="1"/>
    <col min="13533" max="13533" width="9.875" style="1551" customWidth="1"/>
    <col min="13534" max="13534" width="12.375" style="1551" customWidth="1"/>
    <col min="13535" max="13535" width="9" style="1551" customWidth="1"/>
    <col min="13536" max="13536" width="15" style="1551" customWidth="1"/>
    <col min="13537" max="13537" width="10.5" style="1551" customWidth="1"/>
    <col min="13538" max="13538" width="12.375" style="1551" customWidth="1"/>
    <col min="13539" max="13539" width="9" style="1551" customWidth="1"/>
    <col min="13540" max="13540" width="15" style="1551" customWidth="1"/>
    <col min="13541" max="13541" width="10.5" style="1551" customWidth="1"/>
    <col min="13542" max="13542" width="9.375" style="1551" customWidth="1"/>
    <col min="13543" max="13545" width="7.875" style="1551" customWidth="1"/>
    <col min="13546" max="13773" width="9" style="1551"/>
    <col min="13774" max="13774" width="4.5" style="1551" customWidth="1"/>
    <col min="13775" max="13775" width="28.375" style="1551" customWidth="1"/>
    <col min="13776" max="13778" width="9" style="1551" customWidth="1"/>
    <col min="13779" max="13780" width="10.875" style="1551" customWidth="1"/>
    <col min="13781" max="13781" width="9.875" style="1551" customWidth="1"/>
    <col min="13782" max="13782" width="10.875" style="1551" customWidth="1"/>
    <col min="13783" max="13783" width="9.875" style="1551" customWidth="1"/>
    <col min="13784" max="13784" width="10.875" style="1551" customWidth="1"/>
    <col min="13785" max="13785" width="9.875" style="1551" customWidth="1"/>
    <col min="13786" max="13786" width="10.875" style="1551" customWidth="1"/>
    <col min="13787" max="13787" width="9.875" style="1551" customWidth="1"/>
    <col min="13788" max="13788" width="10.875" style="1551" customWidth="1"/>
    <col min="13789" max="13789" width="9.875" style="1551" customWidth="1"/>
    <col min="13790" max="13790" width="12.375" style="1551" customWidth="1"/>
    <col min="13791" max="13791" width="9" style="1551" customWidth="1"/>
    <col min="13792" max="13792" width="15" style="1551" customWidth="1"/>
    <col min="13793" max="13793" width="10.5" style="1551" customWidth="1"/>
    <col min="13794" max="13794" width="12.375" style="1551" customWidth="1"/>
    <col min="13795" max="13795" width="9" style="1551" customWidth="1"/>
    <col min="13796" max="13796" width="15" style="1551" customWidth="1"/>
    <col min="13797" max="13797" width="10.5" style="1551" customWidth="1"/>
    <col min="13798" max="13798" width="9.375" style="1551" customWidth="1"/>
    <col min="13799" max="13801" width="7.875" style="1551" customWidth="1"/>
    <col min="13802" max="14029" width="9" style="1551"/>
    <col min="14030" max="14030" width="4.5" style="1551" customWidth="1"/>
    <col min="14031" max="14031" width="28.375" style="1551" customWidth="1"/>
    <col min="14032" max="14034" width="9" style="1551" customWidth="1"/>
    <col min="14035" max="14036" width="10.875" style="1551" customWidth="1"/>
    <col min="14037" max="14037" width="9.875" style="1551" customWidth="1"/>
    <col min="14038" max="14038" width="10.875" style="1551" customWidth="1"/>
    <col min="14039" max="14039" width="9.875" style="1551" customWidth="1"/>
    <col min="14040" max="14040" width="10.875" style="1551" customWidth="1"/>
    <col min="14041" max="14041" width="9.875" style="1551" customWidth="1"/>
    <col min="14042" max="14042" width="10.875" style="1551" customWidth="1"/>
    <col min="14043" max="14043" width="9.875" style="1551" customWidth="1"/>
    <col min="14044" max="14044" width="10.875" style="1551" customWidth="1"/>
    <col min="14045" max="14045" width="9.875" style="1551" customWidth="1"/>
    <col min="14046" max="14046" width="12.375" style="1551" customWidth="1"/>
    <col min="14047" max="14047" width="9" style="1551" customWidth="1"/>
    <col min="14048" max="14048" width="15" style="1551" customWidth="1"/>
    <col min="14049" max="14049" width="10.5" style="1551" customWidth="1"/>
    <col min="14050" max="14050" width="12.375" style="1551" customWidth="1"/>
    <col min="14051" max="14051" width="9" style="1551" customWidth="1"/>
    <col min="14052" max="14052" width="15" style="1551" customWidth="1"/>
    <col min="14053" max="14053" width="10.5" style="1551" customWidth="1"/>
    <col min="14054" max="14054" width="9.375" style="1551" customWidth="1"/>
    <col min="14055" max="14057" width="7.875" style="1551" customWidth="1"/>
    <col min="14058" max="14285" width="9" style="1551"/>
    <col min="14286" max="14286" width="4.5" style="1551" customWidth="1"/>
    <col min="14287" max="14287" width="28.375" style="1551" customWidth="1"/>
    <col min="14288" max="14290" width="9" style="1551" customWidth="1"/>
    <col min="14291" max="14292" width="10.875" style="1551" customWidth="1"/>
    <col min="14293" max="14293" width="9.875" style="1551" customWidth="1"/>
    <col min="14294" max="14294" width="10.875" style="1551" customWidth="1"/>
    <col min="14295" max="14295" width="9.875" style="1551" customWidth="1"/>
    <col min="14296" max="14296" width="10.875" style="1551" customWidth="1"/>
    <col min="14297" max="14297" width="9.875" style="1551" customWidth="1"/>
    <col min="14298" max="14298" width="10.875" style="1551" customWidth="1"/>
    <col min="14299" max="14299" width="9.875" style="1551" customWidth="1"/>
    <col min="14300" max="14300" width="10.875" style="1551" customWidth="1"/>
    <col min="14301" max="14301" width="9.875" style="1551" customWidth="1"/>
    <col min="14302" max="14302" width="12.375" style="1551" customWidth="1"/>
    <col min="14303" max="14303" width="9" style="1551" customWidth="1"/>
    <col min="14304" max="14304" width="15" style="1551" customWidth="1"/>
    <col min="14305" max="14305" width="10.5" style="1551" customWidth="1"/>
    <col min="14306" max="14306" width="12.375" style="1551" customWidth="1"/>
    <col min="14307" max="14307" width="9" style="1551" customWidth="1"/>
    <col min="14308" max="14308" width="15" style="1551" customWidth="1"/>
    <col min="14309" max="14309" width="10.5" style="1551" customWidth="1"/>
    <col min="14310" max="14310" width="9.375" style="1551" customWidth="1"/>
    <col min="14311" max="14313" width="7.875" style="1551" customWidth="1"/>
    <col min="14314" max="14541" width="9" style="1551"/>
    <col min="14542" max="14542" width="4.5" style="1551" customWidth="1"/>
    <col min="14543" max="14543" width="28.375" style="1551" customWidth="1"/>
    <col min="14544" max="14546" width="9" style="1551" customWidth="1"/>
    <col min="14547" max="14548" width="10.875" style="1551" customWidth="1"/>
    <col min="14549" max="14549" width="9.875" style="1551" customWidth="1"/>
    <col min="14550" max="14550" width="10.875" style="1551" customWidth="1"/>
    <col min="14551" max="14551" width="9.875" style="1551" customWidth="1"/>
    <col min="14552" max="14552" width="10.875" style="1551" customWidth="1"/>
    <col min="14553" max="14553" width="9.875" style="1551" customWidth="1"/>
    <col min="14554" max="14554" width="10.875" style="1551" customWidth="1"/>
    <col min="14555" max="14555" width="9.875" style="1551" customWidth="1"/>
    <col min="14556" max="14556" width="10.875" style="1551" customWidth="1"/>
    <col min="14557" max="14557" width="9.875" style="1551" customWidth="1"/>
    <col min="14558" max="14558" width="12.375" style="1551" customWidth="1"/>
    <col min="14559" max="14559" width="9" style="1551" customWidth="1"/>
    <col min="14560" max="14560" width="15" style="1551" customWidth="1"/>
    <col min="14561" max="14561" width="10.5" style="1551" customWidth="1"/>
    <col min="14562" max="14562" width="12.375" style="1551" customWidth="1"/>
    <col min="14563" max="14563" width="9" style="1551" customWidth="1"/>
    <col min="14564" max="14564" width="15" style="1551" customWidth="1"/>
    <col min="14565" max="14565" width="10.5" style="1551" customWidth="1"/>
    <col min="14566" max="14566" width="9.375" style="1551" customWidth="1"/>
    <col min="14567" max="14569" width="7.875" style="1551" customWidth="1"/>
    <col min="14570" max="14797" width="9" style="1551"/>
    <col min="14798" max="14798" width="4.5" style="1551" customWidth="1"/>
    <col min="14799" max="14799" width="28.375" style="1551" customWidth="1"/>
    <col min="14800" max="14802" width="9" style="1551" customWidth="1"/>
    <col min="14803" max="14804" width="10.875" style="1551" customWidth="1"/>
    <col min="14805" max="14805" width="9.875" style="1551" customWidth="1"/>
    <col min="14806" max="14806" width="10.875" style="1551" customWidth="1"/>
    <col min="14807" max="14807" width="9.875" style="1551" customWidth="1"/>
    <col min="14808" max="14808" width="10.875" style="1551" customWidth="1"/>
    <col min="14809" max="14809" width="9.875" style="1551" customWidth="1"/>
    <col min="14810" max="14810" width="10.875" style="1551" customWidth="1"/>
    <col min="14811" max="14811" width="9.875" style="1551" customWidth="1"/>
    <col min="14812" max="14812" width="10.875" style="1551" customWidth="1"/>
    <col min="14813" max="14813" width="9.875" style="1551" customWidth="1"/>
    <col min="14814" max="14814" width="12.375" style="1551" customWidth="1"/>
    <col min="14815" max="14815" width="9" style="1551" customWidth="1"/>
    <col min="14816" max="14816" width="15" style="1551" customWidth="1"/>
    <col min="14817" max="14817" width="10.5" style="1551" customWidth="1"/>
    <col min="14818" max="14818" width="12.375" style="1551" customWidth="1"/>
    <col min="14819" max="14819" width="9" style="1551" customWidth="1"/>
    <col min="14820" max="14820" width="15" style="1551" customWidth="1"/>
    <col min="14821" max="14821" width="10.5" style="1551" customWidth="1"/>
    <col min="14822" max="14822" width="9.375" style="1551" customWidth="1"/>
    <col min="14823" max="14825" width="7.875" style="1551" customWidth="1"/>
    <col min="14826" max="16384" width="9" style="1551"/>
  </cols>
  <sheetData>
    <row r="1" spans="1:52" ht="16.5" x14ac:dyDescent="0.25">
      <c r="A1" s="2211" t="s">
        <v>1606</v>
      </c>
      <c r="B1" s="2211"/>
      <c r="C1" s="2211"/>
      <c r="D1" s="2211"/>
      <c r="E1" s="2211"/>
      <c r="F1" s="2211"/>
      <c r="G1" s="2211"/>
      <c r="H1" s="2211"/>
      <c r="I1" s="2211"/>
      <c r="J1" s="2211"/>
      <c r="K1" s="2211"/>
      <c r="L1" s="2211"/>
      <c r="M1" s="2211"/>
      <c r="N1" s="2211"/>
      <c r="O1" s="2211"/>
      <c r="P1" s="2211"/>
      <c r="Q1" s="2211"/>
      <c r="R1" s="2211"/>
      <c r="S1" s="2211"/>
      <c r="T1" s="2211"/>
      <c r="U1" s="2211"/>
      <c r="V1" s="2211"/>
      <c r="W1" s="2211"/>
      <c r="X1" s="2211"/>
      <c r="Y1" s="2211"/>
      <c r="Z1" s="2211"/>
      <c r="AA1" s="2211"/>
      <c r="AB1" s="2211"/>
      <c r="AC1" s="2211"/>
      <c r="AD1" s="2211"/>
      <c r="AE1" s="2211"/>
      <c r="AF1" s="2211"/>
      <c r="AG1" s="2211"/>
      <c r="AH1" s="2211"/>
      <c r="AI1" s="2211"/>
    </row>
    <row r="2" spans="1:52" ht="15.75" x14ac:dyDescent="0.25">
      <c r="A2" s="2212" t="e">
        <f>'Biểu 10DT TG thu'!A2:L2</f>
        <v>#REF!</v>
      </c>
      <c r="B2" s="2212"/>
      <c r="C2" s="2212"/>
      <c r="D2" s="2212"/>
      <c r="E2" s="2212"/>
      <c r="F2" s="2212"/>
      <c r="G2" s="2212"/>
      <c r="H2" s="2212"/>
      <c r="I2" s="2212"/>
      <c r="J2" s="2212"/>
      <c r="K2" s="2212"/>
      <c r="L2" s="2212"/>
      <c r="M2" s="2212"/>
      <c r="N2" s="2212"/>
      <c r="O2" s="2212"/>
      <c r="P2" s="2212"/>
      <c r="Q2" s="2212"/>
      <c r="R2" s="2212"/>
      <c r="S2" s="2212"/>
      <c r="T2" s="2212"/>
      <c r="U2" s="2212"/>
      <c r="V2" s="2212"/>
      <c r="W2" s="2212"/>
      <c r="X2" s="2212"/>
      <c r="Y2" s="2212"/>
      <c r="Z2" s="2212"/>
      <c r="AA2" s="2212"/>
      <c r="AB2" s="2212"/>
      <c r="AC2" s="2212"/>
      <c r="AD2" s="2212"/>
      <c r="AE2" s="2212"/>
      <c r="AF2" s="2212"/>
      <c r="AG2" s="2212"/>
      <c r="AH2" s="2212"/>
      <c r="AI2" s="2212"/>
    </row>
    <row r="3" spans="1:52" ht="15.75" x14ac:dyDescent="0.25">
      <c r="A3" s="2137" t="s">
        <v>6</v>
      </c>
      <c r="B3" s="2137"/>
      <c r="C3" s="2137"/>
      <c r="D3" s="2137"/>
      <c r="E3" s="2137"/>
      <c r="F3" s="2137"/>
      <c r="G3" s="2137"/>
      <c r="H3" s="2137"/>
      <c r="I3" s="2137"/>
      <c r="J3" s="2137"/>
      <c r="K3" s="2137"/>
      <c r="L3" s="2137"/>
      <c r="M3" s="2137"/>
      <c r="N3" s="2137"/>
      <c r="O3" s="2137"/>
      <c r="P3" s="2137"/>
      <c r="Q3" s="2137"/>
      <c r="R3" s="2137"/>
      <c r="S3" s="2137"/>
      <c r="T3" s="2137"/>
      <c r="U3" s="2137"/>
      <c r="V3" s="2137"/>
      <c r="W3" s="2137"/>
      <c r="X3" s="2137"/>
      <c r="Y3" s="2137"/>
      <c r="Z3" s="2137"/>
      <c r="AA3" s="2137"/>
      <c r="AB3" s="2137"/>
      <c r="AC3" s="2137"/>
      <c r="AD3" s="2137"/>
      <c r="AE3" s="2137"/>
      <c r="AF3" s="2137"/>
      <c r="AG3" s="2137"/>
      <c r="AH3" s="2137"/>
      <c r="AI3" s="2137"/>
      <c r="AJ3" s="1564">
        <v>15000</v>
      </c>
      <c r="AK3" s="1636"/>
      <c r="AL3" s="1636"/>
      <c r="AM3" s="1636"/>
      <c r="AN3" s="1636"/>
      <c r="AO3" s="1636"/>
      <c r="AP3" s="1636"/>
      <c r="AQ3" s="1636"/>
      <c r="AR3" s="1636"/>
      <c r="AS3" s="1636"/>
      <c r="AT3" s="1636"/>
      <c r="AU3" s="1636"/>
      <c r="AV3" s="1636"/>
      <c r="AW3" s="1636"/>
      <c r="AX3" s="1636"/>
      <c r="AY3" s="1636"/>
      <c r="AZ3" s="1636"/>
    </row>
    <row r="4" spans="1:52" s="1340" customFormat="1" ht="10.5" x14ac:dyDescent="0.25">
      <c r="A4" s="2194" t="s">
        <v>915</v>
      </c>
      <c r="B4" s="2194" t="s">
        <v>142</v>
      </c>
      <c r="C4" s="2194" t="s">
        <v>144</v>
      </c>
      <c r="D4" s="2194"/>
      <c r="E4" s="2194"/>
      <c r="F4" s="2201" t="s">
        <v>1184</v>
      </c>
      <c r="G4" s="2203"/>
      <c r="H4" s="2201" t="s">
        <v>1185</v>
      </c>
      <c r="I4" s="2202"/>
      <c r="J4" s="2202"/>
      <c r="K4" s="2203"/>
      <c r="L4" s="2201" t="s">
        <v>407</v>
      </c>
      <c r="M4" s="2202"/>
      <c r="N4" s="2202"/>
      <c r="O4" s="2203"/>
      <c r="P4" s="2201" t="s">
        <v>1382</v>
      </c>
      <c r="Q4" s="2202"/>
      <c r="R4" s="2202"/>
      <c r="S4" s="2203"/>
      <c r="T4" s="2201" t="s">
        <v>1608</v>
      </c>
      <c r="U4" s="2203"/>
      <c r="V4" s="2201" t="s">
        <v>1186</v>
      </c>
      <c r="W4" s="2202"/>
      <c r="X4" s="2202"/>
      <c r="Y4" s="2203"/>
      <c r="Z4" s="2194" t="s">
        <v>1609</v>
      </c>
      <c r="AA4" s="2194"/>
      <c r="AB4" s="2196" t="s">
        <v>1610</v>
      </c>
      <c r="AC4" s="2201" t="s">
        <v>1790</v>
      </c>
      <c r="AD4" s="2202"/>
      <c r="AE4" s="2202"/>
      <c r="AF4" s="2203"/>
      <c r="AG4" s="2196" t="s">
        <v>1791</v>
      </c>
      <c r="AH4" s="2196" t="s">
        <v>920</v>
      </c>
      <c r="AI4" s="2194" t="s">
        <v>623</v>
      </c>
      <c r="AJ4" s="1340">
        <v>8000</v>
      </c>
    </row>
    <row r="5" spans="1:52" s="1340" customFormat="1" ht="10.5" x14ac:dyDescent="0.25">
      <c r="A5" s="2194"/>
      <c r="B5" s="2194"/>
      <c r="C5" s="2194" t="s">
        <v>1187</v>
      </c>
      <c r="D5" s="2194" t="s">
        <v>1188</v>
      </c>
      <c r="E5" s="2194"/>
      <c r="F5" s="2207"/>
      <c r="G5" s="2208"/>
      <c r="H5" s="2204"/>
      <c r="I5" s="2205"/>
      <c r="J5" s="2205"/>
      <c r="K5" s="2206"/>
      <c r="L5" s="2204"/>
      <c r="M5" s="2205"/>
      <c r="N5" s="2205"/>
      <c r="O5" s="2206"/>
      <c r="P5" s="2204"/>
      <c r="Q5" s="2205"/>
      <c r="R5" s="2205"/>
      <c r="S5" s="2206"/>
      <c r="T5" s="2207"/>
      <c r="U5" s="2208"/>
      <c r="V5" s="2204"/>
      <c r="W5" s="2205"/>
      <c r="X5" s="2205"/>
      <c r="Y5" s="2206"/>
      <c r="Z5" s="2194"/>
      <c r="AA5" s="2194"/>
      <c r="AB5" s="2197"/>
      <c r="AC5" s="2204"/>
      <c r="AD5" s="2205"/>
      <c r="AE5" s="2205"/>
      <c r="AF5" s="2206"/>
      <c r="AG5" s="2197"/>
      <c r="AH5" s="2197"/>
      <c r="AI5" s="2194"/>
      <c r="AJ5" s="1340">
        <v>7000</v>
      </c>
    </row>
    <row r="6" spans="1:52" s="1340" customFormat="1" ht="10.5" x14ac:dyDescent="0.25">
      <c r="A6" s="2194"/>
      <c r="B6" s="2194"/>
      <c r="C6" s="2194"/>
      <c r="D6" s="2196" t="s">
        <v>145</v>
      </c>
      <c r="E6" s="2196" t="s">
        <v>1189</v>
      </c>
      <c r="F6" s="2204"/>
      <c r="G6" s="2206"/>
      <c r="H6" s="2194" t="s">
        <v>145</v>
      </c>
      <c r="I6" s="2194" t="s">
        <v>1189</v>
      </c>
      <c r="J6" s="2194"/>
      <c r="K6" s="2194"/>
      <c r="L6" s="2194" t="s">
        <v>145</v>
      </c>
      <c r="M6" s="2194" t="s">
        <v>1189</v>
      </c>
      <c r="N6" s="2194"/>
      <c r="O6" s="2194"/>
      <c r="P6" s="2194" t="s">
        <v>145</v>
      </c>
      <c r="Q6" s="2194" t="s">
        <v>1189</v>
      </c>
      <c r="R6" s="2194"/>
      <c r="S6" s="2194"/>
      <c r="T6" s="2204"/>
      <c r="U6" s="2206"/>
      <c r="V6" s="2194" t="s">
        <v>145</v>
      </c>
      <c r="W6" s="2194" t="s">
        <v>1189</v>
      </c>
      <c r="X6" s="2194"/>
      <c r="Y6" s="2194"/>
      <c r="Z6" s="2194" t="s">
        <v>61</v>
      </c>
      <c r="AA6" s="2194" t="s">
        <v>1189</v>
      </c>
      <c r="AB6" s="2197"/>
      <c r="AC6" s="2194" t="s">
        <v>145</v>
      </c>
      <c r="AD6" s="2194" t="s">
        <v>1189</v>
      </c>
      <c r="AE6" s="2194"/>
      <c r="AF6" s="2194"/>
      <c r="AG6" s="2197"/>
      <c r="AH6" s="2197"/>
      <c r="AI6" s="2194"/>
      <c r="AJ6" s="1340">
        <v>55000</v>
      </c>
    </row>
    <row r="7" spans="1:52" s="1340" customFormat="1" ht="10.5" x14ac:dyDescent="0.25">
      <c r="A7" s="2194"/>
      <c r="B7" s="2194"/>
      <c r="C7" s="2194"/>
      <c r="D7" s="2197"/>
      <c r="E7" s="2199"/>
      <c r="F7" s="2196" t="s">
        <v>145</v>
      </c>
      <c r="G7" s="2196" t="s">
        <v>1189</v>
      </c>
      <c r="H7" s="2194"/>
      <c r="I7" s="2194" t="s">
        <v>61</v>
      </c>
      <c r="J7" s="2209" t="s">
        <v>5</v>
      </c>
      <c r="K7" s="2210"/>
      <c r="L7" s="2194"/>
      <c r="M7" s="2194" t="s">
        <v>61</v>
      </c>
      <c r="N7" s="2195" t="s">
        <v>5</v>
      </c>
      <c r="O7" s="2195"/>
      <c r="P7" s="2194"/>
      <c r="Q7" s="2194" t="s">
        <v>61</v>
      </c>
      <c r="R7" s="2195" t="s">
        <v>5</v>
      </c>
      <c r="S7" s="2195"/>
      <c r="T7" s="2196" t="s">
        <v>145</v>
      </c>
      <c r="U7" s="2196" t="s">
        <v>1189</v>
      </c>
      <c r="V7" s="2194"/>
      <c r="W7" s="2194" t="s">
        <v>61</v>
      </c>
      <c r="X7" s="2195" t="s">
        <v>5</v>
      </c>
      <c r="Y7" s="2195"/>
      <c r="Z7" s="2194"/>
      <c r="AA7" s="2194"/>
      <c r="AB7" s="2197"/>
      <c r="AC7" s="2194"/>
      <c r="AD7" s="2194" t="s">
        <v>61</v>
      </c>
      <c r="AE7" s="2195" t="s">
        <v>5</v>
      </c>
      <c r="AF7" s="2195"/>
      <c r="AG7" s="2197"/>
      <c r="AH7" s="2197"/>
      <c r="AI7" s="2194"/>
      <c r="AJ7" s="1340" t="e">
        <f>#REF!-AJ3-AJ4-AJ5-AJ6</f>
        <v>#REF!</v>
      </c>
    </row>
    <row r="8" spans="1:52" s="1340" customFormat="1" ht="67.5" customHeight="1" x14ac:dyDescent="0.25">
      <c r="A8" s="2194"/>
      <c r="B8" s="2194"/>
      <c r="C8" s="2194"/>
      <c r="D8" s="2198"/>
      <c r="E8" s="2200"/>
      <c r="F8" s="2198"/>
      <c r="G8" s="2198"/>
      <c r="H8" s="2194"/>
      <c r="I8" s="2194"/>
      <c r="J8" s="1690" t="s">
        <v>1190</v>
      </c>
      <c r="K8" s="1690" t="s">
        <v>2355</v>
      </c>
      <c r="L8" s="2194"/>
      <c r="M8" s="2194"/>
      <c r="N8" s="1690" t="s">
        <v>1190</v>
      </c>
      <c r="O8" s="1690" t="s">
        <v>2355</v>
      </c>
      <c r="P8" s="2194"/>
      <c r="Q8" s="2194"/>
      <c r="R8" s="1690" t="s">
        <v>1190</v>
      </c>
      <c r="S8" s="1690" t="s">
        <v>2355</v>
      </c>
      <c r="T8" s="2198"/>
      <c r="U8" s="2198"/>
      <c r="V8" s="2194"/>
      <c r="W8" s="2194"/>
      <c r="X8" s="1690" t="s">
        <v>1190</v>
      </c>
      <c r="Y8" s="1753" t="s">
        <v>2355</v>
      </c>
      <c r="Z8" s="2194"/>
      <c r="AA8" s="2194"/>
      <c r="AB8" s="2198"/>
      <c r="AC8" s="2194"/>
      <c r="AD8" s="2194"/>
      <c r="AE8" s="1690" t="s">
        <v>1190</v>
      </c>
      <c r="AF8" s="1753" t="s">
        <v>2355</v>
      </c>
      <c r="AG8" s="2198"/>
      <c r="AH8" s="2198"/>
      <c r="AI8" s="2194"/>
      <c r="AJ8" s="1413" t="e">
        <f>AJ7*0.7</f>
        <v>#REF!</v>
      </c>
      <c r="AK8" s="1340" t="e">
        <f>AJ7*0.3</f>
        <v>#REF!</v>
      </c>
    </row>
    <row r="9" spans="1:52" s="1337" customFormat="1" ht="10.5" x14ac:dyDescent="0.25">
      <c r="A9" s="1689">
        <v>1</v>
      </c>
      <c r="B9" s="1689">
        <f>A9+1</f>
        <v>2</v>
      </c>
      <c r="C9" s="1689">
        <v>3</v>
      </c>
      <c r="D9" s="1689">
        <v>4</v>
      </c>
      <c r="E9" s="1689">
        <v>5</v>
      </c>
      <c r="F9" s="1689">
        <v>6</v>
      </c>
      <c r="G9" s="1689">
        <v>7</v>
      </c>
      <c r="H9" s="1689">
        <v>8</v>
      </c>
      <c r="I9" s="1689">
        <v>9</v>
      </c>
      <c r="J9" s="1689">
        <v>10</v>
      </c>
      <c r="K9" s="1689">
        <v>11</v>
      </c>
      <c r="L9" s="1689">
        <v>12</v>
      </c>
      <c r="M9" s="1689">
        <v>13</v>
      </c>
      <c r="N9" s="1689">
        <v>14</v>
      </c>
      <c r="O9" s="1689">
        <v>15</v>
      </c>
      <c r="P9" s="1689">
        <v>16</v>
      </c>
      <c r="Q9" s="1689">
        <v>17</v>
      </c>
      <c r="R9" s="1689">
        <v>18</v>
      </c>
      <c r="S9" s="1689">
        <v>19</v>
      </c>
      <c r="T9" s="1689">
        <v>6</v>
      </c>
      <c r="U9" s="1689">
        <v>7</v>
      </c>
      <c r="V9" s="1689">
        <v>8</v>
      </c>
      <c r="W9" s="1689">
        <v>9</v>
      </c>
      <c r="X9" s="1689">
        <v>10</v>
      </c>
      <c r="Y9" s="1689">
        <v>10</v>
      </c>
      <c r="Z9" s="1689">
        <v>11</v>
      </c>
      <c r="AA9" s="1689">
        <v>12</v>
      </c>
      <c r="AB9" s="1689">
        <v>28</v>
      </c>
      <c r="AC9" s="1689">
        <v>13</v>
      </c>
      <c r="AD9" s="1689">
        <v>14</v>
      </c>
      <c r="AE9" s="1689">
        <v>15</v>
      </c>
      <c r="AF9" s="1689">
        <v>15</v>
      </c>
      <c r="AG9" s="1689">
        <v>16</v>
      </c>
      <c r="AH9" s="1689">
        <v>17</v>
      </c>
      <c r="AI9" s="1689">
        <v>18</v>
      </c>
      <c r="AJ9" s="1335"/>
    </row>
    <row r="10" spans="1:52" s="1663" customFormat="1" ht="15.75" customHeight="1" x14ac:dyDescent="0.25">
      <c r="A10" s="1660"/>
      <c r="B10" s="1660" t="s">
        <v>651</v>
      </c>
      <c r="C10" s="1660"/>
      <c r="D10" s="1661">
        <f>D11+D338+D351+D354</f>
        <v>7884439.1639700001</v>
      </c>
      <c r="E10" s="1661">
        <f>E11+E338+E351+E354</f>
        <v>2874475.383078</v>
      </c>
      <c r="F10" s="1661">
        <f t="shared" ref="F10:AF10" si="0">F11+F329+F338+F363+F373</f>
        <v>4381782.7860000003</v>
      </c>
      <c r="G10" s="1661">
        <f t="shared" si="0"/>
        <v>917274.36199999996</v>
      </c>
      <c r="H10" s="1661">
        <f t="shared" si="0"/>
        <v>725145.48</v>
      </c>
      <c r="I10" s="1661">
        <f t="shared" si="0"/>
        <v>363900.48</v>
      </c>
      <c r="J10" s="1661">
        <f t="shared" si="0"/>
        <v>21500</v>
      </c>
      <c r="K10" s="1661">
        <f t="shared" si="0"/>
        <v>93192</v>
      </c>
      <c r="L10" s="1661">
        <f t="shared" si="0"/>
        <v>425274.2</v>
      </c>
      <c r="M10" s="1661">
        <f t="shared" si="0"/>
        <v>243590.2</v>
      </c>
      <c r="N10" s="1661">
        <f t="shared" si="0"/>
        <v>0</v>
      </c>
      <c r="O10" s="1661">
        <f t="shared" si="0"/>
        <v>48866</v>
      </c>
      <c r="P10" s="1661">
        <f t="shared" si="0"/>
        <v>368528.27018300002</v>
      </c>
      <c r="Q10" s="1661">
        <f t="shared" si="0"/>
        <v>368528.27018300002</v>
      </c>
      <c r="R10" s="1661">
        <f t="shared" si="0"/>
        <v>8794.7000000000007</v>
      </c>
      <c r="S10" s="1661">
        <f t="shared" si="0"/>
        <v>60511</v>
      </c>
      <c r="T10" s="1661">
        <f t="shared" si="0"/>
        <v>5651326.4361829991</v>
      </c>
      <c r="U10" s="1661">
        <f t="shared" si="0"/>
        <v>1644497.0121830001</v>
      </c>
      <c r="V10" s="1661">
        <f t="shared" si="0"/>
        <v>2702049.3630820001</v>
      </c>
      <c r="W10" s="1661">
        <f t="shared" si="0"/>
        <v>1388063.6296930001</v>
      </c>
      <c r="X10" s="1661">
        <f t="shared" si="0"/>
        <v>0</v>
      </c>
      <c r="Y10" s="1661">
        <f t="shared" si="0"/>
        <v>247803</v>
      </c>
      <c r="Z10" s="1661">
        <f t="shared" si="0"/>
        <v>1541947.9501829999</v>
      </c>
      <c r="AA10" s="1661">
        <f t="shared" si="0"/>
        <v>976018.95018299995</v>
      </c>
      <c r="AB10" s="1661">
        <f t="shared" si="0"/>
        <v>412044.67951000005</v>
      </c>
      <c r="AC10" s="1661">
        <f t="shared" si="0"/>
        <v>524659.77288599999</v>
      </c>
      <c r="AD10" s="1661">
        <f t="shared" si="0"/>
        <v>524659.77288599999</v>
      </c>
      <c r="AE10" s="1661">
        <f t="shared" si="0"/>
        <v>0</v>
      </c>
      <c r="AF10" s="1661">
        <f t="shared" si="0"/>
        <v>43768</v>
      </c>
      <c r="AG10" s="1660"/>
      <c r="AH10" s="1660"/>
      <c r="AI10" s="1660"/>
      <c r="AJ10" s="1662"/>
      <c r="AK10" s="1663">
        <v>525660</v>
      </c>
    </row>
    <row r="11" spans="1:52" s="1637" customFormat="1" ht="18.75" customHeight="1" x14ac:dyDescent="0.25">
      <c r="A11" s="1638" t="s">
        <v>2</v>
      </c>
      <c r="B11" s="1639" t="s">
        <v>1191</v>
      </c>
      <c r="C11" s="1638"/>
      <c r="D11" s="1640">
        <f t="shared" ref="D11:AB11" si="1">D12+D14+D15+D32+D99+D13</f>
        <v>7813500.1639700001</v>
      </c>
      <c r="E11" s="1640">
        <f t="shared" si="1"/>
        <v>2824594.383078</v>
      </c>
      <c r="F11" s="1640">
        <f t="shared" si="1"/>
        <v>4381782.7860000003</v>
      </c>
      <c r="G11" s="1640">
        <f t="shared" si="1"/>
        <v>917274.36199999996</v>
      </c>
      <c r="H11" s="1640">
        <f t="shared" si="1"/>
        <v>725145.48</v>
      </c>
      <c r="I11" s="1640">
        <f t="shared" si="1"/>
        <v>363900.48</v>
      </c>
      <c r="J11" s="1640">
        <f t="shared" si="1"/>
        <v>21500</v>
      </c>
      <c r="K11" s="1640">
        <f t="shared" si="1"/>
        <v>93192</v>
      </c>
      <c r="L11" s="1640">
        <f t="shared" si="1"/>
        <v>425274.2</v>
      </c>
      <c r="M11" s="1640">
        <f t="shared" si="1"/>
        <v>243590.2</v>
      </c>
      <c r="N11" s="1640">
        <f t="shared" si="1"/>
        <v>0</v>
      </c>
      <c r="O11" s="1640">
        <f t="shared" si="1"/>
        <v>48866</v>
      </c>
      <c r="P11" s="1640">
        <f t="shared" si="1"/>
        <v>368528.27018300002</v>
      </c>
      <c r="Q11" s="1640">
        <f t="shared" si="1"/>
        <v>368528.27018300002</v>
      </c>
      <c r="R11" s="1640">
        <f t="shared" si="1"/>
        <v>8794.7000000000007</v>
      </c>
      <c r="S11" s="1640">
        <f t="shared" si="1"/>
        <v>60511</v>
      </c>
      <c r="T11" s="1640">
        <f t="shared" si="1"/>
        <v>5651326.4361829991</v>
      </c>
      <c r="U11" s="1640">
        <f t="shared" si="1"/>
        <v>1644497.0121830001</v>
      </c>
      <c r="V11" s="1640">
        <f t="shared" si="1"/>
        <v>2702049.3630820001</v>
      </c>
      <c r="W11" s="1640">
        <f t="shared" si="1"/>
        <v>1388063.6296930001</v>
      </c>
      <c r="X11" s="1640">
        <f t="shared" si="1"/>
        <v>0</v>
      </c>
      <c r="Y11" s="1640">
        <f t="shared" si="1"/>
        <v>247803</v>
      </c>
      <c r="Z11" s="1640">
        <f t="shared" si="1"/>
        <v>1541947.9501829999</v>
      </c>
      <c r="AA11" s="1640">
        <f t="shared" si="1"/>
        <v>976018.95018299995</v>
      </c>
      <c r="AB11" s="1640">
        <f t="shared" si="1"/>
        <v>412044.67951000005</v>
      </c>
      <c r="AC11" s="1640">
        <f>AC12+AC14+AC15+AC32+AC99+AC13</f>
        <v>366959.77288599999</v>
      </c>
      <c r="AD11" s="1640">
        <f>AD12+AD14+AD15+AD32+AD99+AD13</f>
        <v>366959.77288599999</v>
      </c>
      <c r="AE11" s="1640">
        <f>AE12+AE14+AE15+AE32+AE99+AE13</f>
        <v>0</v>
      </c>
      <c r="AF11" s="1640">
        <f>AF12+AF14+AF15+AF32+AF99+AF13</f>
        <v>43768</v>
      </c>
      <c r="AG11" s="1640"/>
      <c r="AH11" s="1641"/>
      <c r="AI11" s="1642"/>
      <c r="AJ11" s="1508">
        <v>1</v>
      </c>
      <c r="AK11" s="1637">
        <f>AK10-AC10</f>
        <v>1000.2271140000084</v>
      </c>
    </row>
    <row r="12" spans="1:52" s="1519" customFormat="1" ht="16.5" customHeight="1" x14ac:dyDescent="0.25">
      <c r="A12" s="1510" t="s">
        <v>9</v>
      </c>
      <c r="B12" s="1511" t="s">
        <v>1957</v>
      </c>
      <c r="C12" s="1512"/>
      <c r="D12" s="1513">
        <v>115893</v>
      </c>
      <c r="E12" s="1513">
        <v>115893</v>
      </c>
      <c r="F12" s="1513"/>
      <c r="G12" s="1513"/>
      <c r="H12" s="1513">
        <v>29127</v>
      </c>
      <c r="I12" s="1513">
        <v>29127</v>
      </c>
      <c r="J12" s="1514"/>
      <c r="K12" s="1514"/>
      <c r="L12" s="1513"/>
      <c r="M12" s="1513"/>
      <c r="N12" s="1514"/>
      <c r="O12" s="1514"/>
      <c r="P12" s="1515"/>
      <c r="Q12" s="1515"/>
      <c r="R12" s="1516"/>
      <c r="S12" s="1516"/>
      <c r="T12" s="1516"/>
      <c r="U12" s="1516"/>
      <c r="V12" s="1513">
        <v>29127</v>
      </c>
      <c r="W12" s="1513">
        <v>29127</v>
      </c>
      <c r="X12" s="1514"/>
      <c r="Y12" s="1514"/>
      <c r="Z12" s="1514">
        <f>H12+L12+P12</f>
        <v>29127</v>
      </c>
      <c r="AA12" s="1514">
        <f>I12+M12+Q12</f>
        <v>29127</v>
      </c>
      <c r="AB12" s="1514">
        <f>W12-AA12</f>
        <v>0</v>
      </c>
      <c r="AC12" s="1515"/>
      <c r="AD12" s="1515"/>
      <c r="AE12" s="1516"/>
      <c r="AF12" s="1516"/>
      <c r="AG12" s="1514"/>
      <c r="AH12" s="1517" t="s">
        <v>162</v>
      </c>
      <c r="AI12" s="1518"/>
      <c r="AJ12" s="1668">
        <v>1</v>
      </c>
    </row>
    <row r="13" spans="1:52" s="1519" customFormat="1" ht="33.75" x14ac:dyDescent="0.25">
      <c r="A13" s="1785" t="s">
        <v>11</v>
      </c>
      <c r="B13" s="1578" t="s">
        <v>1038</v>
      </c>
      <c r="C13" s="1614"/>
      <c r="D13" s="1786"/>
      <c r="E13" s="1786"/>
      <c r="F13" s="1513"/>
      <c r="G13" s="1513"/>
      <c r="H13" s="1513"/>
      <c r="I13" s="1513"/>
      <c r="J13" s="1514"/>
      <c r="K13" s="1514"/>
      <c r="L13" s="1513"/>
      <c r="M13" s="1513"/>
      <c r="N13" s="1514"/>
      <c r="O13" s="1514"/>
      <c r="P13" s="1515"/>
      <c r="Q13" s="1515"/>
      <c r="R13" s="1516"/>
      <c r="S13" s="1516"/>
      <c r="T13" s="1516"/>
      <c r="U13" s="1516"/>
      <c r="V13" s="1786"/>
      <c r="W13" s="1786"/>
      <c r="X13" s="1514"/>
      <c r="Y13" s="1520"/>
      <c r="Z13" s="1520"/>
      <c r="AA13" s="1520"/>
      <c r="AB13" s="1514"/>
      <c r="AC13" s="1579">
        <v>15000</v>
      </c>
      <c r="AD13" s="1579">
        <v>15000</v>
      </c>
      <c r="AE13" s="1516"/>
      <c r="AF13" s="1516"/>
      <c r="AG13" s="1520"/>
      <c r="AH13" s="1574"/>
      <c r="AI13" s="1509" t="s">
        <v>1793</v>
      </c>
      <c r="AJ13" s="1668"/>
    </row>
    <row r="14" spans="1:52" s="1519" customFormat="1" ht="31.5" x14ac:dyDescent="0.25">
      <c r="A14" s="1510" t="s">
        <v>14</v>
      </c>
      <c r="B14" s="1511" t="s">
        <v>1734</v>
      </c>
      <c r="C14" s="1512"/>
      <c r="D14" s="1513"/>
      <c r="E14" s="1513"/>
      <c r="F14" s="1513"/>
      <c r="G14" s="1513"/>
      <c r="H14" s="1513">
        <v>6000</v>
      </c>
      <c r="I14" s="1513">
        <v>6000</v>
      </c>
      <c r="J14" s="1520"/>
      <c r="K14" s="1520"/>
      <c r="L14" s="1513"/>
      <c r="M14" s="1513"/>
      <c r="N14" s="1520"/>
      <c r="O14" s="1520"/>
      <c r="P14" s="1521">
        <v>8000</v>
      </c>
      <c r="Q14" s="1521">
        <v>8000</v>
      </c>
      <c r="R14" s="1516"/>
      <c r="S14" s="1516"/>
      <c r="T14" s="1516"/>
      <c r="U14" s="1516"/>
      <c r="V14" s="1513">
        <v>28000</v>
      </c>
      <c r="W14" s="1513">
        <v>28000</v>
      </c>
      <c r="X14" s="1520"/>
      <c r="Y14" s="1520"/>
      <c r="Z14" s="1514">
        <f>H14+L14+P14</f>
        <v>14000</v>
      </c>
      <c r="AA14" s="1514">
        <f>I14+M14+Q14</f>
        <v>14000</v>
      </c>
      <c r="AB14" s="1514">
        <f>W14-AA14</f>
        <v>14000</v>
      </c>
      <c r="AC14" s="1521">
        <v>8000</v>
      </c>
      <c r="AD14" s="1521">
        <v>8000</v>
      </c>
      <c r="AE14" s="1516"/>
      <c r="AF14" s="1516"/>
      <c r="AG14" s="1520"/>
      <c r="AH14" s="1510" t="s">
        <v>161</v>
      </c>
      <c r="AI14" s="1509"/>
      <c r="AJ14" s="1668">
        <v>1</v>
      </c>
    </row>
    <row r="15" spans="1:52" s="1519" customFormat="1" ht="21" x14ac:dyDescent="0.25">
      <c r="A15" s="1522" t="s">
        <v>14</v>
      </c>
      <c r="B15" s="1643" t="s">
        <v>1192</v>
      </c>
      <c r="C15" s="1522"/>
      <c r="D15" s="1514">
        <f t="shared" ref="D15:AF15" si="2">D16+D25+D30</f>
        <v>110334</v>
      </c>
      <c r="E15" s="1514">
        <f t="shared" si="2"/>
        <v>77660</v>
      </c>
      <c r="F15" s="1514">
        <f t="shared" si="2"/>
        <v>20926</v>
      </c>
      <c r="G15" s="1514">
        <f t="shared" si="2"/>
        <v>20926</v>
      </c>
      <c r="H15" s="1514">
        <f t="shared" si="2"/>
        <v>10000</v>
      </c>
      <c r="I15" s="1514">
        <f t="shared" si="2"/>
        <v>10000</v>
      </c>
      <c r="J15" s="1514">
        <f t="shared" si="2"/>
        <v>0</v>
      </c>
      <c r="K15" s="1514">
        <f t="shared" si="2"/>
        <v>813</v>
      </c>
      <c r="L15" s="1514">
        <f t="shared" si="2"/>
        <v>19207</v>
      </c>
      <c r="M15" s="1514">
        <f t="shared" si="2"/>
        <v>9207</v>
      </c>
      <c r="N15" s="1514">
        <f t="shared" si="2"/>
        <v>0</v>
      </c>
      <c r="O15" s="1514">
        <f t="shared" si="2"/>
        <v>0</v>
      </c>
      <c r="P15" s="1514">
        <f t="shared" si="2"/>
        <v>6569</v>
      </c>
      <c r="Q15" s="1514">
        <f t="shared" si="2"/>
        <v>6569</v>
      </c>
      <c r="R15" s="1514">
        <f t="shared" si="2"/>
        <v>0</v>
      </c>
      <c r="S15" s="1514">
        <f t="shared" si="2"/>
        <v>0</v>
      </c>
      <c r="T15" s="1514">
        <f t="shared" si="2"/>
        <v>56702</v>
      </c>
      <c r="U15" s="1514">
        <f t="shared" si="2"/>
        <v>46702</v>
      </c>
      <c r="V15" s="1514">
        <f t="shared" si="2"/>
        <v>42359.4</v>
      </c>
      <c r="W15" s="1514">
        <f t="shared" si="2"/>
        <v>37252.400000000001</v>
      </c>
      <c r="X15" s="1514">
        <f t="shared" si="2"/>
        <v>0</v>
      </c>
      <c r="Y15" s="1514">
        <f t="shared" si="2"/>
        <v>813</v>
      </c>
      <c r="Z15" s="1514">
        <f t="shared" si="2"/>
        <v>35776</v>
      </c>
      <c r="AA15" s="1514">
        <f t="shared" si="2"/>
        <v>25776</v>
      </c>
      <c r="AB15" s="1514">
        <f t="shared" si="2"/>
        <v>11476.400000000001</v>
      </c>
      <c r="AC15" s="1514">
        <f t="shared" si="2"/>
        <v>7000</v>
      </c>
      <c r="AD15" s="1514">
        <f t="shared" si="2"/>
        <v>7000</v>
      </c>
      <c r="AE15" s="1514">
        <f t="shared" si="2"/>
        <v>0</v>
      </c>
      <c r="AF15" s="1514">
        <f t="shared" si="2"/>
        <v>0</v>
      </c>
      <c r="AG15" s="1514"/>
      <c r="AH15" s="1517"/>
      <c r="AI15" s="1563"/>
      <c r="AJ15" s="1668">
        <v>1</v>
      </c>
    </row>
    <row r="16" spans="1:52" s="1519" customFormat="1" ht="21" x14ac:dyDescent="0.25">
      <c r="A16" s="1522" t="s">
        <v>146</v>
      </c>
      <c r="B16" s="1644" t="s">
        <v>1794</v>
      </c>
      <c r="C16" s="1522"/>
      <c r="D16" s="1514">
        <f>D17+D20</f>
        <v>41490</v>
      </c>
      <c r="E16" s="1514">
        <f t="shared" ref="E16:AF16" si="3">E17+E20</f>
        <v>41490</v>
      </c>
      <c r="F16" s="1514">
        <f t="shared" si="3"/>
        <v>20926</v>
      </c>
      <c r="G16" s="1514">
        <f t="shared" si="3"/>
        <v>20926</v>
      </c>
      <c r="H16" s="1514">
        <f t="shared" si="3"/>
        <v>7653</v>
      </c>
      <c r="I16" s="1514">
        <f t="shared" si="3"/>
        <v>7653</v>
      </c>
      <c r="J16" s="1514">
        <f t="shared" si="3"/>
        <v>0</v>
      </c>
      <c r="K16" s="1514">
        <f t="shared" si="3"/>
        <v>813</v>
      </c>
      <c r="L16" s="1514">
        <f t="shared" si="3"/>
        <v>6908</v>
      </c>
      <c r="M16" s="1514">
        <f t="shared" si="3"/>
        <v>6908</v>
      </c>
      <c r="N16" s="1514">
        <f t="shared" si="3"/>
        <v>0</v>
      </c>
      <c r="O16" s="1514">
        <f t="shared" si="3"/>
        <v>0</v>
      </c>
      <c r="P16" s="1514">
        <f t="shared" si="3"/>
        <v>0</v>
      </c>
      <c r="Q16" s="1514">
        <f t="shared" si="3"/>
        <v>0</v>
      </c>
      <c r="R16" s="1514">
        <f t="shared" si="3"/>
        <v>0</v>
      </c>
      <c r="S16" s="1514">
        <f t="shared" si="3"/>
        <v>0</v>
      </c>
      <c r="T16" s="1514">
        <f t="shared" si="3"/>
        <v>35487</v>
      </c>
      <c r="U16" s="1514">
        <f t="shared" si="3"/>
        <v>35487</v>
      </c>
      <c r="V16" s="1514">
        <f t="shared" si="3"/>
        <v>18571.2</v>
      </c>
      <c r="W16" s="1514">
        <f t="shared" si="3"/>
        <v>18571.2</v>
      </c>
      <c r="X16" s="1514">
        <f t="shared" si="3"/>
        <v>0</v>
      </c>
      <c r="Y16" s="1514">
        <f t="shared" si="3"/>
        <v>813</v>
      </c>
      <c r="Z16" s="1514">
        <f t="shared" si="3"/>
        <v>14561</v>
      </c>
      <c r="AA16" s="1514">
        <f t="shared" si="3"/>
        <v>14561</v>
      </c>
      <c r="AB16" s="1514">
        <f t="shared" si="3"/>
        <v>4010.2000000000007</v>
      </c>
      <c r="AC16" s="1514">
        <f t="shared" si="3"/>
        <v>2500</v>
      </c>
      <c r="AD16" s="1514">
        <f t="shared" si="3"/>
        <v>2500</v>
      </c>
      <c r="AE16" s="1514">
        <f t="shared" si="3"/>
        <v>0</v>
      </c>
      <c r="AF16" s="1514">
        <f t="shared" si="3"/>
        <v>0</v>
      </c>
      <c r="AG16" s="1514"/>
      <c r="AH16" s="1517"/>
      <c r="AI16" s="1563"/>
      <c r="AJ16" s="1668">
        <v>1</v>
      </c>
    </row>
    <row r="17" spans="1:36" s="1519" customFormat="1" x14ac:dyDescent="0.25">
      <c r="A17" s="1523" t="s">
        <v>438</v>
      </c>
      <c r="B17" s="1524" t="s">
        <v>1194</v>
      </c>
      <c r="C17" s="1523"/>
      <c r="D17" s="1525">
        <f>SUM(D18:D19)</f>
        <v>7151</v>
      </c>
      <c r="E17" s="1525">
        <f t="shared" ref="E17:AF17" si="4">SUM(E18:E19)</f>
        <v>7151</v>
      </c>
      <c r="F17" s="1525">
        <f t="shared" si="4"/>
        <v>4000</v>
      </c>
      <c r="G17" s="1525">
        <f t="shared" si="4"/>
        <v>4000</v>
      </c>
      <c r="H17" s="1525">
        <f t="shared" si="4"/>
        <v>2278</v>
      </c>
      <c r="I17" s="1525">
        <f t="shared" si="4"/>
        <v>2278</v>
      </c>
      <c r="J17" s="1525">
        <f t="shared" si="4"/>
        <v>0</v>
      </c>
      <c r="K17" s="1525">
        <f t="shared" si="4"/>
        <v>813</v>
      </c>
      <c r="L17" s="1525">
        <f t="shared" si="4"/>
        <v>808</v>
      </c>
      <c r="M17" s="1525">
        <f t="shared" si="4"/>
        <v>808</v>
      </c>
      <c r="N17" s="1525">
        <f t="shared" si="4"/>
        <v>0</v>
      </c>
      <c r="O17" s="1525">
        <f t="shared" si="4"/>
        <v>0</v>
      </c>
      <c r="P17" s="1525">
        <f t="shared" si="4"/>
        <v>0</v>
      </c>
      <c r="Q17" s="1525">
        <f t="shared" si="4"/>
        <v>0</v>
      </c>
      <c r="R17" s="1525">
        <f t="shared" si="4"/>
        <v>0</v>
      </c>
      <c r="S17" s="1525">
        <f t="shared" si="4"/>
        <v>0</v>
      </c>
      <c r="T17" s="1525">
        <f t="shared" si="4"/>
        <v>7086</v>
      </c>
      <c r="U17" s="1525">
        <f t="shared" si="4"/>
        <v>7086</v>
      </c>
      <c r="V17" s="1525">
        <f t="shared" si="4"/>
        <v>3138</v>
      </c>
      <c r="W17" s="1525">
        <f t="shared" si="4"/>
        <v>3138</v>
      </c>
      <c r="X17" s="1525">
        <f t="shared" si="4"/>
        <v>0</v>
      </c>
      <c r="Y17" s="1525">
        <f t="shared" si="4"/>
        <v>813</v>
      </c>
      <c r="Z17" s="1525">
        <f t="shared" si="4"/>
        <v>3086</v>
      </c>
      <c r="AA17" s="1525">
        <f t="shared" si="4"/>
        <v>3086</v>
      </c>
      <c r="AB17" s="1525">
        <f t="shared" si="4"/>
        <v>52</v>
      </c>
      <c r="AC17" s="1525">
        <f t="shared" si="4"/>
        <v>0</v>
      </c>
      <c r="AD17" s="1525">
        <f t="shared" si="4"/>
        <v>0</v>
      </c>
      <c r="AE17" s="1525">
        <f t="shared" si="4"/>
        <v>0</v>
      </c>
      <c r="AF17" s="1525">
        <f t="shared" si="4"/>
        <v>0</v>
      </c>
      <c r="AG17" s="1525"/>
      <c r="AH17" s="1523"/>
      <c r="AI17" s="1509"/>
      <c r="AJ17" s="1668">
        <v>1</v>
      </c>
    </row>
    <row r="18" spans="1:36" s="1519" customFormat="1" ht="33.75" x14ac:dyDescent="0.25">
      <c r="A18" s="1509">
        <v>1</v>
      </c>
      <c r="B18" s="1526" t="s">
        <v>1958</v>
      </c>
      <c r="C18" s="1527" t="s">
        <v>1959</v>
      </c>
      <c r="D18" s="1528">
        <v>5291</v>
      </c>
      <c r="E18" s="1528">
        <v>5291</v>
      </c>
      <c r="F18" s="1529">
        <v>4000</v>
      </c>
      <c r="G18" s="1529">
        <v>4000</v>
      </c>
      <c r="H18" s="1528">
        <v>1278</v>
      </c>
      <c r="I18" s="1528">
        <v>1278</v>
      </c>
      <c r="J18" s="1516"/>
      <c r="K18" s="1516">
        <v>813</v>
      </c>
      <c r="L18" s="1528"/>
      <c r="M18" s="1528"/>
      <c r="N18" s="1516"/>
      <c r="O18" s="1516"/>
      <c r="P18" s="1516"/>
      <c r="Q18" s="1516"/>
      <c r="R18" s="1516"/>
      <c r="S18" s="1516"/>
      <c r="T18" s="1516">
        <f>F18+H18+L18+P18</f>
        <v>5278</v>
      </c>
      <c r="U18" s="1516">
        <f>G18+I18+M18+Q18+R18</f>
        <v>5278</v>
      </c>
      <c r="V18" s="1528">
        <v>1278</v>
      </c>
      <c r="W18" s="1528">
        <v>1278</v>
      </c>
      <c r="X18" s="1516"/>
      <c r="Y18" s="1516">
        <v>813</v>
      </c>
      <c r="Z18" s="1516">
        <f>H18+L18+P18</f>
        <v>1278</v>
      </c>
      <c r="AA18" s="1516">
        <f>I18+M18+Q18</f>
        <v>1278</v>
      </c>
      <c r="AB18" s="1516">
        <f>W18-AA18</f>
        <v>0</v>
      </c>
      <c r="AC18" s="1516"/>
      <c r="AD18" s="1516"/>
      <c r="AE18" s="1516"/>
      <c r="AF18" s="1516">
        <f>Y18-K18-O18-S18</f>
        <v>0</v>
      </c>
      <c r="AG18" s="1516"/>
      <c r="AH18" s="1530" t="s">
        <v>1960</v>
      </c>
      <c r="AI18" s="1509" t="s">
        <v>1961</v>
      </c>
      <c r="AJ18" s="1668"/>
    </row>
    <row r="19" spans="1:36" s="1519" customFormat="1" ht="22.5" x14ac:dyDescent="0.25">
      <c r="A19" s="1509">
        <v>2</v>
      </c>
      <c r="B19" s="1526" t="s">
        <v>1962</v>
      </c>
      <c r="C19" s="1509" t="s">
        <v>1963</v>
      </c>
      <c r="D19" s="1536">
        <v>1860</v>
      </c>
      <c r="E19" s="1536">
        <v>1860</v>
      </c>
      <c r="F19" s="1529"/>
      <c r="G19" s="1529"/>
      <c r="H19" s="1531">
        <v>1000</v>
      </c>
      <c r="I19" s="1531">
        <v>1000</v>
      </c>
      <c r="J19" s="1516"/>
      <c r="K19" s="1516"/>
      <c r="L19" s="1531">
        <v>808</v>
      </c>
      <c r="M19" s="1531">
        <v>808</v>
      </c>
      <c r="N19" s="1516"/>
      <c r="O19" s="1516"/>
      <c r="P19" s="1516"/>
      <c r="Q19" s="1516"/>
      <c r="R19" s="1516"/>
      <c r="S19" s="1516"/>
      <c r="T19" s="1516">
        <f>F19+H19+L19+P19</f>
        <v>1808</v>
      </c>
      <c r="U19" s="1516">
        <f>G19+I19+M19+Q19+R19</f>
        <v>1808</v>
      </c>
      <c r="V19" s="1528">
        <v>1860</v>
      </c>
      <c r="W19" s="1528">
        <v>1860</v>
      </c>
      <c r="X19" s="1516"/>
      <c r="Y19" s="1516"/>
      <c r="Z19" s="1516">
        <f t="shared" ref="Z19:AA82" si="5">H19+L19+P19</f>
        <v>1808</v>
      </c>
      <c r="AA19" s="1516">
        <f t="shared" si="5"/>
        <v>1808</v>
      </c>
      <c r="AB19" s="1516">
        <f>W19-AA19</f>
        <v>52</v>
      </c>
      <c r="AC19" s="1516"/>
      <c r="AD19" s="1516"/>
      <c r="AE19" s="1516"/>
      <c r="AF19" s="1516"/>
      <c r="AG19" s="1516"/>
      <c r="AH19" s="1509" t="s">
        <v>1960</v>
      </c>
      <c r="AI19" s="1509" t="s">
        <v>1961</v>
      </c>
      <c r="AJ19" s="1668"/>
    </row>
    <row r="20" spans="1:36" s="1519" customFormat="1" x14ac:dyDescent="0.25">
      <c r="A20" s="1523" t="s">
        <v>439</v>
      </c>
      <c r="B20" s="1532" t="s">
        <v>1210</v>
      </c>
      <c r="C20" s="1533"/>
      <c r="D20" s="1534">
        <f t="shared" ref="D20:AF20" si="6">SUM(D21:D24)</f>
        <v>34339</v>
      </c>
      <c r="E20" s="1534">
        <f t="shared" si="6"/>
        <v>34339</v>
      </c>
      <c r="F20" s="1534">
        <f t="shared" si="6"/>
        <v>16926</v>
      </c>
      <c r="G20" s="1534">
        <f t="shared" si="6"/>
        <v>16926</v>
      </c>
      <c r="H20" s="1534">
        <f t="shared" si="6"/>
        <v>5375</v>
      </c>
      <c r="I20" s="1534">
        <f t="shared" si="6"/>
        <v>5375</v>
      </c>
      <c r="J20" s="1534">
        <f t="shared" si="6"/>
        <v>0</v>
      </c>
      <c r="K20" s="1534">
        <f t="shared" si="6"/>
        <v>0</v>
      </c>
      <c r="L20" s="1534">
        <f t="shared" si="6"/>
        <v>6100</v>
      </c>
      <c r="M20" s="1534">
        <f t="shared" si="6"/>
        <v>6100</v>
      </c>
      <c r="N20" s="1534">
        <f t="shared" si="6"/>
        <v>0</v>
      </c>
      <c r="O20" s="1534">
        <f t="shared" si="6"/>
        <v>0</v>
      </c>
      <c r="P20" s="1534">
        <f t="shared" si="6"/>
        <v>0</v>
      </c>
      <c r="Q20" s="1534">
        <f t="shared" si="6"/>
        <v>0</v>
      </c>
      <c r="R20" s="1534">
        <f t="shared" si="6"/>
        <v>0</v>
      </c>
      <c r="S20" s="1534">
        <f t="shared" si="6"/>
        <v>0</v>
      </c>
      <c r="T20" s="1534">
        <f t="shared" si="6"/>
        <v>28401</v>
      </c>
      <c r="U20" s="1534">
        <f t="shared" si="6"/>
        <v>28401</v>
      </c>
      <c r="V20" s="1534">
        <f t="shared" si="6"/>
        <v>15433.2</v>
      </c>
      <c r="W20" s="1534">
        <f t="shared" si="6"/>
        <v>15433.2</v>
      </c>
      <c r="X20" s="1534">
        <f t="shared" si="6"/>
        <v>0</v>
      </c>
      <c r="Y20" s="1534">
        <f t="shared" si="6"/>
        <v>0</v>
      </c>
      <c r="Z20" s="1534">
        <f t="shared" si="6"/>
        <v>11475</v>
      </c>
      <c r="AA20" s="1534">
        <f t="shared" si="6"/>
        <v>11475</v>
      </c>
      <c r="AB20" s="1534">
        <f t="shared" si="6"/>
        <v>3958.2000000000007</v>
      </c>
      <c r="AC20" s="1534">
        <f t="shared" si="6"/>
        <v>2500</v>
      </c>
      <c r="AD20" s="1534">
        <f t="shared" si="6"/>
        <v>2500</v>
      </c>
      <c r="AE20" s="1534">
        <f t="shared" si="6"/>
        <v>0</v>
      </c>
      <c r="AF20" s="1534">
        <f t="shared" si="6"/>
        <v>0</v>
      </c>
      <c r="AG20" s="1534"/>
      <c r="AH20" s="1535"/>
      <c r="AI20" s="1509"/>
      <c r="AJ20" s="1668">
        <v>1</v>
      </c>
    </row>
    <row r="21" spans="1:36" s="1519" customFormat="1" ht="22.5" x14ac:dyDescent="0.25">
      <c r="A21" s="1509">
        <v>1</v>
      </c>
      <c r="B21" s="1526" t="s">
        <v>1739</v>
      </c>
      <c r="C21" s="1527" t="s">
        <v>1795</v>
      </c>
      <c r="D21" s="1529">
        <v>9633</v>
      </c>
      <c r="E21" s="1529">
        <v>9633</v>
      </c>
      <c r="F21" s="1529">
        <v>8039</v>
      </c>
      <c r="G21" s="1529">
        <v>8039</v>
      </c>
      <c r="H21" s="1528"/>
      <c r="I21" s="1528"/>
      <c r="J21" s="1516"/>
      <c r="K21" s="1516"/>
      <c r="L21" s="1528"/>
      <c r="M21" s="1528"/>
      <c r="N21" s="1516"/>
      <c r="O21" s="1516"/>
      <c r="P21" s="1516"/>
      <c r="Q21" s="1516"/>
      <c r="R21" s="1516"/>
      <c r="S21" s="1516"/>
      <c r="T21" s="1516">
        <f t="shared" ref="T21:T84" si="7">F21+H21+L21+P21</f>
        <v>8039</v>
      </c>
      <c r="U21" s="1516">
        <f t="shared" ref="U21:U84" si="8">G21+I21+M21+Q21+R21</f>
        <v>8039</v>
      </c>
      <c r="V21" s="1528">
        <v>1594</v>
      </c>
      <c r="W21" s="1528">
        <v>1594</v>
      </c>
      <c r="X21" s="1516"/>
      <c r="Y21" s="1516"/>
      <c r="Z21" s="1516">
        <f t="shared" si="5"/>
        <v>0</v>
      </c>
      <c r="AA21" s="1516">
        <f t="shared" si="5"/>
        <v>0</v>
      </c>
      <c r="AB21" s="1516">
        <f t="shared" ref="AB21:AB84" si="9">W21-AA21</f>
        <v>1594</v>
      </c>
      <c r="AC21" s="1516">
        <f>AD21</f>
        <v>630</v>
      </c>
      <c r="AD21" s="1516">
        <v>630</v>
      </c>
      <c r="AE21" s="1516"/>
      <c r="AF21" s="1516"/>
      <c r="AG21" s="1516">
        <f>(T21+AC21)/D21*100</f>
        <v>89.992733312571374</v>
      </c>
      <c r="AH21" s="1509" t="s">
        <v>1005</v>
      </c>
      <c r="AI21" s="1509"/>
      <c r="AJ21" s="1668"/>
    </row>
    <row r="22" spans="1:36" s="1519" customFormat="1" ht="22.5" x14ac:dyDescent="0.25">
      <c r="A22" s="1509">
        <v>2</v>
      </c>
      <c r="B22" s="1526" t="s">
        <v>1740</v>
      </c>
      <c r="C22" s="1527" t="s">
        <v>1796</v>
      </c>
      <c r="D22" s="1529">
        <v>4021</v>
      </c>
      <c r="E22" s="1529">
        <v>4021</v>
      </c>
      <c r="F22" s="1529">
        <v>3578</v>
      </c>
      <c r="G22" s="1529">
        <v>3578</v>
      </c>
      <c r="H22" s="1528"/>
      <c r="I22" s="1528"/>
      <c r="J22" s="1516"/>
      <c r="K22" s="1516"/>
      <c r="L22" s="1528"/>
      <c r="M22" s="1528"/>
      <c r="N22" s="1516"/>
      <c r="O22" s="1516"/>
      <c r="P22" s="1516"/>
      <c r="Q22" s="1516"/>
      <c r="R22" s="1516"/>
      <c r="S22" s="1516"/>
      <c r="T22" s="1516">
        <f t="shared" si="7"/>
        <v>3578</v>
      </c>
      <c r="U22" s="1516">
        <f t="shared" si="8"/>
        <v>3578</v>
      </c>
      <c r="V22" s="1528">
        <v>443</v>
      </c>
      <c r="W22" s="1528">
        <v>443</v>
      </c>
      <c r="X22" s="1516"/>
      <c r="Y22" s="1516"/>
      <c r="Z22" s="1516">
        <f t="shared" si="5"/>
        <v>0</v>
      </c>
      <c r="AA22" s="1516">
        <f t="shared" si="5"/>
        <v>0</v>
      </c>
      <c r="AB22" s="1516">
        <f t="shared" si="9"/>
        <v>443</v>
      </c>
      <c r="AC22" s="1516">
        <f t="shared" ref="AC22:AC23" si="10">AD22</f>
        <v>40</v>
      </c>
      <c r="AD22" s="1516">
        <v>40</v>
      </c>
      <c r="AE22" s="1516"/>
      <c r="AF22" s="1516"/>
      <c r="AG22" s="1516">
        <f>(T22+AC22)/D22*100</f>
        <v>89.97761750808256</v>
      </c>
      <c r="AH22" s="1509" t="s">
        <v>1005</v>
      </c>
      <c r="AI22" s="1509"/>
      <c r="AJ22" s="1668"/>
    </row>
    <row r="23" spans="1:36" s="1519" customFormat="1" ht="22.5" x14ac:dyDescent="0.25">
      <c r="A23" s="1509">
        <v>3</v>
      </c>
      <c r="B23" s="1526" t="s">
        <v>1741</v>
      </c>
      <c r="C23" s="1509" t="s">
        <v>1797</v>
      </c>
      <c r="D23" s="1528">
        <v>19798</v>
      </c>
      <c r="E23" s="1528">
        <v>19798</v>
      </c>
      <c r="F23" s="1529">
        <v>4809</v>
      </c>
      <c r="G23" s="1529">
        <f>F23</f>
        <v>4809</v>
      </c>
      <c r="H23" s="1528">
        <v>5075</v>
      </c>
      <c r="I23" s="1528">
        <v>5075</v>
      </c>
      <c r="J23" s="1516"/>
      <c r="K23" s="1516"/>
      <c r="L23" s="1528">
        <v>6100</v>
      </c>
      <c r="M23" s="1528">
        <v>6100</v>
      </c>
      <c r="N23" s="1516"/>
      <c r="O23" s="1516"/>
      <c r="P23" s="1516"/>
      <c r="Q23" s="1516"/>
      <c r="R23" s="1516"/>
      <c r="S23" s="1516"/>
      <c r="T23" s="1516">
        <f t="shared" si="7"/>
        <v>15984</v>
      </c>
      <c r="U23" s="1516">
        <f t="shared" si="8"/>
        <v>15984</v>
      </c>
      <c r="V23" s="1528">
        <v>13009.2</v>
      </c>
      <c r="W23" s="1528">
        <v>13009.2</v>
      </c>
      <c r="X23" s="1516"/>
      <c r="Y23" s="1516"/>
      <c r="Z23" s="1516">
        <f t="shared" si="5"/>
        <v>11175</v>
      </c>
      <c r="AA23" s="1516">
        <f t="shared" si="5"/>
        <v>11175</v>
      </c>
      <c r="AB23" s="1516">
        <f t="shared" si="9"/>
        <v>1834.2000000000007</v>
      </c>
      <c r="AC23" s="1516">
        <f t="shared" si="10"/>
        <v>1830</v>
      </c>
      <c r="AD23" s="1516">
        <v>1830</v>
      </c>
      <c r="AE23" s="1516"/>
      <c r="AF23" s="1516"/>
      <c r="AG23" s="1516">
        <f>(T23+AC23)/D23*100</f>
        <v>89.978785735932917</v>
      </c>
      <c r="AH23" s="1509" t="s">
        <v>1005</v>
      </c>
      <c r="AI23" s="1509"/>
      <c r="AJ23" s="1668"/>
    </row>
    <row r="24" spans="1:36" s="1519" customFormat="1" ht="22.5" x14ac:dyDescent="0.25">
      <c r="A24" s="1509">
        <v>4</v>
      </c>
      <c r="B24" s="1526" t="s">
        <v>1964</v>
      </c>
      <c r="C24" s="1509" t="s">
        <v>1965</v>
      </c>
      <c r="D24" s="1536">
        <v>887</v>
      </c>
      <c r="E24" s="1528">
        <v>887</v>
      </c>
      <c r="F24" s="1529">
        <v>500</v>
      </c>
      <c r="G24" s="1529">
        <v>500</v>
      </c>
      <c r="H24" s="1528">
        <v>300</v>
      </c>
      <c r="I24" s="1528">
        <v>300</v>
      </c>
      <c r="J24" s="1516"/>
      <c r="K24" s="1516"/>
      <c r="L24" s="1528"/>
      <c r="M24" s="1528"/>
      <c r="N24" s="1516"/>
      <c r="O24" s="1516"/>
      <c r="P24" s="1516"/>
      <c r="Q24" s="1516"/>
      <c r="R24" s="1516"/>
      <c r="S24" s="1516"/>
      <c r="T24" s="1516">
        <f t="shared" si="7"/>
        <v>800</v>
      </c>
      <c r="U24" s="1516">
        <f t="shared" si="8"/>
        <v>800</v>
      </c>
      <c r="V24" s="1528">
        <v>387</v>
      </c>
      <c r="W24" s="1528">
        <v>387</v>
      </c>
      <c r="X24" s="1516"/>
      <c r="Y24" s="1516"/>
      <c r="Z24" s="1516">
        <f t="shared" si="5"/>
        <v>300</v>
      </c>
      <c r="AA24" s="1516">
        <f t="shared" si="5"/>
        <v>300</v>
      </c>
      <c r="AB24" s="1516">
        <f t="shared" si="9"/>
        <v>87</v>
      </c>
      <c r="AC24" s="1516"/>
      <c r="AD24" s="1516"/>
      <c r="AE24" s="1516"/>
      <c r="AF24" s="1516"/>
      <c r="AG24" s="1516">
        <f>(T24+AC24)/D24*100</f>
        <v>90.191657271702368</v>
      </c>
      <c r="AH24" s="1509" t="s">
        <v>1505</v>
      </c>
      <c r="AI24" s="1509"/>
      <c r="AJ24" s="1668"/>
    </row>
    <row r="25" spans="1:36" s="1519" customFormat="1" x14ac:dyDescent="0.25">
      <c r="A25" s="1522" t="s">
        <v>147</v>
      </c>
      <c r="B25" s="1644" t="s">
        <v>1798</v>
      </c>
      <c r="C25" s="1522"/>
      <c r="D25" s="1514">
        <f t="shared" ref="D25:AA25" si="11">SUM(D26:D29)</f>
        <v>64139</v>
      </c>
      <c r="E25" s="1514">
        <f t="shared" si="11"/>
        <v>31465</v>
      </c>
      <c r="F25" s="1514">
        <f t="shared" si="11"/>
        <v>0</v>
      </c>
      <c r="G25" s="1514">
        <f t="shared" si="11"/>
        <v>0</v>
      </c>
      <c r="H25" s="1514">
        <f t="shared" si="11"/>
        <v>2347</v>
      </c>
      <c r="I25" s="1514">
        <f t="shared" si="11"/>
        <v>2347</v>
      </c>
      <c r="J25" s="1514">
        <f t="shared" si="11"/>
        <v>0</v>
      </c>
      <c r="K25" s="1514">
        <f t="shared" si="11"/>
        <v>0</v>
      </c>
      <c r="L25" s="1514">
        <f t="shared" si="11"/>
        <v>12299</v>
      </c>
      <c r="M25" s="1514">
        <f t="shared" si="11"/>
        <v>2299</v>
      </c>
      <c r="N25" s="1514">
        <f t="shared" si="11"/>
        <v>0</v>
      </c>
      <c r="O25" s="1514">
        <f t="shared" si="11"/>
        <v>0</v>
      </c>
      <c r="P25" s="1514">
        <f t="shared" si="11"/>
        <v>6500</v>
      </c>
      <c r="Q25" s="1514">
        <f t="shared" si="11"/>
        <v>6500</v>
      </c>
      <c r="R25" s="1514">
        <f t="shared" si="11"/>
        <v>0</v>
      </c>
      <c r="S25" s="1514">
        <f t="shared" si="11"/>
        <v>0</v>
      </c>
      <c r="T25" s="1514">
        <f t="shared" si="11"/>
        <v>21146</v>
      </c>
      <c r="U25" s="1514">
        <f t="shared" si="11"/>
        <v>11146</v>
      </c>
      <c r="V25" s="1514">
        <f t="shared" si="11"/>
        <v>19083.2</v>
      </c>
      <c r="W25" s="1514">
        <f t="shared" si="11"/>
        <v>13976.2</v>
      </c>
      <c r="X25" s="1514">
        <f t="shared" si="11"/>
        <v>0</v>
      </c>
      <c r="Y25" s="1514">
        <f t="shared" si="11"/>
        <v>0</v>
      </c>
      <c r="Z25" s="1514">
        <f t="shared" si="11"/>
        <v>21146</v>
      </c>
      <c r="AA25" s="1514">
        <f t="shared" si="11"/>
        <v>11146</v>
      </c>
      <c r="AB25" s="1514">
        <f t="shared" ref="AB25:AC25" si="12">SUM(AB26:AB29)</f>
        <v>2830.2</v>
      </c>
      <c r="AC25" s="1514">
        <f t="shared" si="12"/>
        <v>2366</v>
      </c>
      <c r="AD25" s="1514">
        <f>SUM(AD26:AD29)</f>
        <v>2366</v>
      </c>
      <c r="AE25" s="1514">
        <f>SUM(AE26:AE29)</f>
        <v>0</v>
      </c>
      <c r="AF25" s="1514">
        <f>SUM(AF26:AF29)</f>
        <v>0</v>
      </c>
      <c r="AG25" s="1516"/>
      <c r="AH25" s="1517"/>
      <c r="AI25" s="1563"/>
      <c r="AJ25" s="1668">
        <v>1</v>
      </c>
    </row>
    <row r="26" spans="1:36" s="1519" customFormat="1" ht="33.75" x14ac:dyDescent="0.25">
      <c r="A26" s="1509">
        <v>1</v>
      </c>
      <c r="B26" s="1526" t="s">
        <v>1744</v>
      </c>
      <c r="C26" s="1509" t="s">
        <v>1799</v>
      </c>
      <c r="D26" s="1531">
        <v>7718</v>
      </c>
      <c r="E26" s="1531">
        <v>2044</v>
      </c>
      <c r="F26" s="1529"/>
      <c r="G26" s="1529"/>
      <c r="H26" s="1531"/>
      <c r="I26" s="1531"/>
      <c r="J26" s="1516"/>
      <c r="K26" s="1516"/>
      <c r="L26" s="1531">
        <v>1203</v>
      </c>
      <c r="M26" s="1531">
        <v>1203</v>
      </c>
      <c r="N26" s="1516"/>
      <c r="O26" s="1516"/>
      <c r="P26" s="1516"/>
      <c r="Q26" s="1516"/>
      <c r="R26" s="1516"/>
      <c r="S26" s="1516"/>
      <c r="T26" s="1516">
        <f t="shared" si="7"/>
        <v>1203</v>
      </c>
      <c r="U26" s="1516">
        <f t="shared" si="8"/>
        <v>1203</v>
      </c>
      <c r="V26" s="1528">
        <v>7151</v>
      </c>
      <c r="W26" s="1528">
        <v>2044</v>
      </c>
      <c r="X26" s="1516"/>
      <c r="Y26" s="1516"/>
      <c r="Z26" s="1516">
        <f t="shared" si="5"/>
        <v>1203</v>
      </c>
      <c r="AA26" s="1516">
        <f t="shared" si="5"/>
        <v>1203</v>
      </c>
      <c r="AB26" s="1516">
        <f t="shared" si="9"/>
        <v>841</v>
      </c>
      <c r="AC26" s="1516">
        <v>640</v>
      </c>
      <c r="AD26" s="1516">
        <v>640</v>
      </c>
      <c r="AE26" s="1516"/>
      <c r="AF26" s="1516"/>
      <c r="AG26" s="1516">
        <f>(AD26+U26)/E26*100</f>
        <v>90.166340508806258</v>
      </c>
      <c r="AH26" s="1509" t="s">
        <v>427</v>
      </c>
      <c r="AI26" s="1509"/>
      <c r="AJ26" s="1668"/>
    </row>
    <row r="27" spans="1:36" s="1519" customFormat="1" ht="33.75" x14ac:dyDescent="0.25">
      <c r="A27" s="1509">
        <v>2</v>
      </c>
      <c r="B27" s="1526" t="s">
        <v>1010</v>
      </c>
      <c r="C27" s="1509" t="s">
        <v>1011</v>
      </c>
      <c r="D27" s="1531">
        <v>8358</v>
      </c>
      <c r="E27" s="1531">
        <v>8358</v>
      </c>
      <c r="F27" s="1529"/>
      <c r="G27" s="1529"/>
      <c r="H27" s="1531">
        <v>500</v>
      </c>
      <c r="I27" s="1531">
        <v>500</v>
      </c>
      <c r="J27" s="1516"/>
      <c r="K27" s="1516"/>
      <c r="L27" s="1531">
        <v>1096</v>
      </c>
      <c r="M27" s="1531">
        <v>1096</v>
      </c>
      <c r="N27" s="1516"/>
      <c r="O27" s="1516"/>
      <c r="P27" s="1516">
        <v>4700</v>
      </c>
      <c r="Q27" s="1516">
        <v>4700</v>
      </c>
      <c r="R27" s="1516"/>
      <c r="S27" s="1516"/>
      <c r="T27" s="1516">
        <f t="shared" si="7"/>
        <v>6296</v>
      </c>
      <c r="U27" s="1516">
        <f t="shared" si="8"/>
        <v>6296</v>
      </c>
      <c r="V27" s="1528">
        <v>7522.2</v>
      </c>
      <c r="W27" s="1528">
        <v>7522.2</v>
      </c>
      <c r="X27" s="1516"/>
      <c r="Y27" s="1516"/>
      <c r="Z27" s="1516">
        <f t="shared" si="5"/>
        <v>6296</v>
      </c>
      <c r="AA27" s="1516">
        <f t="shared" si="5"/>
        <v>6296</v>
      </c>
      <c r="AB27" s="1516">
        <f t="shared" si="9"/>
        <v>1226.1999999999998</v>
      </c>
      <c r="AC27" s="1516">
        <v>1226</v>
      </c>
      <c r="AD27" s="1516">
        <v>1226</v>
      </c>
      <c r="AE27" s="1516"/>
      <c r="AF27" s="1516"/>
      <c r="AG27" s="1516">
        <f>(AD27+U27)/E27*100</f>
        <v>89.997607083034211</v>
      </c>
      <c r="AH27" s="1527" t="s">
        <v>1009</v>
      </c>
      <c r="AI27" s="1509"/>
      <c r="AJ27" s="1668"/>
    </row>
    <row r="28" spans="1:36" s="1645" customFormat="1" ht="45" x14ac:dyDescent="0.25">
      <c r="A28" s="1509">
        <v>3</v>
      </c>
      <c r="B28" s="1537" t="s">
        <v>1008</v>
      </c>
      <c r="C28" s="1509" t="s">
        <v>1800</v>
      </c>
      <c r="D28" s="1536">
        <v>2563</v>
      </c>
      <c r="E28" s="1536">
        <v>2563</v>
      </c>
      <c r="F28" s="1538"/>
      <c r="G28" s="1538"/>
      <c r="H28" s="1539"/>
      <c r="I28" s="1539"/>
      <c r="J28" s="1540"/>
      <c r="K28" s="1540"/>
      <c r="L28" s="1539"/>
      <c r="M28" s="1539"/>
      <c r="N28" s="1540"/>
      <c r="O28" s="1540"/>
      <c r="P28" s="1516">
        <v>1800</v>
      </c>
      <c r="Q28" s="1516">
        <v>1800</v>
      </c>
      <c r="R28" s="1540"/>
      <c r="S28" s="1540"/>
      <c r="T28" s="1516">
        <f>F28+H28+L28+P28</f>
        <v>1800</v>
      </c>
      <c r="U28" s="1516">
        <f>G28+I28+M28+Q28+R28</f>
        <v>1800</v>
      </c>
      <c r="V28" s="1536">
        <v>2563</v>
      </c>
      <c r="W28" s="1536">
        <v>2563</v>
      </c>
      <c r="X28" s="1540"/>
      <c r="Y28" s="1540"/>
      <c r="Z28" s="1516">
        <f>H28+L28+P28</f>
        <v>1800</v>
      </c>
      <c r="AA28" s="1516">
        <f>I28+M28+Q28</f>
        <v>1800</v>
      </c>
      <c r="AB28" s="1516">
        <f>W28-AA28</f>
        <v>763</v>
      </c>
      <c r="AC28" s="1516">
        <v>500</v>
      </c>
      <c r="AD28" s="1541">
        <v>500</v>
      </c>
      <c r="AE28" s="1540"/>
      <c r="AF28" s="1540"/>
      <c r="AG28" s="1516">
        <f>(T28+AC28)/D28*100</f>
        <v>89.738587592664842</v>
      </c>
      <c r="AH28" s="1530" t="s">
        <v>1007</v>
      </c>
      <c r="AI28" s="1542"/>
      <c r="AJ28" s="1564"/>
    </row>
    <row r="29" spans="1:36" s="1519" customFormat="1" ht="45" x14ac:dyDescent="0.25">
      <c r="A29" s="1509">
        <v>4</v>
      </c>
      <c r="B29" s="1526" t="s">
        <v>1966</v>
      </c>
      <c r="C29" s="1509" t="s">
        <v>1967</v>
      </c>
      <c r="D29" s="1536">
        <v>45500</v>
      </c>
      <c r="E29" s="1536">
        <v>18500</v>
      </c>
      <c r="F29" s="1529"/>
      <c r="G29" s="1529"/>
      <c r="H29" s="1531">
        <v>1847</v>
      </c>
      <c r="I29" s="1531">
        <v>1847</v>
      </c>
      <c r="J29" s="1516"/>
      <c r="K29" s="1516"/>
      <c r="L29" s="1531">
        <v>10000</v>
      </c>
      <c r="M29" s="1531"/>
      <c r="N29" s="1516"/>
      <c r="O29" s="1516"/>
      <c r="P29" s="1516"/>
      <c r="Q29" s="1516"/>
      <c r="R29" s="1516"/>
      <c r="S29" s="1516"/>
      <c r="T29" s="1516">
        <f t="shared" si="7"/>
        <v>11847</v>
      </c>
      <c r="U29" s="1516">
        <f t="shared" si="8"/>
        <v>1847</v>
      </c>
      <c r="V29" s="1528">
        <v>1847</v>
      </c>
      <c r="W29" s="1528">
        <v>1847</v>
      </c>
      <c r="X29" s="1516"/>
      <c r="Y29" s="1516"/>
      <c r="Z29" s="1516">
        <f t="shared" si="5"/>
        <v>11847</v>
      </c>
      <c r="AA29" s="1516">
        <f t="shared" si="5"/>
        <v>1847</v>
      </c>
      <c r="AB29" s="1516">
        <f t="shared" si="9"/>
        <v>0</v>
      </c>
      <c r="AC29" s="1516">
        <v>0</v>
      </c>
      <c r="AD29" s="1516"/>
      <c r="AE29" s="1516"/>
      <c r="AF29" s="1516"/>
      <c r="AG29" s="1516">
        <f>(T29+AC29)/D29*100</f>
        <v>26.037362637362637</v>
      </c>
      <c r="AH29" s="1530" t="s">
        <v>1960</v>
      </c>
      <c r="AI29" s="1509" t="s">
        <v>1968</v>
      </c>
      <c r="AJ29" s="1668"/>
    </row>
    <row r="30" spans="1:36" s="1519" customFormat="1" x14ac:dyDescent="0.25">
      <c r="A30" s="1522" t="s">
        <v>445</v>
      </c>
      <c r="B30" s="1644" t="s">
        <v>1801</v>
      </c>
      <c r="C30" s="1522"/>
      <c r="D30" s="1514">
        <f>D31</f>
        <v>4705</v>
      </c>
      <c r="E30" s="1514">
        <f t="shared" ref="E30:AF30" si="13">E31</f>
        <v>4705</v>
      </c>
      <c r="F30" s="1514">
        <f t="shared" si="13"/>
        <v>0</v>
      </c>
      <c r="G30" s="1514">
        <f t="shared" si="13"/>
        <v>0</v>
      </c>
      <c r="H30" s="1514">
        <f t="shared" si="13"/>
        <v>0</v>
      </c>
      <c r="I30" s="1514">
        <f t="shared" si="13"/>
        <v>0</v>
      </c>
      <c r="J30" s="1514">
        <f t="shared" si="13"/>
        <v>0</v>
      </c>
      <c r="K30" s="1514">
        <f t="shared" si="13"/>
        <v>0</v>
      </c>
      <c r="L30" s="1514">
        <f t="shared" si="13"/>
        <v>0</v>
      </c>
      <c r="M30" s="1514">
        <f t="shared" si="13"/>
        <v>0</v>
      </c>
      <c r="N30" s="1514">
        <f t="shared" si="13"/>
        <v>0</v>
      </c>
      <c r="O30" s="1514">
        <f t="shared" si="13"/>
        <v>0</v>
      </c>
      <c r="P30" s="1514">
        <f t="shared" si="13"/>
        <v>69</v>
      </c>
      <c r="Q30" s="1514">
        <f t="shared" si="13"/>
        <v>69</v>
      </c>
      <c r="R30" s="1514">
        <f t="shared" si="13"/>
        <v>0</v>
      </c>
      <c r="S30" s="1514">
        <f t="shared" si="13"/>
        <v>0</v>
      </c>
      <c r="T30" s="1514">
        <f t="shared" si="13"/>
        <v>69</v>
      </c>
      <c r="U30" s="1514">
        <f t="shared" si="13"/>
        <v>69</v>
      </c>
      <c r="V30" s="1514">
        <f t="shared" si="13"/>
        <v>4705</v>
      </c>
      <c r="W30" s="1514">
        <f t="shared" si="13"/>
        <v>4705</v>
      </c>
      <c r="X30" s="1514">
        <f t="shared" si="13"/>
        <v>0</v>
      </c>
      <c r="Y30" s="1514">
        <f t="shared" si="13"/>
        <v>0</v>
      </c>
      <c r="Z30" s="1514">
        <f t="shared" si="13"/>
        <v>69</v>
      </c>
      <c r="AA30" s="1514">
        <f t="shared" si="13"/>
        <v>69</v>
      </c>
      <c r="AB30" s="1514">
        <f t="shared" si="13"/>
        <v>4636</v>
      </c>
      <c r="AC30" s="1514">
        <f t="shared" si="13"/>
        <v>2134</v>
      </c>
      <c r="AD30" s="1514">
        <f t="shared" si="13"/>
        <v>2134</v>
      </c>
      <c r="AE30" s="1514">
        <f t="shared" si="13"/>
        <v>0</v>
      </c>
      <c r="AF30" s="1514">
        <f t="shared" si="13"/>
        <v>0</v>
      </c>
      <c r="AG30" s="1516"/>
      <c r="AH30" s="1517"/>
      <c r="AI30" s="1563"/>
      <c r="AJ30" s="1668">
        <v>1</v>
      </c>
    </row>
    <row r="31" spans="1:36" s="1519" customFormat="1" ht="45" x14ac:dyDescent="0.25">
      <c r="A31" s="1509">
        <v>1</v>
      </c>
      <c r="B31" s="1526" t="s">
        <v>1006</v>
      </c>
      <c r="C31" s="1509"/>
      <c r="D31" s="1531">
        <v>4705</v>
      </c>
      <c r="E31" s="1531">
        <v>4705</v>
      </c>
      <c r="F31" s="1529"/>
      <c r="G31" s="1529"/>
      <c r="H31" s="1531"/>
      <c r="I31" s="1531"/>
      <c r="J31" s="1516"/>
      <c r="K31" s="1516"/>
      <c r="L31" s="1531"/>
      <c r="M31" s="1531"/>
      <c r="N31" s="1516"/>
      <c r="O31" s="1516"/>
      <c r="P31" s="1516">
        <v>69</v>
      </c>
      <c r="Q31" s="1516">
        <v>69</v>
      </c>
      <c r="R31" s="1516"/>
      <c r="S31" s="1516"/>
      <c r="T31" s="1516">
        <f t="shared" si="7"/>
        <v>69</v>
      </c>
      <c r="U31" s="1516">
        <f t="shared" si="8"/>
        <v>69</v>
      </c>
      <c r="V31" s="1528">
        <v>4705</v>
      </c>
      <c r="W31" s="1528">
        <v>4705</v>
      </c>
      <c r="X31" s="1516"/>
      <c r="Y31" s="1516"/>
      <c r="Z31" s="1516">
        <f t="shared" si="5"/>
        <v>69</v>
      </c>
      <c r="AA31" s="1516">
        <f t="shared" si="5"/>
        <v>69</v>
      </c>
      <c r="AB31" s="1516">
        <f t="shared" si="9"/>
        <v>4636</v>
      </c>
      <c r="AC31" s="1516">
        <v>2134</v>
      </c>
      <c r="AD31" s="1516">
        <v>2134</v>
      </c>
      <c r="AE31" s="1516"/>
      <c r="AF31" s="1516"/>
      <c r="AG31" s="1516">
        <f>(T31+AC31)/D31*100</f>
        <v>46.822529224229541</v>
      </c>
      <c r="AH31" s="1509" t="s">
        <v>1005</v>
      </c>
      <c r="AI31" s="1509"/>
      <c r="AJ31" s="1668"/>
    </row>
    <row r="32" spans="1:36" s="1519" customFormat="1" x14ac:dyDescent="0.25">
      <c r="A32" s="1522" t="s">
        <v>15</v>
      </c>
      <c r="B32" s="1643" t="s">
        <v>1193</v>
      </c>
      <c r="C32" s="1518"/>
      <c r="D32" s="1514">
        <f t="shared" ref="D32:AC32" si="14">D33+D72+D89</f>
        <v>926842.27645100001</v>
      </c>
      <c r="E32" s="1514">
        <f t="shared" si="14"/>
        <v>628634.4</v>
      </c>
      <c r="F32" s="1514">
        <f t="shared" si="14"/>
        <v>412458.36</v>
      </c>
      <c r="G32" s="1514">
        <f t="shared" si="14"/>
        <v>234925</v>
      </c>
      <c r="H32" s="1514">
        <f t="shared" si="14"/>
        <v>82463</v>
      </c>
      <c r="I32" s="1514">
        <f t="shared" si="14"/>
        <v>82463</v>
      </c>
      <c r="J32" s="1514">
        <f t="shared" si="14"/>
        <v>0</v>
      </c>
      <c r="K32" s="1514">
        <f t="shared" si="14"/>
        <v>2606</v>
      </c>
      <c r="L32" s="1514">
        <f t="shared" si="14"/>
        <v>59282.2</v>
      </c>
      <c r="M32" s="1514">
        <f t="shared" si="14"/>
        <v>45682.2</v>
      </c>
      <c r="N32" s="1514">
        <f t="shared" si="14"/>
        <v>0</v>
      </c>
      <c r="O32" s="1514">
        <f t="shared" si="14"/>
        <v>0</v>
      </c>
      <c r="P32" s="1514">
        <f t="shared" si="14"/>
        <v>31160</v>
      </c>
      <c r="Q32" s="1514">
        <f t="shared" si="14"/>
        <v>31160</v>
      </c>
      <c r="R32" s="1514">
        <f t="shared" si="14"/>
        <v>0</v>
      </c>
      <c r="S32" s="1514">
        <f t="shared" si="14"/>
        <v>240</v>
      </c>
      <c r="T32" s="1514">
        <f t="shared" si="14"/>
        <v>585363.55999999994</v>
      </c>
      <c r="U32" s="1514">
        <f t="shared" si="14"/>
        <v>394230.2</v>
      </c>
      <c r="V32" s="1514">
        <f t="shared" si="14"/>
        <v>340053.35020600003</v>
      </c>
      <c r="W32" s="1514">
        <f t="shared" si="14"/>
        <v>219965.72</v>
      </c>
      <c r="X32" s="1514">
        <f t="shared" si="14"/>
        <v>0</v>
      </c>
      <c r="Y32" s="1514">
        <f t="shared" si="14"/>
        <v>2846</v>
      </c>
      <c r="Z32" s="1514">
        <f t="shared" si="14"/>
        <v>172905.2</v>
      </c>
      <c r="AA32" s="1514">
        <f t="shared" si="14"/>
        <v>159305.20000000001</v>
      </c>
      <c r="AB32" s="1514">
        <f t="shared" si="14"/>
        <v>60660.520000000004</v>
      </c>
      <c r="AC32" s="1514">
        <f t="shared" si="14"/>
        <v>55000.42</v>
      </c>
      <c r="AD32" s="1514">
        <f>AD33+AD72+AD89</f>
        <v>55000.42</v>
      </c>
      <c r="AE32" s="1514">
        <f>AE33+AE72+AE89</f>
        <v>0</v>
      </c>
      <c r="AF32" s="1514">
        <f>AF33+AF72+AF89</f>
        <v>0</v>
      </c>
      <c r="AG32" s="1516"/>
      <c r="AH32" s="1615"/>
      <c r="AI32" s="1509"/>
      <c r="AJ32" s="1668">
        <v>1</v>
      </c>
    </row>
    <row r="33" spans="1:36" s="1519" customFormat="1" ht="21" x14ac:dyDescent="0.25">
      <c r="A33" s="1522" t="s">
        <v>146</v>
      </c>
      <c r="B33" s="1644" t="s">
        <v>1794</v>
      </c>
      <c r="C33" s="1518"/>
      <c r="D33" s="1514">
        <f t="shared" ref="D33:AF33" si="15">D34+D60</f>
        <v>651544.27645100001</v>
      </c>
      <c r="E33" s="1514">
        <f t="shared" si="15"/>
        <v>443704.2</v>
      </c>
      <c r="F33" s="1514">
        <f t="shared" si="15"/>
        <v>386087.36</v>
      </c>
      <c r="G33" s="1514">
        <f t="shared" si="15"/>
        <v>208554</v>
      </c>
      <c r="H33" s="1514">
        <f t="shared" si="15"/>
        <v>57444</v>
      </c>
      <c r="I33" s="1514">
        <f t="shared" si="15"/>
        <v>57444</v>
      </c>
      <c r="J33" s="1514">
        <f t="shared" si="15"/>
        <v>0</v>
      </c>
      <c r="K33" s="1514">
        <f t="shared" si="15"/>
        <v>2606</v>
      </c>
      <c r="L33" s="1514">
        <f t="shared" si="15"/>
        <v>11419.5</v>
      </c>
      <c r="M33" s="1514">
        <f t="shared" si="15"/>
        <v>2819.5</v>
      </c>
      <c r="N33" s="1514">
        <f t="shared" si="15"/>
        <v>0</v>
      </c>
      <c r="O33" s="1514">
        <f t="shared" si="15"/>
        <v>0</v>
      </c>
      <c r="P33" s="1514">
        <f t="shared" si="15"/>
        <v>2710</v>
      </c>
      <c r="Q33" s="1514">
        <f t="shared" si="15"/>
        <v>2710</v>
      </c>
      <c r="R33" s="1514">
        <f t="shared" si="15"/>
        <v>0</v>
      </c>
      <c r="S33" s="1514">
        <f t="shared" si="15"/>
        <v>240</v>
      </c>
      <c r="T33" s="1514">
        <f t="shared" si="15"/>
        <v>457660.86</v>
      </c>
      <c r="U33" s="1514">
        <f t="shared" si="15"/>
        <v>271527.5</v>
      </c>
      <c r="V33" s="1514">
        <f t="shared" si="15"/>
        <v>110053.850206</v>
      </c>
      <c r="W33" s="1514">
        <f t="shared" si="15"/>
        <v>76078.8</v>
      </c>
      <c r="X33" s="1514">
        <f t="shared" si="15"/>
        <v>0</v>
      </c>
      <c r="Y33" s="1514">
        <f t="shared" si="15"/>
        <v>2846</v>
      </c>
      <c r="Z33" s="1514">
        <f t="shared" si="15"/>
        <v>71573.5</v>
      </c>
      <c r="AA33" s="1514">
        <f t="shared" si="15"/>
        <v>62973.5</v>
      </c>
      <c r="AB33" s="1514">
        <f t="shared" si="15"/>
        <v>13105.300000000003</v>
      </c>
      <c r="AC33" s="1514">
        <f t="shared" si="15"/>
        <v>7949.2</v>
      </c>
      <c r="AD33" s="1514">
        <f t="shared" si="15"/>
        <v>7949.2</v>
      </c>
      <c r="AE33" s="1514">
        <f t="shared" si="15"/>
        <v>0</v>
      </c>
      <c r="AF33" s="1514">
        <f t="shared" si="15"/>
        <v>0</v>
      </c>
      <c r="AG33" s="1516"/>
      <c r="AH33" s="1615"/>
      <c r="AI33" s="1509"/>
      <c r="AJ33" s="1668">
        <v>1</v>
      </c>
    </row>
    <row r="34" spans="1:36" s="1519" customFormat="1" x14ac:dyDescent="0.25">
      <c r="A34" s="1523" t="s">
        <v>438</v>
      </c>
      <c r="B34" s="1524" t="s">
        <v>1194</v>
      </c>
      <c r="C34" s="1543"/>
      <c r="D34" s="1525">
        <f>SUM(D35:D59)</f>
        <v>341920.27645100001</v>
      </c>
      <c r="E34" s="1525">
        <f t="shared" ref="E34:AF34" si="16">SUM(E35:E59)</f>
        <v>162807.20000000001</v>
      </c>
      <c r="F34" s="1525">
        <f t="shared" si="16"/>
        <v>236887.36</v>
      </c>
      <c r="G34" s="1525">
        <f t="shared" si="16"/>
        <v>94118</v>
      </c>
      <c r="H34" s="1525">
        <f t="shared" si="16"/>
        <v>7506</v>
      </c>
      <c r="I34" s="1525">
        <f t="shared" si="16"/>
        <v>7506</v>
      </c>
      <c r="J34" s="1525">
        <f t="shared" si="16"/>
        <v>0</v>
      </c>
      <c r="K34" s="1525">
        <f t="shared" si="16"/>
        <v>2606</v>
      </c>
      <c r="L34" s="1525">
        <f t="shared" si="16"/>
        <v>312.5</v>
      </c>
      <c r="M34" s="1525">
        <f t="shared" si="16"/>
        <v>312.5</v>
      </c>
      <c r="N34" s="1525">
        <f t="shared" si="16"/>
        <v>0</v>
      </c>
      <c r="O34" s="1525">
        <f t="shared" si="16"/>
        <v>0</v>
      </c>
      <c r="P34" s="1525">
        <f t="shared" si="16"/>
        <v>710</v>
      </c>
      <c r="Q34" s="1525">
        <f t="shared" si="16"/>
        <v>710</v>
      </c>
      <c r="R34" s="1525">
        <f t="shared" si="16"/>
        <v>0</v>
      </c>
      <c r="S34" s="1525">
        <f t="shared" si="16"/>
        <v>240</v>
      </c>
      <c r="T34" s="1525">
        <f t="shared" si="16"/>
        <v>245415.86</v>
      </c>
      <c r="U34" s="1525">
        <f t="shared" si="16"/>
        <v>102646.5</v>
      </c>
      <c r="V34" s="1525">
        <f t="shared" si="16"/>
        <v>44641.750206000004</v>
      </c>
      <c r="W34" s="1525">
        <f t="shared" si="16"/>
        <v>12225.7</v>
      </c>
      <c r="X34" s="1525">
        <f t="shared" si="16"/>
        <v>0</v>
      </c>
      <c r="Y34" s="1525">
        <f t="shared" si="16"/>
        <v>2846</v>
      </c>
      <c r="Z34" s="1525">
        <f t="shared" si="16"/>
        <v>8528.5</v>
      </c>
      <c r="AA34" s="1525">
        <f t="shared" si="16"/>
        <v>8528.5</v>
      </c>
      <c r="AB34" s="1525">
        <f t="shared" si="16"/>
        <v>3697.2</v>
      </c>
      <c r="AC34" s="1525">
        <f t="shared" si="16"/>
        <v>1940.2</v>
      </c>
      <c r="AD34" s="1525">
        <f t="shared" si="16"/>
        <v>1940.2</v>
      </c>
      <c r="AE34" s="1525">
        <f t="shared" si="16"/>
        <v>0</v>
      </c>
      <c r="AF34" s="1525">
        <f t="shared" si="16"/>
        <v>0</v>
      </c>
      <c r="AG34" s="1516"/>
      <c r="AH34" s="1543"/>
      <c r="AI34" s="1509"/>
      <c r="AJ34" s="1668">
        <v>1</v>
      </c>
    </row>
    <row r="35" spans="1:36" s="1519" customFormat="1" ht="33.75" x14ac:dyDescent="0.25">
      <c r="A35" s="1527">
        <v>1</v>
      </c>
      <c r="B35" s="1544" t="s">
        <v>1969</v>
      </c>
      <c r="C35" s="1527"/>
      <c r="D35" s="1529">
        <v>5828</v>
      </c>
      <c r="E35" s="1529">
        <v>5828</v>
      </c>
      <c r="F35" s="1529">
        <v>5069</v>
      </c>
      <c r="G35" s="1529">
        <v>5069</v>
      </c>
      <c r="H35" s="1528">
        <v>748</v>
      </c>
      <c r="I35" s="1528">
        <v>748</v>
      </c>
      <c r="J35" s="1516"/>
      <c r="K35" s="1516"/>
      <c r="L35" s="1528">
        <v>11</v>
      </c>
      <c r="M35" s="1528">
        <v>11</v>
      </c>
      <c r="N35" s="1516"/>
      <c r="O35" s="1516"/>
      <c r="P35" s="1516"/>
      <c r="Q35" s="1516"/>
      <c r="R35" s="1516"/>
      <c r="S35" s="1516"/>
      <c r="T35" s="1516">
        <f t="shared" si="7"/>
        <v>5828</v>
      </c>
      <c r="U35" s="1516">
        <f t="shared" si="8"/>
        <v>5828</v>
      </c>
      <c r="V35" s="1528">
        <v>759</v>
      </c>
      <c r="W35" s="1528">
        <v>759</v>
      </c>
      <c r="X35" s="1516"/>
      <c r="Y35" s="1516"/>
      <c r="Z35" s="1516">
        <f t="shared" si="5"/>
        <v>759</v>
      </c>
      <c r="AA35" s="1516">
        <f t="shared" si="5"/>
        <v>759</v>
      </c>
      <c r="AB35" s="1516">
        <f t="shared" si="9"/>
        <v>0</v>
      </c>
      <c r="AC35" s="1516"/>
      <c r="AD35" s="1516"/>
      <c r="AE35" s="1516"/>
      <c r="AF35" s="1516"/>
      <c r="AG35" s="1516">
        <f>(T35+AC35)/D35*100</f>
        <v>100</v>
      </c>
      <c r="AH35" s="1509" t="s">
        <v>1970</v>
      </c>
      <c r="AI35" s="1509" t="s">
        <v>1971</v>
      </c>
      <c r="AJ35" s="1668"/>
    </row>
    <row r="36" spans="1:36" s="1519" customFormat="1" ht="33.75" x14ac:dyDescent="0.25">
      <c r="A36" s="1542">
        <v>2</v>
      </c>
      <c r="B36" s="1544" t="s">
        <v>1972</v>
      </c>
      <c r="C36" s="1509" t="s">
        <v>1973</v>
      </c>
      <c r="D36" s="1529">
        <v>4089</v>
      </c>
      <c r="E36" s="1529">
        <v>4089</v>
      </c>
      <c r="F36" s="1529">
        <v>2345</v>
      </c>
      <c r="G36" s="1529">
        <v>2345</v>
      </c>
      <c r="H36" s="1528">
        <v>33</v>
      </c>
      <c r="I36" s="1528">
        <v>33</v>
      </c>
      <c r="J36" s="1516"/>
      <c r="K36" s="1516"/>
      <c r="L36" s="1528"/>
      <c r="M36" s="1528"/>
      <c r="N36" s="1516"/>
      <c r="O36" s="1516"/>
      <c r="P36" s="1516"/>
      <c r="Q36" s="1516"/>
      <c r="R36" s="1516"/>
      <c r="S36" s="1516"/>
      <c r="T36" s="1516">
        <f t="shared" si="7"/>
        <v>2378</v>
      </c>
      <c r="U36" s="1516">
        <f t="shared" si="8"/>
        <v>2378</v>
      </c>
      <c r="V36" s="1528">
        <v>33</v>
      </c>
      <c r="W36" s="1528">
        <v>33</v>
      </c>
      <c r="X36" s="1516"/>
      <c r="Y36" s="1516"/>
      <c r="Z36" s="1516">
        <f t="shared" si="5"/>
        <v>33</v>
      </c>
      <c r="AA36" s="1516">
        <f t="shared" si="5"/>
        <v>33</v>
      </c>
      <c r="AB36" s="1516">
        <f t="shared" si="9"/>
        <v>0</v>
      </c>
      <c r="AC36" s="1516"/>
      <c r="AD36" s="1516"/>
      <c r="AE36" s="1516"/>
      <c r="AF36" s="1516"/>
      <c r="AG36" s="1516">
        <v>100</v>
      </c>
      <c r="AH36" s="1527" t="s">
        <v>418</v>
      </c>
      <c r="AI36" s="1509" t="s">
        <v>1971</v>
      </c>
      <c r="AJ36" s="1668"/>
    </row>
    <row r="37" spans="1:36" s="1519" customFormat="1" ht="33.75" x14ac:dyDescent="0.25">
      <c r="A37" s="1527">
        <v>3</v>
      </c>
      <c r="B37" s="1544" t="s">
        <v>1974</v>
      </c>
      <c r="C37" s="1509" t="s">
        <v>1975</v>
      </c>
      <c r="D37" s="1529">
        <v>1856</v>
      </c>
      <c r="E37" s="1529">
        <v>1856</v>
      </c>
      <c r="F37" s="1529">
        <v>1277</v>
      </c>
      <c r="G37" s="1529">
        <v>1277</v>
      </c>
      <c r="H37" s="1528">
        <v>152</v>
      </c>
      <c r="I37" s="1528">
        <v>152</v>
      </c>
      <c r="J37" s="1516"/>
      <c r="K37" s="1516"/>
      <c r="L37" s="1528"/>
      <c r="M37" s="1528"/>
      <c r="N37" s="1516"/>
      <c r="O37" s="1516"/>
      <c r="P37" s="1516"/>
      <c r="Q37" s="1516"/>
      <c r="R37" s="1516"/>
      <c r="S37" s="1516"/>
      <c r="T37" s="1516">
        <f t="shared" si="7"/>
        <v>1429</v>
      </c>
      <c r="U37" s="1516">
        <f t="shared" si="8"/>
        <v>1429</v>
      </c>
      <c r="V37" s="1528">
        <v>152</v>
      </c>
      <c r="W37" s="1528">
        <v>152</v>
      </c>
      <c r="X37" s="1516"/>
      <c r="Y37" s="1516"/>
      <c r="Z37" s="1516">
        <f t="shared" si="5"/>
        <v>152</v>
      </c>
      <c r="AA37" s="1516">
        <f t="shared" si="5"/>
        <v>152</v>
      </c>
      <c r="AB37" s="1516">
        <f t="shared" si="9"/>
        <v>0</v>
      </c>
      <c r="AC37" s="1516"/>
      <c r="AD37" s="1516"/>
      <c r="AE37" s="1516"/>
      <c r="AF37" s="1516"/>
      <c r="AG37" s="1516">
        <v>100</v>
      </c>
      <c r="AH37" s="1527" t="s">
        <v>418</v>
      </c>
      <c r="AI37" s="1509" t="s">
        <v>1971</v>
      </c>
      <c r="AJ37" s="1668"/>
    </row>
    <row r="38" spans="1:36" s="1519" customFormat="1" ht="33.75" x14ac:dyDescent="0.25">
      <c r="A38" s="1542">
        <v>4</v>
      </c>
      <c r="B38" s="1544" t="s">
        <v>1976</v>
      </c>
      <c r="C38" s="1509" t="s">
        <v>1977</v>
      </c>
      <c r="D38" s="1529">
        <v>7327</v>
      </c>
      <c r="E38" s="1529">
        <v>3703</v>
      </c>
      <c r="F38" s="1529">
        <v>1370</v>
      </c>
      <c r="G38" s="1529">
        <v>1370</v>
      </c>
      <c r="H38" s="1528">
        <v>494</v>
      </c>
      <c r="I38" s="1528">
        <v>494</v>
      </c>
      <c r="J38" s="1516"/>
      <c r="K38" s="1516"/>
      <c r="L38" s="1528"/>
      <c r="M38" s="1528"/>
      <c r="N38" s="1516"/>
      <c r="O38" s="1516"/>
      <c r="P38" s="1516"/>
      <c r="Q38" s="1516"/>
      <c r="R38" s="1516"/>
      <c r="S38" s="1516"/>
      <c r="T38" s="1516">
        <f t="shared" si="7"/>
        <v>1864</v>
      </c>
      <c r="U38" s="1516">
        <f t="shared" si="8"/>
        <v>1864</v>
      </c>
      <c r="V38" s="1528">
        <v>494</v>
      </c>
      <c r="W38" s="1528">
        <v>494</v>
      </c>
      <c r="X38" s="1516"/>
      <c r="Y38" s="1516"/>
      <c r="Z38" s="1516">
        <f t="shared" si="5"/>
        <v>494</v>
      </c>
      <c r="AA38" s="1516">
        <f t="shared" si="5"/>
        <v>494</v>
      </c>
      <c r="AB38" s="1516">
        <f t="shared" si="9"/>
        <v>0</v>
      </c>
      <c r="AC38" s="1516"/>
      <c r="AD38" s="1516"/>
      <c r="AE38" s="1516"/>
      <c r="AF38" s="1516"/>
      <c r="AG38" s="1516">
        <v>100</v>
      </c>
      <c r="AH38" s="1527" t="s">
        <v>418</v>
      </c>
      <c r="AI38" s="1509" t="s">
        <v>1971</v>
      </c>
      <c r="AJ38" s="1668"/>
    </row>
    <row r="39" spans="1:36" s="1519" customFormat="1" ht="33.75" x14ac:dyDescent="0.25">
      <c r="A39" s="1527">
        <v>5</v>
      </c>
      <c r="B39" s="1544" t="s">
        <v>1978</v>
      </c>
      <c r="C39" s="1509" t="s">
        <v>1979</v>
      </c>
      <c r="D39" s="1529">
        <v>261</v>
      </c>
      <c r="E39" s="1529">
        <v>261</v>
      </c>
      <c r="F39" s="1529">
        <v>205</v>
      </c>
      <c r="G39" s="1529">
        <v>205</v>
      </c>
      <c r="H39" s="1528">
        <v>41</v>
      </c>
      <c r="I39" s="1528">
        <v>41</v>
      </c>
      <c r="J39" s="1516"/>
      <c r="K39" s="1516"/>
      <c r="L39" s="1528"/>
      <c r="M39" s="1528"/>
      <c r="N39" s="1516"/>
      <c r="O39" s="1516"/>
      <c r="P39" s="1516"/>
      <c r="Q39" s="1516"/>
      <c r="R39" s="1516"/>
      <c r="S39" s="1516"/>
      <c r="T39" s="1516">
        <f t="shared" si="7"/>
        <v>246</v>
      </c>
      <c r="U39" s="1516">
        <f t="shared" si="8"/>
        <v>246</v>
      </c>
      <c r="V39" s="1528">
        <v>41</v>
      </c>
      <c r="W39" s="1528">
        <v>41</v>
      </c>
      <c r="X39" s="1516"/>
      <c r="Y39" s="1516"/>
      <c r="Z39" s="1516">
        <f t="shared" si="5"/>
        <v>41</v>
      </c>
      <c r="AA39" s="1516">
        <f t="shared" si="5"/>
        <v>41</v>
      </c>
      <c r="AB39" s="1516">
        <f t="shared" si="9"/>
        <v>0</v>
      </c>
      <c r="AC39" s="1516"/>
      <c r="AD39" s="1516"/>
      <c r="AE39" s="1516"/>
      <c r="AF39" s="1516"/>
      <c r="AG39" s="1516">
        <v>100</v>
      </c>
      <c r="AH39" s="1527" t="s">
        <v>418</v>
      </c>
      <c r="AI39" s="1509" t="s">
        <v>1971</v>
      </c>
      <c r="AJ39" s="1668"/>
    </row>
    <row r="40" spans="1:36" s="1519" customFormat="1" ht="33.75" x14ac:dyDescent="0.25">
      <c r="A40" s="1542">
        <v>6</v>
      </c>
      <c r="B40" s="1544" t="s">
        <v>1980</v>
      </c>
      <c r="C40" s="1509"/>
      <c r="D40" s="1529">
        <v>65165</v>
      </c>
      <c r="E40" s="1529">
        <f>7305+310</f>
        <v>7615</v>
      </c>
      <c r="F40" s="1529">
        <v>53806</v>
      </c>
      <c r="G40" s="1529">
        <v>7305</v>
      </c>
      <c r="H40" s="1528">
        <v>297</v>
      </c>
      <c r="I40" s="1528">
        <v>297</v>
      </c>
      <c r="J40" s="1516"/>
      <c r="K40" s="1516"/>
      <c r="L40" s="1528"/>
      <c r="M40" s="1528"/>
      <c r="N40" s="1516"/>
      <c r="O40" s="1516"/>
      <c r="P40" s="1516"/>
      <c r="Q40" s="1516"/>
      <c r="R40" s="1516"/>
      <c r="S40" s="1516"/>
      <c r="T40" s="1516">
        <f t="shared" si="7"/>
        <v>54103</v>
      </c>
      <c r="U40" s="1516">
        <f t="shared" si="8"/>
        <v>7602</v>
      </c>
      <c r="V40" s="1528">
        <v>297</v>
      </c>
      <c r="W40" s="1528">
        <v>297</v>
      </c>
      <c r="X40" s="1516"/>
      <c r="Y40" s="1516"/>
      <c r="Z40" s="1516">
        <f t="shared" si="5"/>
        <v>297</v>
      </c>
      <c r="AA40" s="1516">
        <f t="shared" si="5"/>
        <v>297</v>
      </c>
      <c r="AB40" s="1516">
        <f t="shared" si="9"/>
        <v>0</v>
      </c>
      <c r="AC40" s="1516"/>
      <c r="AD40" s="1516"/>
      <c r="AE40" s="1516"/>
      <c r="AF40" s="1516"/>
      <c r="AG40" s="1516">
        <v>100</v>
      </c>
      <c r="AH40" s="1527" t="s">
        <v>418</v>
      </c>
      <c r="AI40" s="1509" t="s">
        <v>1971</v>
      </c>
      <c r="AJ40" s="1668"/>
    </row>
    <row r="41" spans="1:36" s="1519" customFormat="1" ht="33.75" x14ac:dyDescent="0.25">
      <c r="A41" s="1527">
        <v>7</v>
      </c>
      <c r="B41" s="1544" t="s">
        <v>1981</v>
      </c>
      <c r="C41" s="1509"/>
      <c r="D41" s="1529">
        <v>16336</v>
      </c>
      <c r="E41" s="1529">
        <f>1880+145</f>
        <v>2025</v>
      </c>
      <c r="F41" s="1529">
        <v>12474</v>
      </c>
      <c r="G41" s="1529">
        <v>1880</v>
      </c>
      <c r="H41" s="1528">
        <v>140</v>
      </c>
      <c r="I41" s="1528">
        <v>140</v>
      </c>
      <c r="J41" s="1516"/>
      <c r="K41" s="1516"/>
      <c r="L41" s="1528"/>
      <c r="M41" s="1528"/>
      <c r="N41" s="1516"/>
      <c r="O41" s="1516"/>
      <c r="P41" s="1516"/>
      <c r="Q41" s="1516"/>
      <c r="R41" s="1516"/>
      <c r="S41" s="1516"/>
      <c r="T41" s="1516">
        <f t="shared" si="7"/>
        <v>12614</v>
      </c>
      <c r="U41" s="1516">
        <f t="shared" si="8"/>
        <v>2020</v>
      </c>
      <c r="V41" s="1528">
        <v>140</v>
      </c>
      <c r="W41" s="1528">
        <v>140</v>
      </c>
      <c r="X41" s="1516"/>
      <c r="Y41" s="1516"/>
      <c r="Z41" s="1516">
        <f t="shared" si="5"/>
        <v>140</v>
      </c>
      <c r="AA41" s="1516">
        <f t="shared" si="5"/>
        <v>140</v>
      </c>
      <c r="AB41" s="1516">
        <f t="shared" si="9"/>
        <v>0</v>
      </c>
      <c r="AC41" s="1516"/>
      <c r="AD41" s="1516"/>
      <c r="AE41" s="1516"/>
      <c r="AF41" s="1516"/>
      <c r="AG41" s="1516">
        <v>100</v>
      </c>
      <c r="AH41" s="1527" t="s">
        <v>418</v>
      </c>
      <c r="AI41" s="1509" t="s">
        <v>1971</v>
      </c>
      <c r="AJ41" s="1668"/>
    </row>
    <row r="42" spans="1:36" s="1519" customFormat="1" ht="33.75" x14ac:dyDescent="0.25">
      <c r="A42" s="1542">
        <v>8</v>
      </c>
      <c r="B42" s="1544" t="s">
        <v>1982</v>
      </c>
      <c r="C42" s="1509"/>
      <c r="D42" s="1529">
        <v>16063</v>
      </c>
      <c r="E42" s="1529"/>
      <c r="F42" s="1529">
        <v>14520</v>
      </c>
      <c r="G42" s="1529">
        <v>0</v>
      </c>
      <c r="H42" s="1528">
        <v>47</v>
      </c>
      <c r="I42" s="1528">
        <v>47</v>
      </c>
      <c r="J42" s="1516"/>
      <c r="K42" s="1516"/>
      <c r="L42" s="1528"/>
      <c r="M42" s="1528"/>
      <c r="N42" s="1516"/>
      <c r="O42" s="1516"/>
      <c r="P42" s="1516"/>
      <c r="Q42" s="1516"/>
      <c r="R42" s="1516"/>
      <c r="S42" s="1516"/>
      <c r="T42" s="1516">
        <f t="shared" si="7"/>
        <v>14567</v>
      </c>
      <c r="U42" s="1516">
        <f t="shared" si="8"/>
        <v>47</v>
      </c>
      <c r="V42" s="1528">
        <v>47</v>
      </c>
      <c r="W42" s="1528">
        <v>47</v>
      </c>
      <c r="X42" s="1516"/>
      <c r="Y42" s="1516"/>
      <c r="Z42" s="1516">
        <f t="shared" si="5"/>
        <v>47</v>
      </c>
      <c r="AA42" s="1516">
        <f t="shared" si="5"/>
        <v>47</v>
      </c>
      <c r="AB42" s="1516">
        <f t="shared" si="9"/>
        <v>0</v>
      </c>
      <c r="AC42" s="1516"/>
      <c r="AD42" s="1516"/>
      <c r="AE42" s="1516"/>
      <c r="AF42" s="1516"/>
      <c r="AG42" s="1516">
        <v>100</v>
      </c>
      <c r="AH42" s="1527" t="s">
        <v>418</v>
      </c>
      <c r="AI42" s="1509" t="s">
        <v>1971</v>
      </c>
      <c r="AJ42" s="1668"/>
    </row>
    <row r="43" spans="1:36" s="1519" customFormat="1" ht="33.75" x14ac:dyDescent="0.25">
      <c r="A43" s="1527">
        <v>9</v>
      </c>
      <c r="B43" s="1544" t="s">
        <v>1983</v>
      </c>
      <c r="C43" s="1509" t="s">
        <v>1984</v>
      </c>
      <c r="D43" s="1529">
        <v>296</v>
      </c>
      <c r="E43" s="1529">
        <v>2</v>
      </c>
      <c r="F43" s="1529">
        <v>266.16899999999998</v>
      </c>
      <c r="G43" s="1529"/>
      <c r="H43" s="1528">
        <v>2</v>
      </c>
      <c r="I43" s="1528">
        <v>2</v>
      </c>
      <c r="J43" s="1516"/>
      <c r="K43" s="1516"/>
      <c r="L43" s="1528"/>
      <c r="M43" s="1528"/>
      <c r="N43" s="1516"/>
      <c r="O43" s="1516"/>
      <c r="P43" s="1516"/>
      <c r="Q43" s="1516"/>
      <c r="R43" s="1516"/>
      <c r="S43" s="1516"/>
      <c r="T43" s="1516">
        <f t="shared" si="7"/>
        <v>268.16899999999998</v>
      </c>
      <c r="U43" s="1516">
        <f t="shared" si="8"/>
        <v>2</v>
      </c>
      <c r="V43" s="1528">
        <v>2</v>
      </c>
      <c r="W43" s="1528">
        <v>2</v>
      </c>
      <c r="X43" s="1516"/>
      <c r="Y43" s="1516"/>
      <c r="Z43" s="1516">
        <f t="shared" si="5"/>
        <v>2</v>
      </c>
      <c r="AA43" s="1516">
        <f t="shared" si="5"/>
        <v>2</v>
      </c>
      <c r="AB43" s="1516">
        <f t="shared" si="9"/>
        <v>0</v>
      </c>
      <c r="AC43" s="1516"/>
      <c r="AD43" s="1516"/>
      <c r="AE43" s="1516"/>
      <c r="AF43" s="1516"/>
      <c r="AG43" s="1516">
        <v>100</v>
      </c>
      <c r="AH43" s="1527" t="s">
        <v>418</v>
      </c>
      <c r="AI43" s="1509" t="s">
        <v>1971</v>
      </c>
      <c r="AJ43" s="1668"/>
    </row>
    <row r="44" spans="1:36" s="1519" customFormat="1" ht="33.75" x14ac:dyDescent="0.25">
      <c r="A44" s="1542">
        <v>10</v>
      </c>
      <c r="B44" s="1544" t="s">
        <v>1985</v>
      </c>
      <c r="C44" s="1509" t="s">
        <v>1986</v>
      </c>
      <c r="D44" s="1529">
        <v>952.27645099999995</v>
      </c>
      <c r="E44" s="1529">
        <v>4</v>
      </c>
      <c r="F44" s="1529">
        <v>860.31600000000003</v>
      </c>
      <c r="G44" s="1529"/>
      <c r="H44" s="1528">
        <v>4</v>
      </c>
      <c r="I44" s="1528">
        <v>4</v>
      </c>
      <c r="J44" s="1516"/>
      <c r="K44" s="1516"/>
      <c r="L44" s="1528"/>
      <c r="M44" s="1528"/>
      <c r="N44" s="1516"/>
      <c r="O44" s="1516"/>
      <c r="P44" s="1516"/>
      <c r="Q44" s="1516"/>
      <c r="R44" s="1516"/>
      <c r="S44" s="1516"/>
      <c r="T44" s="1516">
        <f t="shared" si="7"/>
        <v>864.31600000000003</v>
      </c>
      <c r="U44" s="1516">
        <f t="shared" si="8"/>
        <v>4</v>
      </c>
      <c r="V44" s="1528">
        <v>4</v>
      </c>
      <c r="W44" s="1528">
        <v>4</v>
      </c>
      <c r="X44" s="1516"/>
      <c r="Y44" s="1516"/>
      <c r="Z44" s="1516">
        <f t="shared" si="5"/>
        <v>4</v>
      </c>
      <c r="AA44" s="1516">
        <f t="shared" si="5"/>
        <v>4</v>
      </c>
      <c r="AB44" s="1516">
        <f t="shared" si="9"/>
        <v>0</v>
      </c>
      <c r="AC44" s="1516"/>
      <c r="AD44" s="1516"/>
      <c r="AE44" s="1516"/>
      <c r="AF44" s="1516"/>
      <c r="AG44" s="1516">
        <v>100</v>
      </c>
      <c r="AH44" s="1527" t="s">
        <v>418</v>
      </c>
      <c r="AI44" s="1509" t="s">
        <v>1971</v>
      </c>
      <c r="AJ44" s="1668"/>
    </row>
    <row r="45" spans="1:36" s="1519" customFormat="1" ht="33.75" x14ac:dyDescent="0.25">
      <c r="A45" s="1527">
        <v>11</v>
      </c>
      <c r="B45" s="1544" t="s">
        <v>1987</v>
      </c>
      <c r="C45" s="1509" t="s">
        <v>1988</v>
      </c>
      <c r="D45" s="1529">
        <v>472</v>
      </c>
      <c r="E45" s="1529">
        <v>12</v>
      </c>
      <c r="F45" s="1529">
        <v>458.13499999999999</v>
      </c>
      <c r="G45" s="1529"/>
      <c r="H45" s="1528">
        <v>12</v>
      </c>
      <c r="I45" s="1528">
        <v>12</v>
      </c>
      <c r="J45" s="1545"/>
      <c r="K45" s="1545"/>
      <c r="L45" s="1528"/>
      <c r="M45" s="1528"/>
      <c r="N45" s="1545"/>
      <c r="O45" s="1545"/>
      <c r="P45" s="1516"/>
      <c r="Q45" s="1516"/>
      <c r="R45" s="1516"/>
      <c r="S45" s="1516"/>
      <c r="T45" s="1516">
        <f t="shared" si="7"/>
        <v>470.13499999999999</v>
      </c>
      <c r="U45" s="1516">
        <f t="shared" si="8"/>
        <v>12</v>
      </c>
      <c r="V45" s="1528">
        <v>12</v>
      </c>
      <c r="W45" s="1528">
        <v>12</v>
      </c>
      <c r="X45" s="1516"/>
      <c r="Y45" s="1516"/>
      <c r="Z45" s="1516">
        <f t="shared" si="5"/>
        <v>12</v>
      </c>
      <c r="AA45" s="1516">
        <f t="shared" si="5"/>
        <v>12</v>
      </c>
      <c r="AB45" s="1516">
        <f t="shared" si="9"/>
        <v>0</v>
      </c>
      <c r="AC45" s="1516"/>
      <c r="AD45" s="1516"/>
      <c r="AE45" s="1516"/>
      <c r="AF45" s="1516"/>
      <c r="AG45" s="1516">
        <v>100</v>
      </c>
      <c r="AH45" s="1527" t="s">
        <v>418</v>
      </c>
      <c r="AI45" s="1509" t="s">
        <v>1971</v>
      </c>
      <c r="AJ45" s="1668"/>
    </row>
    <row r="46" spans="1:36" s="1519" customFormat="1" ht="33.75" x14ac:dyDescent="0.25">
      <c r="A46" s="1542">
        <v>12</v>
      </c>
      <c r="B46" s="1544" t="s">
        <v>1989</v>
      </c>
      <c r="C46" s="1509" t="s">
        <v>1990</v>
      </c>
      <c r="D46" s="1529">
        <v>531</v>
      </c>
      <c r="E46" s="1529">
        <v>2</v>
      </c>
      <c r="F46" s="1529">
        <v>462.74</v>
      </c>
      <c r="G46" s="1529"/>
      <c r="H46" s="1528">
        <v>2</v>
      </c>
      <c r="I46" s="1528">
        <v>2</v>
      </c>
      <c r="J46" s="1546"/>
      <c r="K46" s="1546"/>
      <c r="L46" s="1528"/>
      <c r="M46" s="1528"/>
      <c r="N46" s="1546"/>
      <c r="O46" s="1546"/>
      <c r="P46" s="1516"/>
      <c r="Q46" s="1516"/>
      <c r="R46" s="1516"/>
      <c r="S46" s="1516"/>
      <c r="T46" s="1516">
        <f t="shared" si="7"/>
        <v>464.74</v>
      </c>
      <c r="U46" s="1516">
        <f t="shared" si="8"/>
        <v>2</v>
      </c>
      <c r="V46" s="1528">
        <v>2</v>
      </c>
      <c r="W46" s="1528">
        <v>2</v>
      </c>
      <c r="X46" s="1516"/>
      <c r="Y46" s="1516"/>
      <c r="Z46" s="1516">
        <f t="shared" si="5"/>
        <v>2</v>
      </c>
      <c r="AA46" s="1516">
        <f t="shared" si="5"/>
        <v>2</v>
      </c>
      <c r="AB46" s="1516">
        <f t="shared" si="9"/>
        <v>0</v>
      </c>
      <c r="AC46" s="1516"/>
      <c r="AD46" s="1516"/>
      <c r="AE46" s="1516"/>
      <c r="AF46" s="1516"/>
      <c r="AG46" s="1516">
        <v>100</v>
      </c>
      <c r="AH46" s="1527" t="s">
        <v>418</v>
      </c>
      <c r="AI46" s="1509" t="s">
        <v>1971</v>
      </c>
      <c r="AJ46" s="1668"/>
    </row>
    <row r="47" spans="1:36" s="1519" customFormat="1" ht="33.75" x14ac:dyDescent="0.25">
      <c r="A47" s="1527">
        <v>13</v>
      </c>
      <c r="B47" s="1526" t="s">
        <v>1991</v>
      </c>
      <c r="C47" s="1509" t="s">
        <v>1992</v>
      </c>
      <c r="D47" s="1528">
        <v>27038</v>
      </c>
      <c r="E47" s="1528">
        <v>27038</v>
      </c>
      <c r="F47" s="1528">
        <v>20663</v>
      </c>
      <c r="G47" s="1528">
        <v>20663</v>
      </c>
      <c r="H47" s="1528">
        <v>244</v>
      </c>
      <c r="I47" s="1528">
        <v>244</v>
      </c>
      <c r="J47" s="1516"/>
      <c r="K47" s="1516"/>
      <c r="L47" s="1528"/>
      <c r="M47" s="1528"/>
      <c r="N47" s="1516"/>
      <c r="O47" s="1516"/>
      <c r="P47" s="1516"/>
      <c r="Q47" s="1516"/>
      <c r="R47" s="1516"/>
      <c r="S47" s="1516"/>
      <c r="T47" s="1516">
        <f t="shared" si="7"/>
        <v>20907</v>
      </c>
      <c r="U47" s="1516">
        <f t="shared" si="8"/>
        <v>20907</v>
      </c>
      <c r="V47" s="1528">
        <v>549</v>
      </c>
      <c r="W47" s="1528">
        <v>549</v>
      </c>
      <c r="X47" s="1516"/>
      <c r="Y47" s="1516"/>
      <c r="Z47" s="1516">
        <f t="shared" si="5"/>
        <v>244</v>
      </c>
      <c r="AA47" s="1516">
        <f t="shared" si="5"/>
        <v>244</v>
      </c>
      <c r="AB47" s="1516">
        <f t="shared" si="9"/>
        <v>305</v>
      </c>
      <c r="AC47" s="1516"/>
      <c r="AD47" s="1516"/>
      <c r="AE47" s="1516"/>
      <c r="AF47" s="1516"/>
      <c r="AG47" s="1516">
        <v>100</v>
      </c>
      <c r="AH47" s="1527" t="s">
        <v>418</v>
      </c>
      <c r="AI47" s="1509" t="s">
        <v>1971</v>
      </c>
      <c r="AJ47" s="1668"/>
    </row>
    <row r="48" spans="1:36" s="1519" customFormat="1" ht="22.5" x14ac:dyDescent="0.25">
      <c r="A48" s="1542">
        <v>14</v>
      </c>
      <c r="B48" s="1526" t="s">
        <v>1993</v>
      </c>
      <c r="C48" s="1509" t="s">
        <v>1994</v>
      </c>
      <c r="D48" s="1528">
        <v>16295</v>
      </c>
      <c r="E48" s="1528">
        <v>16295</v>
      </c>
      <c r="F48" s="1529">
        <v>13056</v>
      </c>
      <c r="G48" s="1529">
        <v>13056</v>
      </c>
      <c r="H48" s="1528">
        <v>2606</v>
      </c>
      <c r="I48" s="1528">
        <v>2606</v>
      </c>
      <c r="J48" s="1547"/>
      <c r="K48" s="1538">
        <v>2606</v>
      </c>
      <c r="L48" s="1528"/>
      <c r="M48" s="1528"/>
      <c r="N48" s="1547"/>
      <c r="O48" s="1547"/>
      <c r="P48" s="1538"/>
      <c r="Q48" s="1538"/>
      <c r="R48" s="1538"/>
      <c r="S48" s="1538"/>
      <c r="T48" s="1516">
        <f t="shared" si="7"/>
        <v>15662</v>
      </c>
      <c r="U48" s="1516">
        <f t="shared" si="8"/>
        <v>15662</v>
      </c>
      <c r="V48" s="1528">
        <v>2605.6502060000003</v>
      </c>
      <c r="W48" s="1528">
        <v>2606</v>
      </c>
      <c r="X48" s="1538"/>
      <c r="Y48" s="1538">
        <v>2606</v>
      </c>
      <c r="Z48" s="1516">
        <f t="shared" si="5"/>
        <v>2606</v>
      </c>
      <c r="AA48" s="1516">
        <f t="shared" si="5"/>
        <v>2606</v>
      </c>
      <c r="AB48" s="1516">
        <f t="shared" si="9"/>
        <v>0</v>
      </c>
      <c r="AC48" s="1538"/>
      <c r="AD48" s="1538"/>
      <c r="AE48" s="1538"/>
      <c r="AF48" s="1516">
        <f>Y48-K48-O48-S48</f>
        <v>0</v>
      </c>
      <c r="AG48" s="1516">
        <v>100</v>
      </c>
      <c r="AH48" s="1527" t="s">
        <v>1995</v>
      </c>
      <c r="AI48" s="1509" t="s">
        <v>1971</v>
      </c>
      <c r="AJ48" s="1668"/>
    </row>
    <row r="49" spans="1:36" s="1519" customFormat="1" ht="22.5" x14ac:dyDescent="0.25">
      <c r="A49" s="1527">
        <v>15</v>
      </c>
      <c r="B49" s="1544" t="s">
        <v>1996</v>
      </c>
      <c r="C49" s="1787" t="s">
        <v>1997</v>
      </c>
      <c r="D49" s="1529">
        <v>6194</v>
      </c>
      <c r="E49" s="1529">
        <v>6194</v>
      </c>
      <c r="F49" s="1529">
        <v>5209</v>
      </c>
      <c r="G49" s="1529">
        <v>5209</v>
      </c>
      <c r="H49" s="1528">
        <v>105</v>
      </c>
      <c r="I49" s="1528">
        <v>105</v>
      </c>
      <c r="J49" s="1516"/>
      <c r="K49" s="1516"/>
      <c r="L49" s="1528"/>
      <c r="M49" s="1528"/>
      <c r="N49" s="1516"/>
      <c r="O49" s="1516"/>
      <c r="P49" s="1516">
        <v>8</v>
      </c>
      <c r="Q49" s="1516">
        <v>8</v>
      </c>
      <c r="R49" s="1516"/>
      <c r="S49" s="1516"/>
      <c r="T49" s="1516">
        <f t="shared" si="7"/>
        <v>5322</v>
      </c>
      <c r="U49" s="1516">
        <f t="shared" si="8"/>
        <v>5322</v>
      </c>
      <c r="V49" s="1528">
        <v>402</v>
      </c>
      <c r="W49" s="1528">
        <v>402</v>
      </c>
      <c r="X49" s="1516"/>
      <c r="Y49" s="1516"/>
      <c r="Z49" s="1516">
        <f t="shared" si="5"/>
        <v>113</v>
      </c>
      <c r="AA49" s="1516">
        <f t="shared" si="5"/>
        <v>113</v>
      </c>
      <c r="AB49" s="1516">
        <f t="shared" si="9"/>
        <v>289</v>
      </c>
      <c r="AC49" s="1516"/>
      <c r="AD49" s="1516"/>
      <c r="AE49" s="1516"/>
      <c r="AF49" s="1516"/>
      <c r="AG49" s="1516">
        <v>100</v>
      </c>
      <c r="AH49" s="1527" t="s">
        <v>427</v>
      </c>
      <c r="AI49" s="1509" t="s">
        <v>1971</v>
      </c>
      <c r="AJ49" s="1668"/>
    </row>
    <row r="50" spans="1:36" s="1519" customFormat="1" ht="33.75" x14ac:dyDescent="0.25">
      <c r="A50" s="1542">
        <v>16</v>
      </c>
      <c r="B50" s="1526" t="s">
        <v>1998</v>
      </c>
      <c r="C50" s="1509" t="s">
        <v>1999</v>
      </c>
      <c r="D50" s="1528">
        <v>946</v>
      </c>
      <c r="E50" s="1528">
        <v>946</v>
      </c>
      <c r="F50" s="1529">
        <v>750</v>
      </c>
      <c r="G50" s="1529">
        <v>750</v>
      </c>
      <c r="H50" s="1528"/>
      <c r="I50" s="1528"/>
      <c r="J50" s="1520"/>
      <c r="K50" s="1520"/>
      <c r="L50" s="1528"/>
      <c r="M50" s="1528"/>
      <c r="N50" s="1520"/>
      <c r="O50" s="1520"/>
      <c r="P50" s="1516">
        <v>102</v>
      </c>
      <c r="Q50" s="1516">
        <v>102</v>
      </c>
      <c r="R50" s="1516"/>
      <c r="S50" s="1516">
        <v>0</v>
      </c>
      <c r="T50" s="1516">
        <f t="shared" si="7"/>
        <v>852</v>
      </c>
      <c r="U50" s="1516">
        <f t="shared" si="8"/>
        <v>852</v>
      </c>
      <c r="V50" s="1528">
        <v>102</v>
      </c>
      <c r="W50" s="1528">
        <v>102</v>
      </c>
      <c r="X50" s="1516"/>
      <c r="Y50" s="1516"/>
      <c r="Z50" s="1516">
        <f t="shared" si="5"/>
        <v>102</v>
      </c>
      <c r="AA50" s="1516">
        <f t="shared" si="5"/>
        <v>102</v>
      </c>
      <c r="AB50" s="1516">
        <f t="shared" si="9"/>
        <v>0</v>
      </c>
      <c r="AC50" s="1516"/>
      <c r="AD50" s="1516"/>
      <c r="AE50" s="1516"/>
      <c r="AF50" s="1516"/>
      <c r="AG50" s="1516">
        <v>100</v>
      </c>
      <c r="AH50" s="1527" t="s">
        <v>418</v>
      </c>
      <c r="AI50" s="1509" t="s">
        <v>1971</v>
      </c>
      <c r="AJ50" s="1509" t="s">
        <v>2000</v>
      </c>
    </row>
    <row r="51" spans="1:36" s="1519" customFormat="1" ht="22.5" x14ac:dyDescent="0.25">
      <c r="A51" s="1527">
        <v>17</v>
      </c>
      <c r="B51" s="1548" t="s">
        <v>2001</v>
      </c>
      <c r="C51" s="1527"/>
      <c r="D51" s="1529">
        <v>13139</v>
      </c>
      <c r="E51" s="1529">
        <v>13139</v>
      </c>
      <c r="F51" s="1529">
        <v>13120</v>
      </c>
      <c r="G51" s="1529">
        <v>13120</v>
      </c>
      <c r="H51" s="1528"/>
      <c r="I51" s="1528"/>
      <c r="J51" s="1520"/>
      <c r="K51" s="1520"/>
      <c r="L51" s="1528"/>
      <c r="M51" s="1528"/>
      <c r="N51" s="1520"/>
      <c r="O51" s="1520"/>
      <c r="P51" s="1516">
        <v>171</v>
      </c>
      <c r="Q51" s="1516">
        <v>171</v>
      </c>
      <c r="R51" s="1516"/>
      <c r="S51" s="1516"/>
      <c r="T51" s="1516">
        <f t="shared" si="7"/>
        <v>13291</v>
      </c>
      <c r="U51" s="1516">
        <f t="shared" si="8"/>
        <v>13291</v>
      </c>
      <c r="V51" s="1528">
        <v>171</v>
      </c>
      <c r="W51" s="1528">
        <v>171</v>
      </c>
      <c r="X51" s="1516"/>
      <c r="Y51" s="1516"/>
      <c r="Z51" s="1516">
        <f t="shared" si="5"/>
        <v>171</v>
      </c>
      <c r="AA51" s="1516">
        <f t="shared" si="5"/>
        <v>171</v>
      </c>
      <c r="AB51" s="1516">
        <f t="shared" si="9"/>
        <v>0</v>
      </c>
      <c r="AC51" s="1516"/>
      <c r="AD51" s="1516"/>
      <c r="AE51" s="1516"/>
      <c r="AF51" s="1516"/>
      <c r="AG51" s="1516">
        <v>100</v>
      </c>
      <c r="AH51" s="1509" t="s">
        <v>2002</v>
      </c>
      <c r="AI51" s="1509" t="s">
        <v>1971</v>
      </c>
      <c r="AJ51" s="1668"/>
    </row>
    <row r="52" spans="1:36" s="1519" customFormat="1" ht="33.75" x14ac:dyDescent="0.25">
      <c r="A52" s="1542">
        <v>18</v>
      </c>
      <c r="B52" s="1526" t="s">
        <v>2003</v>
      </c>
      <c r="C52" s="1509" t="s">
        <v>2004</v>
      </c>
      <c r="D52" s="1528">
        <v>11114</v>
      </c>
      <c r="E52" s="1528">
        <v>200</v>
      </c>
      <c r="F52" s="1529">
        <v>10642</v>
      </c>
      <c r="G52" s="1529"/>
      <c r="H52" s="1528"/>
      <c r="I52" s="1528"/>
      <c r="J52" s="1520"/>
      <c r="K52" s="1520"/>
      <c r="L52" s="1528"/>
      <c r="M52" s="1528"/>
      <c r="N52" s="1520"/>
      <c r="O52" s="1520"/>
      <c r="P52" s="1516">
        <v>189</v>
      </c>
      <c r="Q52" s="1516">
        <v>189</v>
      </c>
      <c r="R52" s="1516"/>
      <c r="S52" s="1516">
        <v>0</v>
      </c>
      <c r="T52" s="1516">
        <f t="shared" si="7"/>
        <v>10831</v>
      </c>
      <c r="U52" s="1516">
        <f t="shared" si="8"/>
        <v>189</v>
      </c>
      <c r="V52" s="1528">
        <v>189</v>
      </c>
      <c r="W52" s="1528">
        <v>189</v>
      </c>
      <c r="X52" s="1516"/>
      <c r="Y52" s="1516"/>
      <c r="Z52" s="1516">
        <f t="shared" si="5"/>
        <v>189</v>
      </c>
      <c r="AA52" s="1516">
        <f t="shared" si="5"/>
        <v>189</v>
      </c>
      <c r="AB52" s="1516">
        <f t="shared" si="9"/>
        <v>0</v>
      </c>
      <c r="AC52" s="1516"/>
      <c r="AD52" s="1516"/>
      <c r="AE52" s="1516"/>
      <c r="AF52" s="1516"/>
      <c r="AG52" s="1516">
        <v>100</v>
      </c>
      <c r="AH52" s="1527" t="s">
        <v>418</v>
      </c>
      <c r="AI52" s="1509" t="s">
        <v>1971</v>
      </c>
      <c r="AJ52" s="1509" t="s">
        <v>2005</v>
      </c>
    </row>
    <row r="53" spans="1:36" ht="22.5" x14ac:dyDescent="0.25">
      <c r="A53" s="1527">
        <v>19</v>
      </c>
      <c r="B53" s="1526" t="s">
        <v>2006</v>
      </c>
      <c r="C53" s="1527" t="s">
        <v>2007</v>
      </c>
      <c r="D53" s="1528">
        <v>35952</v>
      </c>
      <c r="E53" s="1528">
        <f>5952*0.6</f>
        <v>3571.2</v>
      </c>
      <c r="F53" s="1529">
        <v>0</v>
      </c>
      <c r="G53" s="1529">
        <v>0</v>
      </c>
      <c r="H53" s="1528">
        <v>79</v>
      </c>
      <c r="I53" s="1528">
        <v>79</v>
      </c>
      <c r="J53" s="1516"/>
      <c r="K53" s="1516"/>
      <c r="L53" s="1528"/>
      <c r="M53" s="1528"/>
      <c r="N53" s="1516"/>
      <c r="O53" s="1516"/>
      <c r="P53" s="1516"/>
      <c r="Q53" s="1516"/>
      <c r="R53" s="1516"/>
      <c r="S53" s="1516"/>
      <c r="T53" s="1516">
        <f>F53+H53+L53+P53</f>
        <v>79</v>
      </c>
      <c r="U53" s="1516">
        <f>G53+I53+M53+Q53+R53</f>
        <v>79</v>
      </c>
      <c r="V53" s="1528">
        <v>32356.799999999999</v>
      </c>
      <c r="W53" s="1528">
        <v>79</v>
      </c>
      <c r="X53" s="1516"/>
      <c r="Y53" s="1516"/>
      <c r="Z53" s="1516">
        <f>H53+L53+P53</f>
        <v>79</v>
      </c>
      <c r="AA53" s="1516">
        <f>I53+M53+Q53</f>
        <v>79</v>
      </c>
      <c r="AB53" s="1516">
        <f>W53-AA53</f>
        <v>0</v>
      </c>
      <c r="AC53" s="1516"/>
      <c r="AD53" s="1516"/>
      <c r="AE53" s="1516"/>
      <c r="AF53" s="1516"/>
      <c r="AG53" s="1516">
        <v>100</v>
      </c>
      <c r="AH53" s="1527" t="s">
        <v>427</v>
      </c>
      <c r="AI53" s="1509" t="s">
        <v>1971</v>
      </c>
    </row>
    <row r="54" spans="1:36" s="1519" customFormat="1" ht="33.75" x14ac:dyDescent="0.25">
      <c r="A54" s="1542">
        <v>20</v>
      </c>
      <c r="B54" s="1526" t="s">
        <v>2008</v>
      </c>
      <c r="C54" s="1509" t="s">
        <v>2009</v>
      </c>
      <c r="D54" s="1528">
        <v>19034</v>
      </c>
      <c r="E54" s="1528">
        <f>D54</f>
        <v>19034</v>
      </c>
      <c r="F54" s="1529">
        <v>16351</v>
      </c>
      <c r="G54" s="1529">
        <v>16351</v>
      </c>
      <c r="H54" s="1528"/>
      <c r="I54" s="1528"/>
      <c r="J54" s="1520"/>
      <c r="K54" s="1520"/>
      <c r="L54" s="1528"/>
      <c r="M54" s="1528"/>
      <c r="N54" s="1520"/>
      <c r="O54" s="1520"/>
      <c r="P54" s="1516">
        <v>240</v>
      </c>
      <c r="Q54" s="1516">
        <v>240</v>
      </c>
      <c r="R54" s="1516"/>
      <c r="S54" s="1516">
        <v>240</v>
      </c>
      <c r="T54" s="1516">
        <f>F54+H54+L54+P54</f>
        <v>16591</v>
      </c>
      <c r="U54" s="1516">
        <f>G54+I54+M54+Q54+R54</f>
        <v>16591</v>
      </c>
      <c r="V54" s="1528">
        <v>240</v>
      </c>
      <c r="W54" s="1528">
        <v>240</v>
      </c>
      <c r="X54" s="1516"/>
      <c r="Y54" s="1516">
        <v>240</v>
      </c>
      <c r="Z54" s="1516">
        <f>H54+L54+P54</f>
        <v>240</v>
      </c>
      <c r="AA54" s="1516">
        <f>I54+M54+Q54</f>
        <v>240</v>
      </c>
      <c r="AB54" s="1516">
        <f>W54-AA54</f>
        <v>0</v>
      </c>
      <c r="AC54" s="1516"/>
      <c r="AD54" s="1516"/>
      <c r="AE54" s="1516"/>
      <c r="AF54" s="1516">
        <f>Y54-K54-O54-S54</f>
        <v>0</v>
      </c>
      <c r="AG54" s="1516">
        <v>100</v>
      </c>
      <c r="AH54" s="1527" t="s">
        <v>418</v>
      </c>
      <c r="AI54" s="1509" t="s">
        <v>1971</v>
      </c>
      <c r="AJ54" s="1509" t="s">
        <v>2010</v>
      </c>
    </row>
    <row r="55" spans="1:36" ht="33.75" x14ac:dyDescent="0.25">
      <c r="A55" s="1527">
        <v>21</v>
      </c>
      <c r="B55" s="1526" t="s">
        <v>1629</v>
      </c>
      <c r="C55" s="1527" t="s">
        <v>1802</v>
      </c>
      <c r="D55" s="1549">
        <v>28237</v>
      </c>
      <c r="E55" s="1549">
        <v>28237</v>
      </c>
      <c r="F55" s="1529">
        <v>16576</v>
      </c>
      <c r="G55" s="1529"/>
      <c r="H55" s="1528"/>
      <c r="I55" s="1528"/>
      <c r="J55" s="1550"/>
      <c r="K55" s="1550"/>
      <c r="L55" s="1528"/>
      <c r="M55" s="1528"/>
      <c r="N55" s="1550"/>
      <c r="O55" s="1550"/>
      <c r="P55" s="1516"/>
      <c r="Q55" s="1516"/>
      <c r="R55" s="1516"/>
      <c r="S55" s="1516">
        <v>0</v>
      </c>
      <c r="T55" s="1516">
        <f t="shared" si="7"/>
        <v>16576</v>
      </c>
      <c r="U55" s="1516">
        <f t="shared" si="8"/>
        <v>0</v>
      </c>
      <c r="V55" s="1528">
        <v>493</v>
      </c>
      <c r="W55" s="1528">
        <v>493</v>
      </c>
      <c r="X55" s="1516"/>
      <c r="Y55" s="1516"/>
      <c r="Z55" s="1516">
        <f t="shared" si="5"/>
        <v>0</v>
      </c>
      <c r="AA55" s="1516">
        <f t="shared" si="5"/>
        <v>0</v>
      </c>
      <c r="AB55" s="1516">
        <f t="shared" si="9"/>
        <v>493</v>
      </c>
      <c r="AC55" s="1516">
        <v>493</v>
      </c>
      <c r="AD55" s="1516">
        <v>493</v>
      </c>
      <c r="AE55" s="1516"/>
      <c r="AF55" s="1516"/>
      <c r="AG55" s="1516">
        <v>100</v>
      </c>
      <c r="AH55" s="1527" t="s">
        <v>418</v>
      </c>
      <c r="AI55" s="1542"/>
      <c r="AJ55" s="1509" t="s">
        <v>1803</v>
      </c>
    </row>
    <row r="56" spans="1:36" ht="33.75" x14ac:dyDescent="0.25">
      <c r="A56" s="1542">
        <v>22</v>
      </c>
      <c r="B56" s="1526" t="s">
        <v>1630</v>
      </c>
      <c r="C56" s="1527" t="s">
        <v>1804</v>
      </c>
      <c r="D56" s="1529">
        <v>4431</v>
      </c>
      <c r="E56" s="1529">
        <v>4431</v>
      </c>
      <c r="F56" s="1529">
        <v>4017</v>
      </c>
      <c r="G56" s="1529">
        <v>4017</v>
      </c>
      <c r="H56" s="1528"/>
      <c r="I56" s="1528"/>
      <c r="J56" s="1545"/>
      <c r="K56" s="1545"/>
      <c r="L56" s="1528"/>
      <c r="M56" s="1528"/>
      <c r="N56" s="1545"/>
      <c r="O56" s="1545"/>
      <c r="P56" s="1516"/>
      <c r="Q56" s="1516"/>
      <c r="R56" s="1516"/>
      <c r="S56" s="1516">
        <v>0</v>
      </c>
      <c r="T56" s="1516">
        <f>F56+H56+L56+P56</f>
        <v>4017</v>
      </c>
      <c r="U56" s="1516">
        <f>G56+I56+M56+Q56+R56</f>
        <v>4017</v>
      </c>
      <c r="V56" s="1528">
        <v>582</v>
      </c>
      <c r="W56" s="1528">
        <v>582</v>
      </c>
      <c r="X56" s="1516"/>
      <c r="Y56" s="1516"/>
      <c r="Z56" s="1516">
        <f t="shared" si="5"/>
        <v>0</v>
      </c>
      <c r="AA56" s="1516">
        <f t="shared" si="5"/>
        <v>0</v>
      </c>
      <c r="AB56" s="1516">
        <f>W56-AA56</f>
        <v>582</v>
      </c>
      <c r="AC56" s="1516">
        <v>582</v>
      </c>
      <c r="AD56" s="1516">
        <v>582</v>
      </c>
      <c r="AE56" s="1516"/>
      <c r="AF56" s="1516"/>
      <c r="AG56" s="1516">
        <v>100</v>
      </c>
      <c r="AH56" s="1527" t="s">
        <v>418</v>
      </c>
      <c r="AI56" s="1517"/>
      <c r="AJ56" s="1564" t="s">
        <v>1803</v>
      </c>
    </row>
    <row r="57" spans="1:36" ht="33.75" x14ac:dyDescent="0.25">
      <c r="A57" s="1527">
        <v>23</v>
      </c>
      <c r="B57" s="1526" t="s">
        <v>1631</v>
      </c>
      <c r="C57" s="1527" t="s">
        <v>1805</v>
      </c>
      <c r="D57" s="1529">
        <v>6483</v>
      </c>
      <c r="E57" s="1529">
        <f>D57</f>
        <v>6483</v>
      </c>
      <c r="F57" s="1529">
        <v>1501</v>
      </c>
      <c r="G57" s="1529">
        <v>1501</v>
      </c>
      <c r="H57" s="1528"/>
      <c r="I57" s="1528"/>
      <c r="J57" s="1516"/>
      <c r="K57" s="1516"/>
      <c r="L57" s="1528"/>
      <c r="M57" s="1528"/>
      <c r="N57" s="1516"/>
      <c r="O57" s="1516"/>
      <c r="P57" s="1516"/>
      <c r="Q57" s="1516"/>
      <c r="R57" s="1516"/>
      <c r="S57" s="1516">
        <v>0</v>
      </c>
      <c r="T57" s="1516">
        <f>F57+H57+L57+P57</f>
        <v>1501</v>
      </c>
      <c r="U57" s="1516">
        <f>G57+I57+M57+Q57+R57</f>
        <v>1501</v>
      </c>
      <c r="V57" s="1528">
        <v>400</v>
      </c>
      <c r="W57" s="1528">
        <v>400</v>
      </c>
      <c r="X57" s="1516"/>
      <c r="Y57" s="1516"/>
      <c r="Z57" s="1516">
        <f t="shared" si="5"/>
        <v>0</v>
      </c>
      <c r="AA57" s="1516">
        <f t="shared" si="5"/>
        <v>0</v>
      </c>
      <c r="AB57" s="1516">
        <f>W57-AA57</f>
        <v>400</v>
      </c>
      <c r="AC57" s="1516">
        <v>230</v>
      </c>
      <c r="AD57" s="1516">
        <v>230</v>
      </c>
      <c r="AE57" s="1516"/>
      <c r="AF57" s="1516"/>
      <c r="AG57" s="1516">
        <v>100</v>
      </c>
      <c r="AH57" s="1527" t="s">
        <v>418</v>
      </c>
      <c r="AI57" s="1542"/>
      <c r="AJ57" s="1564" t="s">
        <v>1803</v>
      </c>
    </row>
    <row r="58" spans="1:36" ht="33.75" x14ac:dyDescent="0.25">
      <c r="A58" s="1542">
        <v>24</v>
      </c>
      <c r="B58" s="1526" t="s">
        <v>2011</v>
      </c>
      <c r="C58" s="1509" t="s">
        <v>2012</v>
      </c>
      <c r="D58" s="1528">
        <v>53128</v>
      </c>
      <c r="E58" s="1528">
        <f>D58-F58</f>
        <v>11239</v>
      </c>
      <c r="F58" s="1528">
        <v>41889</v>
      </c>
      <c r="G58" s="1528"/>
      <c r="H58" s="1528">
        <v>2500</v>
      </c>
      <c r="I58" s="1528">
        <v>2500</v>
      </c>
      <c r="J58" s="1528"/>
      <c r="K58" s="1528"/>
      <c r="L58" s="1528"/>
      <c r="M58" s="1528"/>
      <c r="N58" s="1528"/>
      <c r="O58" s="1528"/>
      <c r="P58" s="1516"/>
      <c r="Q58" s="1516"/>
      <c r="R58" s="1516"/>
      <c r="S58" s="1516">
        <v>0</v>
      </c>
      <c r="T58" s="1516">
        <f>F58+H58+L58+P58</f>
        <v>44389</v>
      </c>
      <c r="U58" s="1516">
        <f>G58+I58+M58+Q58+R58</f>
        <v>2500</v>
      </c>
      <c r="V58" s="1528">
        <v>3887</v>
      </c>
      <c r="W58" s="1528">
        <v>3887</v>
      </c>
      <c r="X58" s="1516"/>
      <c r="Y58" s="1516"/>
      <c r="Z58" s="1516">
        <f>H58+L58+P58</f>
        <v>2500</v>
      </c>
      <c r="AA58" s="1516">
        <f>I58+M58+Q58</f>
        <v>2500</v>
      </c>
      <c r="AB58" s="1516">
        <f>W58-AA58</f>
        <v>1387</v>
      </c>
      <c r="AC58" s="1516">
        <v>394</v>
      </c>
      <c r="AD58" s="1516">
        <v>394</v>
      </c>
      <c r="AE58" s="1516"/>
      <c r="AF58" s="1516"/>
      <c r="AG58" s="1516">
        <v>100</v>
      </c>
      <c r="AH58" s="1527" t="s">
        <v>418</v>
      </c>
      <c r="AI58" s="1509"/>
    </row>
    <row r="59" spans="1:36" ht="67.5" x14ac:dyDescent="0.25">
      <c r="A59" s="1527">
        <v>25</v>
      </c>
      <c r="B59" s="1526" t="s">
        <v>1658</v>
      </c>
      <c r="C59" s="1527" t="s">
        <v>1806</v>
      </c>
      <c r="D59" s="1528">
        <v>753</v>
      </c>
      <c r="E59" s="1528">
        <v>603</v>
      </c>
      <c r="F59" s="1529"/>
      <c r="G59" s="1529"/>
      <c r="H59" s="1528"/>
      <c r="I59" s="1528"/>
      <c r="J59" s="1552"/>
      <c r="K59" s="1552"/>
      <c r="L59" s="1528">
        <v>301.5</v>
      </c>
      <c r="M59" s="1528">
        <v>301.5</v>
      </c>
      <c r="N59" s="1552"/>
      <c r="O59" s="1552"/>
      <c r="P59" s="1516"/>
      <c r="Q59" s="1516"/>
      <c r="R59" s="1553"/>
      <c r="S59" s="1553"/>
      <c r="T59" s="1516">
        <f>F59+H59+L59+P59</f>
        <v>301.5</v>
      </c>
      <c r="U59" s="1516">
        <f>G59+I59+M59+Q59+R59</f>
        <v>301.5</v>
      </c>
      <c r="V59" s="1528">
        <v>681.30000000000007</v>
      </c>
      <c r="W59" s="1528">
        <v>542.70000000000005</v>
      </c>
      <c r="X59" s="1553"/>
      <c r="Y59" s="1553"/>
      <c r="Z59" s="1516">
        <f t="shared" si="5"/>
        <v>301.5</v>
      </c>
      <c r="AA59" s="1516">
        <f t="shared" si="5"/>
        <v>301.5</v>
      </c>
      <c r="AB59" s="1516">
        <f>W59-AA59</f>
        <v>241.20000000000005</v>
      </c>
      <c r="AC59" s="1516">
        <f t="shared" ref="AC59:AD59" si="17">AB59</f>
        <v>241.20000000000005</v>
      </c>
      <c r="AD59" s="1516">
        <f t="shared" si="17"/>
        <v>241.20000000000005</v>
      </c>
      <c r="AE59" s="1553"/>
      <c r="AF59" s="1553"/>
      <c r="AG59" s="1516">
        <f>(AD59+U59)/(722-119)*100</f>
        <v>90</v>
      </c>
      <c r="AH59" s="1527" t="s">
        <v>425</v>
      </c>
      <c r="AI59" s="1509" t="s">
        <v>1956</v>
      </c>
    </row>
    <row r="60" spans="1:36" s="1519" customFormat="1" ht="22.5" x14ac:dyDescent="0.25">
      <c r="A60" s="1523" t="s">
        <v>439</v>
      </c>
      <c r="B60" s="1532" t="s">
        <v>1807</v>
      </c>
      <c r="C60" s="1523"/>
      <c r="D60" s="1547">
        <f t="shared" ref="D60:AA60" si="18">SUM(D61:D71)</f>
        <v>309624</v>
      </c>
      <c r="E60" s="1547">
        <f t="shared" si="18"/>
        <v>280897</v>
      </c>
      <c r="F60" s="1547">
        <f t="shared" si="18"/>
        <v>149200</v>
      </c>
      <c r="G60" s="1547">
        <f t="shared" si="18"/>
        <v>114436</v>
      </c>
      <c r="H60" s="1547">
        <f t="shared" si="18"/>
        <v>49938</v>
      </c>
      <c r="I60" s="1547">
        <f t="shared" si="18"/>
        <v>49938</v>
      </c>
      <c r="J60" s="1547">
        <f t="shared" si="18"/>
        <v>0</v>
      </c>
      <c r="K60" s="1547">
        <f t="shared" si="18"/>
        <v>0</v>
      </c>
      <c r="L60" s="1547">
        <f t="shared" si="18"/>
        <v>11107</v>
      </c>
      <c r="M60" s="1547">
        <f t="shared" si="18"/>
        <v>2507</v>
      </c>
      <c r="N60" s="1547">
        <f t="shared" si="18"/>
        <v>0</v>
      </c>
      <c r="O60" s="1547">
        <f t="shared" si="18"/>
        <v>0</v>
      </c>
      <c r="P60" s="1547">
        <f t="shared" si="18"/>
        <v>2000</v>
      </c>
      <c r="Q60" s="1547">
        <f t="shared" si="18"/>
        <v>2000</v>
      </c>
      <c r="R60" s="1547">
        <f t="shared" si="18"/>
        <v>0</v>
      </c>
      <c r="S60" s="1547">
        <f t="shared" si="18"/>
        <v>0</v>
      </c>
      <c r="T60" s="1547">
        <f t="shared" si="18"/>
        <v>212245</v>
      </c>
      <c r="U60" s="1547">
        <f t="shared" si="18"/>
        <v>168881</v>
      </c>
      <c r="V60" s="1547">
        <f t="shared" si="18"/>
        <v>65412.100000000006</v>
      </c>
      <c r="W60" s="1547">
        <f t="shared" si="18"/>
        <v>63853.100000000006</v>
      </c>
      <c r="X60" s="1547">
        <f t="shared" si="18"/>
        <v>0</v>
      </c>
      <c r="Y60" s="1547">
        <f t="shared" si="18"/>
        <v>0</v>
      </c>
      <c r="Z60" s="1547">
        <f t="shared" si="18"/>
        <v>63045</v>
      </c>
      <c r="AA60" s="1547">
        <f t="shared" si="18"/>
        <v>54445</v>
      </c>
      <c r="AB60" s="1547">
        <f t="shared" ref="AB60:AD60" si="19">SUM(AB61:AB71)</f>
        <v>9408.1000000000022</v>
      </c>
      <c r="AC60" s="1547">
        <f t="shared" si="19"/>
        <v>6009</v>
      </c>
      <c r="AD60" s="1547">
        <f t="shared" si="19"/>
        <v>6009</v>
      </c>
      <c r="AE60" s="1547">
        <f>SUM(AE61:AE71)</f>
        <v>0</v>
      </c>
      <c r="AF60" s="1547">
        <f>SUM(AF61:AF71)</f>
        <v>0</v>
      </c>
      <c r="AG60" s="1516"/>
      <c r="AH60" s="1533"/>
      <c r="AI60" s="1509"/>
      <c r="AJ60" s="1668">
        <v>1</v>
      </c>
    </row>
    <row r="61" spans="1:36" ht="33.75" x14ac:dyDescent="0.25">
      <c r="A61" s="1527">
        <v>1</v>
      </c>
      <c r="B61" s="1526" t="s">
        <v>2013</v>
      </c>
      <c r="C61" s="1527"/>
      <c r="D61" s="1528">
        <v>15913</v>
      </c>
      <c r="E61" s="1528">
        <v>15913</v>
      </c>
      <c r="F61" s="1529"/>
      <c r="G61" s="1529"/>
      <c r="H61" s="1528">
        <v>13913</v>
      </c>
      <c r="I61" s="1528">
        <v>13913</v>
      </c>
      <c r="J61" s="1525"/>
      <c r="K61" s="1525"/>
      <c r="L61" s="1528"/>
      <c r="M61" s="1528"/>
      <c r="N61" s="1525"/>
      <c r="O61" s="1525"/>
      <c r="P61" s="1516">
        <v>2000</v>
      </c>
      <c r="Q61" s="1516">
        <v>2000</v>
      </c>
      <c r="R61" s="1516"/>
      <c r="S61" s="1516">
        <v>0</v>
      </c>
      <c r="T61" s="1516">
        <f t="shared" si="7"/>
        <v>15913</v>
      </c>
      <c r="U61" s="1516">
        <f t="shared" si="8"/>
        <v>15913</v>
      </c>
      <c r="V61" s="1528">
        <v>15913</v>
      </c>
      <c r="W61" s="1528">
        <v>15913</v>
      </c>
      <c r="X61" s="1516"/>
      <c r="Y61" s="1516"/>
      <c r="Z61" s="1516">
        <f t="shared" si="5"/>
        <v>15913</v>
      </c>
      <c r="AA61" s="1516">
        <f t="shared" si="5"/>
        <v>15913</v>
      </c>
      <c r="AB61" s="1516">
        <f t="shared" si="9"/>
        <v>0</v>
      </c>
      <c r="AC61" s="1516"/>
      <c r="AD61" s="1516"/>
      <c r="AE61" s="1516"/>
      <c r="AF61" s="1516"/>
      <c r="AG61" s="1516">
        <f t="shared" ref="AG61:AG65" si="20">(T61+AC61)/D61*100</f>
        <v>100</v>
      </c>
      <c r="AH61" s="1527" t="s">
        <v>2014</v>
      </c>
      <c r="AI61" s="1542"/>
    </row>
    <row r="62" spans="1:36" s="1519" customFormat="1" ht="33.75" x14ac:dyDescent="0.25">
      <c r="A62" s="1527">
        <v>2</v>
      </c>
      <c r="B62" s="1554" t="s">
        <v>2015</v>
      </c>
      <c r="C62" s="1509"/>
      <c r="D62" s="1528">
        <v>7964</v>
      </c>
      <c r="E62" s="1528">
        <v>7964</v>
      </c>
      <c r="F62" s="1528"/>
      <c r="G62" s="1528"/>
      <c r="H62" s="1528">
        <v>7964</v>
      </c>
      <c r="I62" s="1528">
        <v>7964</v>
      </c>
      <c r="J62" s="1520"/>
      <c r="K62" s="1520"/>
      <c r="L62" s="1528"/>
      <c r="M62" s="1528"/>
      <c r="N62" s="1520"/>
      <c r="O62" s="1520"/>
      <c r="P62" s="1516"/>
      <c r="Q62" s="1516"/>
      <c r="R62" s="1516"/>
      <c r="S62" s="1516"/>
      <c r="T62" s="1516">
        <f t="shared" si="7"/>
        <v>7964</v>
      </c>
      <c r="U62" s="1516">
        <f t="shared" si="8"/>
        <v>7964</v>
      </c>
      <c r="V62" s="1528">
        <v>7964</v>
      </c>
      <c r="W62" s="1528">
        <v>7964</v>
      </c>
      <c r="X62" s="1516"/>
      <c r="Y62" s="1516"/>
      <c r="Z62" s="1516">
        <f t="shared" si="5"/>
        <v>7964</v>
      </c>
      <c r="AA62" s="1516">
        <f t="shared" si="5"/>
        <v>7964</v>
      </c>
      <c r="AB62" s="1516">
        <f t="shared" si="9"/>
        <v>0</v>
      </c>
      <c r="AC62" s="1516"/>
      <c r="AD62" s="1516"/>
      <c r="AE62" s="1516"/>
      <c r="AF62" s="1516"/>
      <c r="AG62" s="1516">
        <f t="shared" si="20"/>
        <v>100</v>
      </c>
      <c r="AH62" s="1509" t="s">
        <v>162</v>
      </c>
      <c r="AI62" s="1509"/>
      <c r="AJ62" s="1668"/>
    </row>
    <row r="63" spans="1:36" ht="22.5" x14ac:dyDescent="0.25">
      <c r="A63" s="1527">
        <v>3</v>
      </c>
      <c r="B63" s="1526" t="s">
        <v>2016</v>
      </c>
      <c r="C63" s="1527" t="s">
        <v>2017</v>
      </c>
      <c r="D63" s="1529">
        <v>49149</v>
      </c>
      <c r="E63" s="1528">
        <v>44235</v>
      </c>
      <c r="F63" s="1529">
        <v>26852</v>
      </c>
      <c r="G63" s="1529">
        <v>26852</v>
      </c>
      <c r="H63" s="1528">
        <v>15246</v>
      </c>
      <c r="I63" s="1528">
        <v>15246</v>
      </c>
      <c r="J63" s="1516"/>
      <c r="K63" s="1516"/>
      <c r="L63" s="1528">
        <v>2137</v>
      </c>
      <c r="M63" s="1528">
        <v>2137</v>
      </c>
      <c r="N63" s="1516"/>
      <c r="O63" s="1516"/>
      <c r="P63" s="1516"/>
      <c r="Q63" s="1516"/>
      <c r="R63" s="1516"/>
      <c r="S63" s="1516"/>
      <c r="T63" s="1516">
        <f>F63+H63+L63+P63</f>
        <v>44235</v>
      </c>
      <c r="U63" s="1516">
        <f>G63+I63+M63+Q63+R63</f>
        <v>44235</v>
      </c>
      <c r="V63" s="1528">
        <v>17383</v>
      </c>
      <c r="W63" s="1528">
        <v>17383</v>
      </c>
      <c r="X63" s="1516"/>
      <c r="Y63" s="1516"/>
      <c r="Z63" s="1516">
        <f t="shared" si="5"/>
        <v>17383</v>
      </c>
      <c r="AA63" s="1516">
        <f t="shared" si="5"/>
        <v>17383</v>
      </c>
      <c r="AB63" s="1516">
        <f>W63-AA63</f>
        <v>0</v>
      </c>
      <c r="AC63" s="1516"/>
      <c r="AD63" s="1516"/>
      <c r="AE63" s="1516"/>
      <c r="AF63" s="1516"/>
      <c r="AG63" s="1516">
        <f t="shared" si="20"/>
        <v>90.00183116645303</v>
      </c>
      <c r="AH63" s="1527" t="s">
        <v>427</v>
      </c>
      <c r="AI63" s="1509"/>
    </row>
    <row r="64" spans="1:36" ht="22.5" x14ac:dyDescent="0.25">
      <c r="A64" s="1527">
        <v>4</v>
      </c>
      <c r="B64" s="1526" t="s">
        <v>2018</v>
      </c>
      <c r="C64" s="1527" t="s">
        <v>2019</v>
      </c>
      <c r="D64" s="1528">
        <v>5411</v>
      </c>
      <c r="E64" s="1528">
        <v>5411</v>
      </c>
      <c r="F64" s="1529"/>
      <c r="G64" s="1529"/>
      <c r="H64" s="1528">
        <v>4500</v>
      </c>
      <c r="I64" s="1528">
        <v>4500</v>
      </c>
      <c r="J64" s="1555"/>
      <c r="K64" s="1555"/>
      <c r="L64" s="1528">
        <v>370</v>
      </c>
      <c r="M64" s="1528">
        <v>370</v>
      </c>
      <c r="N64" s="1555"/>
      <c r="O64" s="1555"/>
      <c r="P64" s="1555"/>
      <c r="Q64" s="1555"/>
      <c r="R64" s="1555"/>
      <c r="S64" s="1555">
        <v>0</v>
      </c>
      <c r="T64" s="1516">
        <f>F64+H64+L64+P64</f>
        <v>4870</v>
      </c>
      <c r="U64" s="1516">
        <f>G64+I64+M64+Q64+R64</f>
        <v>4870</v>
      </c>
      <c r="V64" s="1528">
        <v>4869.9000000000005</v>
      </c>
      <c r="W64" s="1528">
        <v>4869.9000000000005</v>
      </c>
      <c r="X64" s="1516"/>
      <c r="Y64" s="1516"/>
      <c r="Z64" s="1516">
        <f t="shared" si="5"/>
        <v>4870</v>
      </c>
      <c r="AA64" s="1516">
        <f t="shared" si="5"/>
        <v>4870</v>
      </c>
      <c r="AB64" s="1516">
        <f>W64-AA64</f>
        <v>-9.9999999999454303E-2</v>
      </c>
      <c r="AC64" s="1555"/>
      <c r="AD64" s="1555"/>
      <c r="AE64" s="1555"/>
      <c r="AF64" s="1555"/>
      <c r="AG64" s="1516">
        <f t="shared" si="20"/>
        <v>90.001848087229718</v>
      </c>
      <c r="AH64" s="1527" t="s">
        <v>420</v>
      </c>
      <c r="AI64" s="1542"/>
    </row>
    <row r="65" spans="1:36" ht="33.75" x14ac:dyDescent="0.25">
      <c r="A65" s="1527">
        <v>5</v>
      </c>
      <c r="B65" s="1526" t="s">
        <v>2020</v>
      </c>
      <c r="C65" s="1527" t="s">
        <v>2021</v>
      </c>
      <c r="D65" s="1556">
        <v>77538</v>
      </c>
      <c r="E65" s="1528">
        <f>D65</f>
        <v>77538</v>
      </c>
      <c r="F65" s="1529">
        <f>4596+3747</f>
        <v>8343</v>
      </c>
      <c r="G65" s="1529">
        <f>4596+3747</f>
        <v>8343</v>
      </c>
      <c r="H65" s="1528">
        <v>4000</v>
      </c>
      <c r="I65" s="1528">
        <v>4000</v>
      </c>
      <c r="J65" s="1546"/>
      <c r="K65" s="1546"/>
      <c r="L65" s="1528"/>
      <c r="M65" s="1528"/>
      <c r="N65" s="1546"/>
      <c r="O65" s="1546"/>
      <c r="P65" s="1516"/>
      <c r="Q65" s="1516"/>
      <c r="R65" s="1516"/>
      <c r="S65" s="1516">
        <v>0</v>
      </c>
      <c r="T65" s="1516">
        <f>F65+H65+L65+P65</f>
        <v>12343</v>
      </c>
      <c r="U65" s="1516">
        <f>G65+I65+M65+Q65+R65</f>
        <v>12343</v>
      </c>
      <c r="V65" s="1528">
        <v>571</v>
      </c>
      <c r="W65" s="1528">
        <v>571</v>
      </c>
      <c r="X65" s="1516"/>
      <c r="Y65" s="1516"/>
      <c r="Z65" s="1516">
        <f t="shared" si="5"/>
        <v>4000</v>
      </c>
      <c r="AA65" s="1516">
        <f t="shared" si="5"/>
        <v>4000</v>
      </c>
      <c r="AB65" s="1516">
        <f>W65-AA65</f>
        <v>-3429</v>
      </c>
      <c r="AC65" s="1516"/>
      <c r="AD65" s="1516"/>
      <c r="AE65" s="1516"/>
      <c r="AF65" s="1516"/>
      <c r="AG65" s="1516">
        <f t="shared" si="20"/>
        <v>15.918646341148857</v>
      </c>
      <c r="AH65" s="1527" t="s">
        <v>418</v>
      </c>
      <c r="AI65" s="1509" t="s">
        <v>2022</v>
      </c>
    </row>
    <row r="66" spans="1:36" ht="33.75" x14ac:dyDescent="0.25">
      <c r="A66" s="1527">
        <v>7</v>
      </c>
      <c r="B66" s="1526" t="s">
        <v>2023</v>
      </c>
      <c r="C66" s="1509"/>
      <c r="D66" s="1528">
        <v>6972</v>
      </c>
      <c r="E66" s="1528">
        <v>6972</v>
      </c>
      <c r="F66" s="1528">
        <v>7152</v>
      </c>
      <c r="G66" s="1528">
        <v>7152</v>
      </c>
      <c r="H66" s="1528"/>
      <c r="I66" s="1528"/>
      <c r="J66" s="1550"/>
      <c r="K66" s="1550"/>
      <c r="L66" s="1528"/>
      <c r="M66" s="1528"/>
      <c r="N66" s="1550"/>
      <c r="O66" s="1550"/>
      <c r="P66" s="1516"/>
      <c r="Q66" s="1516"/>
      <c r="R66" s="1516"/>
      <c r="S66" s="1516">
        <v>0</v>
      </c>
      <c r="T66" s="1516">
        <f t="shared" si="7"/>
        <v>7152</v>
      </c>
      <c r="U66" s="1516">
        <f t="shared" si="8"/>
        <v>7152</v>
      </c>
      <c r="V66" s="1528">
        <v>606</v>
      </c>
      <c r="W66" s="1528">
        <v>606</v>
      </c>
      <c r="X66" s="1516"/>
      <c r="Y66" s="1516"/>
      <c r="Z66" s="1516">
        <f t="shared" si="5"/>
        <v>0</v>
      </c>
      <c r="AA66" s="1516">
        <f t="shared" si="5"/>
        <v>0</v>
      </c>
      <c r="AB66" s="1516">
        <f t="shared" si="9"/>
        <v>606</v>
      </c>
      <c r="AC66" s="1516"/>
      <c r="AD66" s="1516"/>
      <c r="AE66" s="1516"/>
      <c r="AF66" s="1516"/>
      <c r="AG66" s="1516"/>
      <c r="AH66" s="1527" t="s">
        <v>418</v>
      </c>
      <c r="AI66" s="1509" t="s">
        <v>2022</v>
      </c>
    </row>
    <row r="67" spans="1:36" ht="33.75" x14ac:dyDescent="0.25">
      <c r="A67" s="1527">
        <v>8</v>
      </c>
      <c r="B67" s="1526" t="s">
        <v>2024</v>
      </c>
      <c r="C67" s="1527" t="s">
        <v>2025</v>
      </c>
      <c r="D67" s="1528">
        <v>32249</v>
      </c>
      <c r="E67" s="1528">
        <f>D67</f>
        <v>32249</v>
      </c>
      <c r="F67" s="1529">
        <f>18380+3000</f>
        <v>21380</v>
      </c>
      <c r="G67" s="1529"/>
      <c r="H67" s="1528"/>
      <c r="I67" s="1528"/>
      <c r="J67" s="1545"/>
      <c r="K67" s="1545"/>
      <c r="L67" s="1528"/>
      <c r="M67" s="1528"/>
      <c r="N67" s="1545"/>
      <c r="O67" s="1545"/>
      <c r="P67" s="1516"/>
      <c r="Q67" s="1516"/>
      <c r="R67" s="1516"/>
      <c r="S67" s="1516">
        <v>0</v>
      </c>
      <c r="T67" s="1516">
        <f>F67+H67+L67+P67</f>
        <v>21380</v>
      </c>
      <c r="U67" s="1516">
        <f>G67+I67+M67+Q67+R67</f>
        <v>0</v>
      </c>
      <c r="V67" s="1528">
        <v>3869</v>
      </c>
      <c r="W67" s="1528">
        <v>3869</v>
      </c>
      <c r="X67" s="1516"/>
      <c r="Y67" s="1516"/>
      <c r="Z67" s="1516">
        <f>H67+L67+P67</f>
        <v>0</v>
      </c>
      <c r="AA67" s="1516">
        <f>I67+M67+Q67</f>
        <v>0</v>
      </c>
      <c r="AB67" s="1516">
        <f>W67-AA67</f>
        <v>3869</v>
      </c>
      <c r="AC67" s="1516"/>
      <c r="AD67" s="1516"/>
      <c r="AE67" s="1516"/>
      <c r="AF67" s="1516"/>
      <c r="AG67" s="1516">
        <f>(T67+AC67)/D67*100</f>
        <v>66.296629352848143</v>
      </c>
      <c r="AH67" s="1527" t="s">
        <v>418</v>
      </c>
      <c r="AI67" s="1509" t="s">
        <v>2022</v>
      </c>
    </row>
    <row r="68" spans="1:36" ht="33.75" x14ac:dyDescent="0.25">
      <c r="A68" s="1527">
        <v>9</v>
      </c>
      <c r="B68" s="1544" t="s">
        <v>2026</v>
      </c>
      <c r="C68" s="1509" t="s">
        <v>2027</v>
      </c>
      <c r="D68" s="1536">
        <v>18208</v>
      </c>
      <c r="E68" s="1528">
        <f>D68-13384</f>
        <v>4824</v>
      </c>
      <c r="F68" s="1529">
        <v>15384</v>
      </c>
      <c r="G68" s="1529">
        <f>15384-13384</f>
        <v>2000</v>
      </c>
      <c r="H68" s="1528"/>
      <c r="I68" s="1528"/>
      <c r="J68" s="1516"/>
      <c r="K68" s="1516"/>
      <c r="L68" s="1528"/>
      <c r="M68" s="1528"/>
      <c r="N68" s="1516"/>
      <c r="O68" s="1516"/>
      <c r="P68" s="1516"/>
      <c r="Q68" s="1516"/>
      <c r="R68" s="1516"/>
      <c r="S68" s="1516">
        <v>0</v>
      </c>
      <c r="T68" s="1516">
        <f t="shared" si="7"/>
        <v>15384</v>
      </c>
      <c r="U68" s="1516">
        <f t="shared" si="8"/>
        <v>2000</v>
      </c>
      <c r="V68" s="1528">
        <v>800</v>
      </c>
      <c r="W68" s="1528">
        <v>800</v>
      </c>
      <c r="X68" s="1516"/>
      <c r="Y68" s="1516"/>
      <c r="Z68" s="1516">
        <f t="shared" si="5"/>
        <v>0</v>
      </c>
      <c r="AA68" s="1516">
        <f t="shared" si="5"/>
        <v>0</v>
      </c>
      <c r="AB68" s="1516">
        <f>W68-AA68</f>
        <v>800</v>
      </c>
      <c r="AC68" s="1516"/>
      <c r="AD68" s="1516"/>
      <c r="AE68" s="1516"/>
      <c r="AF68" s="1516"/>
      <c r="AG68" s="1516">
        <f>(T68+AC68)/D68*100</f>
        <v>84.490333919156413</v>
      </c>
      <c r="AH68" s="1527" t="s">
        <v>418</v>
      </c>
      <c r="AI68" s="1509" t="s">
        <v>2022</v>
      </c>
    </row>
    <row r="69" spans="1:36" ht="33.75" x14ac:dyDescent="0.25">
      <c r="A69" s="1527">
        <v>10</v>
      </c>
      <c r="B69" s="1526" t="s">
        <v>2028</v>
      </c>
      <c r="C69" s="1509" t="s">
        <v>2029</v>
      </c>
      <c r="D69" s="1528">
        <v>15768</v>
      </c>
      <c r="E69" s="1528">
        <f>D69</f>
        <v>15768</v>
      </c>
      <c r="F69" s="1529">
        <v>12638</v>
      </c>
      <c r="G69" s="1529">
        <v>12638</v>
      </c>
      <c r="H69" s="1528"/>
      <c r="I69" s="1528"/>
      <c r="J69" s="1516"/>
      <c r="K69" s="1516"/>
      <c r="L69" s="1528"/>
      <c r="M69" s="1528"/>
      <c r="N69" s="1516"/>
      <c r="O69" s="1516"/>
      <c r="P69" s="1516"/>
      <c r="Q69" s="1516"/>
      <c r="R69" s="1516"/>
      <c r="S69" s="1516">
        <v>0</v>
      </c>
      <c r="T69" s="1516">
        <f t="shared" si="7"/>
        <v>12638</v>
      </c>
      <c r="U69" s="1516">
        <f t="shared" si="8"/>
        <v>12638</v>
      </c>
      <c r="V69" s="1528">
        <v>1553.2000000000007</v>
      </c>
      <c r="W69" s="1528">
        <v>1553.2000000000007</v>
      </c>
      <c r="X69" s="1516"/>
      <c r="Y69" s="1516"/>
      <c r="Z69" s="1516">
        <f t="shared" si="5"/>
        <v>0</v>
      </c>
      <c r="AA69" s="1516">
        <f t="shared" si="5"/>
        <v>0</v>
      </c>
      <c r="AB69" s="1516">
        <f t="shared" si="9"/>
        <v>1553.2000000000007</v>
      </c>
      <c r="AC69" s="1516"/>
      <c r="AD69" s="1516"/>
      <c r="AE69" s="1516"/>
      <c r="AF69" s="1516"/>
      <c r="AG69" s="1516">
        <f>(T69+AC69)/D69*100</f>
        <v>80.149670218163365</v>
      </c>
      <c r="AH69" s="1527" t="s">
        <v>418</v>
      </c>
      <c r="AI69" s="1509" t="s">
        <v>2022</v>
      </c>
    </row>
    <row r="70" spans="1:36" ht="33.75" x14ac:dyDescent="0.25">
      <c r="A70" s="1527">
        <v>11</v>
      </c>
      <c r="B70" s="1526" t="s">
        <v>1640</v>
      </c>
      <c r="C70" s="1527" t="s">
        <v>1808</v>
      </c>
      <c r="D70" s="1528">
        <v>66023</v>
      </c>
      <c r="E70" s="1528">
        <v>66023</v>
      </c>
      <c r="F70" s="1529">
        <v>57451</v>
      </c>
      <c r="G70" s="1529">
        <v>57451</v>
      </c>
      <c r="H70" s="1528">
        <v>1815</v>
      </c>
      <c r="I70" s="1528">
        <v>1815</v>
      </c>
      <c r="J70" s="1525"/>
      <c r="K70" s="1525"/>
      <c r="L70" s="1528"/>
      <c r="M70" s="1528"/>
      <c r="N70" s="1525"/>
      <c r="O70" s="1525"/>
      <c r="P70" s="1516"/>
      <c r="Q70" s="1516"/>
      <c r="R70" s="1516"/>
      <c r="S70" s="1516"/>
      <c r="T70" s="1516">
        <f>F70+H70+L70+P70</f>
        <v>59266</v>
      </c>
      <c r="U70" s="1516">
        <f>G70+I70+M70+Q70+R70</f>
        <v>59266</v>
      </c>
      <c r="V70" s="1528">
        <v>6324</v>
      </c>
      <c r="W70" s="1528">
        <v>6324</v>
      </c>
      <c r="X70" s="1516"/>
      <c r="Y70" s="1516"/>
      <c r="Z70" s="1516">
        <f>H70+L70+P70</f>
        <v>1815</v>
      </c>
      <c r="AA70" s="1516">
        <f>I70+M70+Q70</f>
        <v>1815</v>
      </c>
      <c r="AB70" s="1516">
        <f>W70-AA70</f>
        <v>4509</v>
      </c>
      <c r="AC70" s="1516">
        <v>4509</v>
      </c>
      <c r="AD70" s="1516">
        <f>AC70</f>
        <v>4509</v>
      </c>
      <c r="AE70" s="1516"/>
      <c r="AF70" s="1516"/>
      <c r="AG70" s="1516">
        <f>(T70+AC70)/D70*100</f>
        <v>96.595125940959974</v>
      </c>
      <c r="AH70" s="1527" t="s">
        <v>418</v>
      </c>
      <c r="AI70" s="1542"/>
    </row>
    <row r="71" spans="1:36" ht="22.5" x14ac:dyDescent="0.25">
      <c r="A71" s="1527">
        <v>12</v>
      </c>
      <c r="B71" s="1526" t="s">
        <v>1649</v>
      </c>
      <c r="C71" s="1527" t="s">
        <v>1810</v>
      </c>
      <c r="D71" s="1528">
        <v>14429</v>
      </c>
      <c r="E71" s="1528">
        <v>4000</v>
      </c>
      <c r="F71" s="1529">
        <v>0</v>
      </c>
      <c r="G71" s="1529">
        <v>0</v>
      </c>
      <c r="H71" s="1528">
        <v>2500</v>
      </c>
      <c r="I71" s="1528">
        <v>2500</v>
      </c>
      <c r="J71" s="1545"/>
      <c r="K71" s="1545"/>
      <c r="L71" s="1528">
        <f>3600+5000</f>
        <v>8600</v>
      </c>
      <c r="M71" s="1528"/>
      <c r="N71" s="1545"/>
      <c r="O71" s="1545"/>
      <c r="P71" s="1516"/>
      <c r="Q71" s="1516"/>
      <c r="R71" s="1516"/>
      <c r="S71" s="1516">
        <v>0</v>
      </c>
      <c r="T71" s="1516">
        <f t="shared" si="7"/>
        <v>11100</v>
      </c>
      <c r="U71" s="1516">
        <f t="shared" si="8"/>
        <v>2500</v>
      </c>
      <c r="V71" s="1528">
        <v>5559</v>
      </c>
      <c r="W71" s="1528">
        <v>4000</v>
      </c>
      <c r="X71" s="1516"/>
      <c r="Y71" s="1516"/>
      <c r="Z71" s="1516">
        <f t="shared" si="5"/>
        <v>11100</v>
      </c>
      <c r="AA71" s="1516">
        <f t="shared" si="5"/>
        <v>2500</v>
      </c>
      <c r="AB71" s="1516">
        <f t="shared" si="9"/>
        <v>1500</v>
      </c>
      <c r="AC71" s="1516">
        <v>1500</v>
      </c>
      <c r="AD71" s="1516">
        <v>1500</v>
      </c>
      <c r="AE71" s="1516"/>
      <c r="AF71" s="1516"/>
      <c r="AG71" s="1516">
        <f>(T71+AC71)/D71*100</f>
        <v>87.324138886963752</v>
      </c>
      <c r="AH71" s="1527" t="s">
        <v>420</v>
      </c>
      <c r="AI71" s="1517"/>
    </row>
    <row r="72" spans="1:36" s="1647" customFormat="1" x14ac:dyDescent="0.25">
      <c r="A72" s="1619" t="s">
        <v>147</v>
      </c>
      <c r="B72" s="1646" t="s">
        <v>1798</v>
      </c>
      <c r="C72" s="1615"/>
      <c r="D72" s="1515">
        <f t="shared" ref="D72:AF72" si="21">SUM(D73:D88)</f>
        <v>218935</v>
      </c>
      <c r="E72" s="1515">
        <f t="shared" si="21"/>
        <v>144408.19999999998</v>
      </c>
      <c r="F72" s="1515">
        <f t="shared" si="21"/>
        <v>26371</v>
      </c>
      <c r="G72" s="1515">
        <f t="shared" si="21"/>
        <v>26371</v>
      </c>
      <c r="H72" s="1515">
        <f t="shared" si="21"/>
        <v>25019</v>
      </c>
      <c r="I72" s="1515">
        <f t="shared" si="21"/>
        <v>25019</v>
      </c>
      <c r="J72" s="1515">
        <f t="shared" si="21"/>
        <v>0</v>
      </c>
      <c r="K72" s="1515">
        <f t="shared" si="21"/>
        <v>0</v>
      </c>
      <c r="L72" s="1515">
        <f t="shared" si="21"/>
        <v>47462.7</v>
      </c>
      <c r="M72" s="1515">
        <f t="shared" si="21"/>
        <v>42462.7</v>
      </c>
      <c r="N72" s="1515">
        <f t="shared" si="21"/>
        <v>0</v>
      </c>
      <c r="O72" s="1515">
        <f t="shared" si="21"/>
        <v>0</v>
      </c>
      <c r="P72" s="1515">
        <f t="shared" si="21"/>
        <v>15450</v>
      </c>
      <c r="Q72" s="1515">
        <f t="shared" si="21"/>
        <v>15450</v>
      </c>
      <c r="R72" s="1515">
        <f t="shared" si="21"/>
        <v>0</v>
      </c>
      <c r="S72" s="1515">
        <f t="shared" si="21"/>
        <v>0</v>
      </c>
      <c r="T72" s="1515">
        <f t="shared" si="21"/>
        <v>114302.7</v>
      </c>
      <c r="U72" s="1515">
        <f t="shared" si="21"/>
        <v>109302.7</v>
      </c>
      <c r="V72" s="1515">
        <f t="shared" si="21"/>
        <v>178060.5</v>
      </c>
      <c r="W72" s="1515">
        <f t="shared" si="21"/>
        <v>106726.82</v>
      </c>
      <c r="X72" s="1515">
        <f t="shared" si="21"/>
        <v>0</v>
      </c>
      <c r="Y72" s="1515">
        <f t="shared" si="21"/>
        <v>0</v>
      </c>
      <c r="Z72" s="1515">
        <f t="shared" si="21"/>
        <v>87931.7</v>
      </c>
      <c r="AA72" s="1515">
        <f t="shared" si="21"/>
        <v>82931.7</v>
      </c>
      <c r="AB72" s="1515">
        <f t="shared" si="21"/>
        <v>23795.120000000003</v>
      </c>
      <c r="AC72" s="1515">
        <f t="shared" si="21"/>
        <v>23795.120000000003</v>
      </c>
      <c r="AD72" s="1515">
        <f t="shared" si="21"/>
        <v>23795.120000000003</v>
      </c>
      <c r="AE72" s="1515">
        <f t="shared" si="21"/>
        <v>0</v>
      </c>
      <c r="AF72" s="1515">
        <f t="shared" si="21"/>
        <v>0</v>
      </c>
      <c r="AG72" s="1516"/>
      <c r="AH72" s="1615"/>
      <c r="AI72" s="1615"/>
      <c r="AJ72" s="1668">
        <v>1</v>
      </c>
    </row>
    <row r="73" spans="1:36" ht="33.75" x14ac:dyDescent="0.25">
      <c r="A73" s="1527">
        <v>1</v>
      </c>
      <c r="B73" s="1526" t="s">
        <v>2030</v>
      </c>
      <c r="C73" s="1527" t="s">
        <v>2031</v>
      </c>
      <c r="D73" s="1528">
        <v>73774</v>
      </c>
      <c r="E73" s="1528">
        <v>31217</v>
      </c>
      <c r="F73" s="1529">
        <v>26217</v>
      </c>
      <c r="G73" s="1529">
        <v>26217</v>
      </c>
      <c r="H73" s="1528">
        <v>5000</v>
      </c>
      <c r="I73" s="1528">
        <v>5000</v>
      </c>
      <c r="J73" s="1516"/>
      <c r="K73" s="1516"/>
      <c r="L73" s="1528">
        <v>5000</v>
      </c>
      <c r="M73" s="1528"/>
      <c r="N73" s="1516"/>
      <c r="O73" s="1516"/>
      <c r="P73" s="1516"/>
      <c r="Q73" s="1516"/>
      <c r="R73" s="1516"/>
      <c r="S73" s="1516"/>
      <c r="T73" s="1516">
        <f>F73+H73+L73+P73</f>
        <v>36217</v>
      </c>
      <c r="U73" s="1516">
        <f>G73+I73+M73+Q73+R73</f>
        <v>31217</v>
      </c>
      <c r="V73" s="1528">
        <v>47557</v>
      </c>
      <c r="W73" s="1528">
        <v>5000</v>
      </c>
      <c r="X73" s="1516"/>
      <c r="Y73" s="1516"/>
      <c r="Z73" s="1516">
        <f>H73+L73+P73</f>
        <v>10000</v>
      </c>
      <c r="AA73" s="1516">
        <f>I73+M73+Q73</f>
        <v>5000</v>
      </c>
      <c r="AB73" s="1516">
        <f>W73-AA73</f>
        <v>0</v>
      </c>
      <c r="AC73" s="1516"/>
      <c r="AD73" s="1516"/>
      <c r="AE73" s="1516"/>
      <c r="AF73" s="1516"/>
      <c r="AG73" s="1516"/>
      <c r="AH73" s="1527" t="s">
        <v>418</v>
      </c>
      <c r="AI73" s="1509"/>
    </row>
    <row r="74" spans="1:36" ht="33.75" x14ac:dyDescent="0.25">
      <c r="A74" s="1527">
        <v>2</v>
      </c>
      <c r="B74" s="1526" t="s">
        <v>1637</v>
      </c>
      <c r="C74" s="1527" t="s">
        <v>1811</v>
      </c>
      <c r="D74" s="1528">
        <v>22015</v>
      </c>
      <c r="E74" s="1528">
        <f>D74</f>
        <v>22015</v>
      </c>
      <c r="F74" s="1529">
        <v>154</v>
      </c>
      <c r="G74" s="1529">
        <v>154</v>
      </c>
      <c r="H74" s="1528">
        <v>15000</v>
      </c>
      <c r="I74" s="1528">
        <v>15000</v>
      </c>
      <c r="J74" s="1516"/>
      <c r="K74" s="1516"/>
      <c r="L74" s="1528">
        <v>3222</v>
      </c>
      <c r="M74" s="1528">
        <v>3222</v>
      </c>
      <c r="N74" s="1516"/>
      <c r="O74" s="1516"/>
      <c r="P74" s="1516"/>
      <c r="Q74" s="1516"/>
      <c r="R74" s="1516"/>
      <c r="S74" s="1516"/>
      <c r="T74" s="1516">
        <f t="shared" si="7"/>
        <v>18376</v>
      </c>
      <c r="U74" s="1516">
        <f t="shared" si="8"/>
        <v>18376</v>
      </c>
      <c r="V74" s="1528">
        <v>19659.5</v>
      </c>
      <c r="W74" s="1528">
        <v>19659.5</v>
      </c>
      <c r="X74" s="1516"/>
      <c r="Y74" s="1516"/>
      <c r="Z74" s="1516">
        <f t="shared" si="5"/>
        <v>18222</v>
      </c>
      <c r="AA74" s="1516">
        <f t="shared" si="5"/>
        <v>18222</v>
      </c>
      <c r="AB74" s="1516">
        <f t="shared" si="9"/>
        <v>1437.5</v>
      </c>
      <c r="AC74" s="1516">
        <f t="shared" ref="AC74:AD86" si="22">AB74</f>
        <v>1437.5</v>
      </c>
      <c r="AD74" s="1516">
        <f t="shared" si="22"/>
        <v>1437.5</v>
      </c>
      <c r="AE74" s="1516"/>
      <c r="AF74" s="1516"/>
      <c r="AG74" s="1516">
        <f t="shared" ref="AG74:AG88" si="23">(AD74+U74)/E74*100</f>
        <v>90</v>
      </c>
      <c r="AH74" s="1527" t="s">
        <v>418</v>
      </c>
      <c r="AI74" s="1509"/>
    </row>
    <row r="75" spans="1:36" ht="33.75" x14ac:dyDescent="0.25">
      <c r="A75" s="1527">
        <v>3</v>
      </c>
      <c r="B75" s="1557" t="s">
        <v>958</v>
      </c>
      <c r="C75" s="1527" t="s">
        <v>959</v>
      </c>
      <c r="D75" s="1528">
        <v>12096</v>
      </c>
      <c r="E75" s="1528">
        <v>12096</v>
      </c>
      <c r="F75" s="1529">
        <v>0</v>
      </c>
      <c r="G75" s="1529">
        <v>0</v>
      </c>
      <c r="H75" s="1528">
        <v>5019</v>
      </c>
      <c r="I75" s="1528">
        <v>5019</v>
      </c>
      <c r="J75" s="1550"/>
      <c r="K75" s="1550"/>
      <c r="L75" s="1528">
        <v>3200</v>
      </c>
      <c r="M75" s="1528">
        <v>3200</v>
      </c>
      <c r="N75" s="1550"/>
      <c r="O75" s="1550"/>
      <c r="P75" s="1516">
        <v>1700</v>
      </c>
      <c r="Q75" s="1516">
        <v>1700</v>
      </c>
      <c r="R75" s="1516"/>
      <c r="S75" s="1516"/>
      <c r="T75" s="1516">
        <f t="shared" si="7"/>
        <v>9919</v>
      </c>
      <c r="U75" s="1516">
        <f t="shared" si="8"/>
        <v>9919</v>
      </c>
      <c r="V75" s="1528">
        <v>10886.4</v>
      </c>
      <c r="W75" s="1528">
        <v>10886.4</v>
      </c>
      <c r="X75" s="1516"/>
      <c r="Y75" s="1516"/>
      <c r="Z75" s="1516">
        <f t="shared" si="5"/>
        <v>9919</v>
      </c>
      <c r="AA75" s="1516">
        <f t="shared" si="5"/>
        <v>9919</v>
      </c>
      <c r="AB75" s="1516">
        <f t="shared" si="9"/>
        <v>967.39999999999964</v>
      </c>
      <c r="AC75" s="1516">
        <f t="shared" si="22"/>
        <v>967.39999999999964</v>
      </c>
      <c r="AD75" s="1516">
        <f t="shared" si="22"/>
        <v>967.39999999999964</v>
      </c>
      <c r="AE75" s="1516"/>
      <c r="AF75" s="1516"/>
      <c r="AG75" s="1516">
        <f t="shared" si="23"/>
        <v>90</v>
      </c>
      <c r="AH75" s="1527" t="s">
        <v>418</v>
      </c>
      <c r="AI75" s="1558"/>
    </row>
    <row r="76" spans="1:36" ht="33.75" x14ac:dyDescent="0.25">
      <c r="A76" s="1527">
        <v>4</v>
      </c>
      <c r="B76" s="1526" t="s">
        <v>961</v>
      </c>
      <c r="C76" s="1527" t="s">
        <v>1195</v>
      </c>
      <c r="D76" s="1528">
        <v>3552</v>
      </c>
      <c r="E76" s="1528">
        <v>3552</v>
      </c>
      <c r="F76" s="1529"/>
      <c r="G76" s="1529"/>
      <c r="H76" s="1528"/>
      <c r="I76" s="1528"/>
      <c r="J76" s="1555"/>
      <c r="K76" s="1555"/>
      <c r="L76" s="1528">
        <v>2000</v>
      </c>
      <c r="M76" s="1528">
        <v>2000</v>
      </c>
      <c r="N76" s="1555"/>
      <c r="O76" s="1555"/>
      <c r="P76" s="1553">
        <v>952</v>
      </c>
      <c r="Q76" s="1553">
        <v>952</v>
      </c>
      <c r="R76" s="1555"/>
      <c r="S76" s="1555"/>
      <c r="T76" s="1516">
        <f>F76+H76+L76+P76</f>
        <v>2952</v>
      </c>
      <c r="U76" s="1516">
        <f>G76+I76+M76+Q76+R76</f>
        <v>2952</v>
      </c>
      <c r="V76" s="1528">
        <v>3196.8</v>
      </c>
      <c r="W76" s="1528">
        <v>3196.8</v>
      </c>
      <c r="X76" s="1516"/>
      <c r="Y76" s="1516"/>
      <c r="Z76" s="1516">
        <f>H76+L76+P76</f>
        <v>2952</v>
      </c>
      <c r="AA76" s="1516">
        <f>I76+M76+Q76</f>
        <v>2952</v>
      </c>
      <c r="AB76" s="1516">
        <f>W76-AA76</f>
        <v>244.80000000000018</v>
      </c>
      <c r="AC76" s="1516">
        <f t="shared" si="22"/>
        <v>244.80000000000018</v>
      </c>
      <c r="AD76" s="1516">
        <f t="shared" si="22"/>
        <v>244.80000000000018</v>
      </c>
      <c r="AE76" s="1555"/>
      <c r="AF76" s="1555"/>
      <c r="AG76" s="1516">
        <f t="shared" si="23"/>
        <v>90</v>
      </c>
      <c r="AH76" s="1527" t="s">
        <v>420</v>
      </c>
      <c r="AI76" s="1509"/>
    </row>
    <row r="77" spans="1:36" ht="22.5" x14ac:dyDescent="0.25">
      <c r="A77" s="1527">
        <v>5</v>
      </c>
      <c r="B77" s="1526" t="s">
        <v>977</v>
      </c>
      <c r="C77" s="1559" t="s">
        <v>978</v>
      </c>
      <c r="D77" s="1544">
        <v>13316</v>
      </c>
      <c r="E77" s="1544">
        <v>7500</v>
      </c>
      <c r="F77" s="1529"/>
      <c r="G77" s="1529"/>
      <c r="H77" s="1528"/>
      <c r="I77" s="1528"/>
      <c r="J77" s="1560"/>
      <c r="K77" s="1560"/>
      <c r="L77" s="1544">
        <v>4638</v>
      </c>
      <c r="M77" s="1544">
        <v>4638</v>
      </c>
      <c r="N77" s="1560"/>
      <c r="O77" s="1560"/>
      <c r="P77" s="1516">
        <v>1500</v>
      </c>
      <c r="Q77" s="1516">
        <v>1500</v>
      </c>
      <c r="R77" s="1561"/>
      <c r="S77" s="1561"/>
      <c r="T77" s="1516">
        <f>F77+H77+L77+P77</f>
        <v>6138</v>
      </c>
      <c r="U77" s="1516">
        <f>G77+I77+M77+Q77+R77</f>
        <v>6138</v>
      </c>
      <c r="V77" s="1528">
        <v>11984.4</v>
      </c>
      <c r="W77" s="1528">
        <v>6750</v>
      </c>
      <c r="X77" s="1561"/>
      <c r="Y77" s="1561"/>
      <c r="Z77" s="1516">
        <f>H77+L77+P77</f>
        <v>6138</v>
      </c>
      <c r="AA77" s="1516">
        <f>I77+M77+Q77</f>
        <v>6138</v>
      </c>
      <c r="AB77" s="1516">
        <f>W77-AA77</f>
        <v>612</v>
      </c>
      <c r="AC77" s="1516">
        <f t="shared" si="22"/>
        <v>612</v>
      </c>
      <c r="AD77" s="1516">
        <f t="shared" si="22"/>
        <v>612</v>
      </c>
      <c r="AE77" s="1561"/>
      <c r="AF77" s="1561"/>
      <c r="AG77" s="1516">
        <f t="shared" si="23"/>
        <v>90</v>
      </c>
      <c r="AH77" s="1509" t="s">
        <v>427</v>
      </c>
      <c r="AI77" s="1509"/>
    </row>
    <row r="78" spans="1:36" ht="22.5" x14ac:dyDescent="0.25">
      <c r="A78" s="1527">
        <v>6</v>
      </c>
      <c r="B78" s="1526" t="s">
        <v>975</v>
      </c>
      <c r="C78" s="1559" t="s">
        <v>976</v>
      </c>
      <c r="D78" s="1528">
        <v>32200</v>
      </c>
      <c r="E78" s="1528">
        <f>D78/2</f>
        <v>16100</v>
      </c>
      <c r="F78" s="1529">
        <v>0</v>
      </c>
      <c r="G78" s="1529">
        <v>0</v>
      </c>
      <c r="H78" s="1528">
        <v>0</v>
      </c>
      <c r="I78" s="1528">
        <v>0</v>
      </c>
      <c r="J78" s="1525"/>
      <c r="K78" s="1525"/>
      <c r="L78" s="1528">
        <v>6000</v>
      </c>
      <c r="M78" s="1528">
        <v>6000</v>
      </c>
      <c r="N78" s="1525"/>
      <c r="O78" s="1525"/>
      <c r="P78" s="1516">
        <v>5748</v>
      </c>
      <c r="Q78" s="1516">
        <v>5748</v>
      </c>
      <c r="R78" s="1516"/>
      <c r="S78" s="1516"/>
      <c r="T78" s="1516">
        <f t="shared" si="7"/>
        <v>11748</v>
      </c>
      <c r="U78" s="1516">
        <f t="shared" si="8"/>
        <v>11748</v>
      </c>
      <c r="V78" s="1528">
        <v>28980</v>
      </c>
      <c r="W78" s="1528">
        <v>14490</v>
      </c>
      <c r="X78" s="1516"/>
      <c r="Y78" s="1516"/>
      <c r="Z78" s="1516">
        <f t="shared" si="5"/>
        <v>11748</v>
      </c>
      <c r="AA78" s="1516">
        <f t="shared" si="5"/>
        <v>11748</v>
      </c>
      <c r="AB78" s="1516">
        <f t="shared" si="9"/>
        <v>2742</v>
      </c>
      <c r="AC78" s="1516">
        <f t="shared" si="22"/>
        <v>2742</v>
      </c>
      <c r="AD78" s="1516">
        <f t="shared" si="22"/>
        <v>2742</v>
      </c>
      <c r="AE78" s="1516"/>
      <c r="AF78" s="1516"/>
      <c r="AG78" s="1516">
        <f t="shared" si="23"/>
        <v>90</v>
      </c>
      <c r="AH78" s="1527" t="s">
        <v>427</v>
      </c>
      <c r="AI78" s="1543"/>
    </row>
    <row r="79" spans="1:36" ht="33.75" x14ac:dyDescent="0.25">
      <c r="A79" s="1527">
        <v>7</v>
      </c>
      <c r="B79" s="1526" t="s">
        <v>962</v>
      </c>
      <c r="C79" s="1527" t="s">
        <v>1196</v>
      </c>
      <c r="D79" s="1544">
        <v>7500</v>
      </c>
      <c r="E79" s="1544">
        <v>7500</v>
      </c>
      <c r="F79" s="1529"/>
      <c r="G79" s="1529"/>
      <c r="H79" s="1528"/>
      <c r="I79" s="1528"/>
      <c r="J79" s="1562"/>
      <c r="K79" s="1562"/>
      <c r="L79" s="1544">
        <v>3652</v>
      </c>
      <c r="M79" s="1544">
        <v>3652</v>
      </c>
      <c r="N79" s="1562"/>
      <c r="O79" s="1562"/>
      <c r="P79" s="1553">
        <v>1350</v>
      </c>
      <c r="Q79" s="1553">
        <v>1350</v>
      </c>
      <c r="R79" s="1553"/>
      <c r="S79" s="1553"/>
      <c r="T79" s="1516">
        <f t="shared" si="7"/>
        <v>5002</v>
      </c>
      <c r="U79" s="1516">
        <f t="shared" si="8"/>
        <v>5002</v>
      </c>
      <c r="V79" s="1528">
        <v>6750</v>
      </c>
      <c r="W79" s="1528">
        <v>6750</v>
      </c>
      <c r="X79" s="1553"/>
      <c r="Y79" s="1553"/>
      <c r="Z79" s="1516">
        <f t="shared" si="5"/>
        <v>5002</v>
      </c>
      <c r="AA79" s="1516">
        <f t="shared" si="5"/>
        <v>5002</v>
      </c>
      <c r="AB79" s="1516">
        <f t="shared" si="9"/>
        <v>1748</v>
      </c>
      <c r="AC79" s="1516">
        <f t="shared" si="22"/>
        <v>1748</v>
      </c>
      <c r="AD79" s="1516">
        <f t="shared" si="22"/>
        <v>1748</v>
      </c>
      <c r="AE79" s="1553"/>
      <c r="AF79" s="1553"/>
      <c r="AG79" s="1516">
        <f t="shared" si="23"/>
        <v>90</v>
      </c>
      <c r="AH79" s="1527" t="s">
        <v>420</v>
      </c>
      <c r="AI79" s="1563"/>
    </row>
    <row r="80" spans="1:36" ht="33.75" x14ac:dyDescent="0.25">
      <c r="A80" s="1527">
        <v>8</v>
      </c>
      <c r="B80" s="1557" t="s">
        <v>1638</v>
      </c>
      <c r="C80" s="1527" t="s">
        <v>1812</v>
      </c>
      <c r="D80" s="1528">
        <v>10000</v>
      </c>
      <c r="E80" s="1528">
        <v>10000</v>
      </c>
      <c r="F80" s="1529"/>
      <c r="G80" s="1529"/>
      <c r="H80" s="1528"/>
      <c r="I80" s="1528"/>
      <c r="J80" s="1545"/>
      <c r="K80" s="1545"/>
      <c r="L80" s="1528">
        <v>4000</v>
      </c>
      <c r="M80" s="1528">
        <v>4000</v>
      </c>
      <c r="N80" s="1545"/>
      <c r="O80" s="1545"/>
      <c r="P80" s="1516"/>
      <c r="Q80" s="1516"/>
      <c r="R80" s="1516"/>
      <c r="S80" s="1516"/>
      <c r="T80" s="1516">
        <f t="shared" si="7"/>
        <v>4000</v>
      </c>
      <c r="U80" s="1516">
        <f t="shared" si="8"/>
        <v>4000</v>
      </c>
      <c r="V80" s="1528">
        <v>9000</v>
      </c>
      <c r="W80" s="1528">
        <v>9000</v>
      </c>
      <c r="X80" s="1516"/>
      <c r="Y80" s="1516"/>
      <c r="Z80" s="1516">
        <f t="shared" si="5"/>
        <v>4000</v>
      </c>
      <c r="AA80" s="1516">
        <f t="shared" si="5"/>
        <v>4000</v>
      </c>
      <c r="AB80" s="1516">
        <f t="shared" si="9"/>
        <v>5000</v>
      </c>
      <c r="AC80" s="1516">
        <f t="shared" si="22"/>
        <v>5000</v>
      </c>
      <c r="AD80" s="1516">
        <f t="shared" si="22"/>
        <v>5000</v>
      </c>
      <c r="AE80" s="1516"/>
      <c r="AF80" s="1516"/>
      <c r="AG80" s="1516">
        <f t="shared" si="23"/>
        <v>90</v>
      </c>
      <c r="AH80" s="1527" t="s">
        <v>418</v>
      </c>
      <c r="AI80" s="1509"/>
    </row>
    <row r="81" spans="1:36" ht="33.75" x14ac:dyDescent="0.25">
      <c r="A81" s="1527">
        <v>9</v>
      </c>
      <c r="B81" s="1526" t="s">
        <v>1648</v>
      </c>
      <c r="C81" s="1527" t="s">
        <v>1813</v>
      </c>
      <c r="D81" s="1528">
        <v>4874</v>
      </c>
      <c r="E81" s="1528">
        <v>3944.4</v>
      </c>
      <c r="F81" s="1529"/>
      <c r="G81" s="1529"/>
      <c r="H81" s="1528"/>
      <c r="I81" s="1528"/>
      <c r="J81" s="1550"/>
      <c r="K81" s="1550"/>
      <c r="L81" s="1528">
        <v>540</v>
      </c>
      <c r="M81" s="1528">
        <v>540</v>
      </c>
      <c r="N81" s="1550"/>
      <c r="O81" s="1550"/>
      <c r="P81" s="1516">
        <v>500</v>
      </c>
      <c r="Q81" s="1516">
        <v>500</v>
      </c>
      <c r="R81" s="1516"/>
      <c r="S81" s="1516"/>
      <c r="T81" s="1516">
        <f t="shared" si="7"/>
        <v>1040</v>
      </c>
      <c r="U81" s="1516">
        <f t="shared" si="8"/>
        <v>1040</v>
      </c>
      <c r="V81" s="1528">
        <v>4386.6000000000004</v>
      </c>
      <c r="W81" s="1528">
        <v>3549.96</v>
      </c>
      <c r="X81" s="1516"/>
      <c r="Y81" s="1516"/>
      <c r="Z81" s="1516">
        <f t="shared" si="5"/>
        <v>1040</v>
      </c>
      <c r="AA81" s="1516">
        <f t="shared" si="5"/>
        <v>1040</v>
      </c>
      <c r="AB81" s="1516">
        <f t="shared" si="9"/>
        <v>2509.96</v>
      </c>
      <c r="AC81" s="1516">
        <f t="shared" si="22"/>
        <v>2509.96</v>
      </c>
      <c r="AD81" s="1516">
        <f t="shared" si="22"/>
        <v>2509.96</v>
      </c>
      <c r="AE81" s="1516"/>
      <c r="AF81" s="1516"/>
      <c r="AG81" s="1516">
        <f t="shared" si="23"/>
        <v>90</v>
      </c>
      <c r="AH81" s="1527" t="s">
        <v>420</v>
      </c>
      <c r="AI81" s="1509"/>
    </row>
    <row r="82" spans="1:36" ht="33.75" x14ac:dyDescent="0.25">
      <c r="A82" s="1527">
        <v>10</v>
      </c>
      <c r="B82" s="1526" t="s">
        <v>1656</v>
      </c>
      <c r="C82" s="1527"/>
      <c r="D82" s="1528">
        <v>954</v>
      </c>
      <c r="E82" s="1528">
        <v>760.4</v>
      </c>
      <c r="F82" s="1529"/>
      <c r="G82" s="1529"/>
      <c r="H82" s="1528"/>
      <c r="I82" s="1528"/>
      <c r="J82" s="1565"/>
      <c r="K82" s="1565"/>
      <c r="L82" s="1528">
        <v>380.2</v>
      </c>
      <c r="M82" s="1528">
        <v>380.2</v>
      </c>
      <c r="N82" s="1565"/>
      <c r="O82" s="1565"/>
      <c r="P82" s="1516"/>
      <c r="Q82" s="1516"/>
      <c r="R82" s="1561"/>
      <c r="S82" s="1561"/>
      <c r="T82" s="1516">
        <f t="shared" si="7"/>
        <v>380.2</v>
      </c>
      <c r="U82" s="1516">
        <f t="shared" si="8"/>
        <v>380.2</v>
      </c>
      <c r="V82" s="1528">
        <v>858.6</v>
      </c>
      <c r="W82" s="1528">
        <v>684.36</v>
      </c>
      <c r="X82" s="1561"/>
      <c r="Y82" s="1561"/>
      <c r="Z82" s="1516">
        <f t="shared" si="5"/>
        <v>380.2</v>
      </c>
      <c r="AA82" s="1516">
        <f t="shared" si="5"/>
        <v>380.2</v>
      </c>
      <c r="AB82" s="1516">
        <f t="shared" si="9"/>
        <v>304.16000000000003</v>
      </c>
      <c r="AC82" s="1516">
        <f t="shared" si="22"/>
        <v>304.16000000000003</v>
      </c>
      <c r="AD82" s="1516">
        <f t="shared" si="22"/>
        <v>304.16000000000003</v>
      </c>
      <c r="AE82" s="1561"/>
      <c r="AF82" s="1561"/>
      <c r="AG82" s="1516">
        <f t="shared" si="23"/>
        <v>90</v>
      </c>
      <c r="AH82" s="1527" t="s">
        <v>426</v>
      </c>
      <c r="AI82" s="1509"/>
    </row>
    <row r="83" spans="1:36" ht="33.75" x14ac:dyDescent="0.25">
      <c r="A83" s="1527">
        <v>12</v>
      </c>
      <c r="B83" s="1526" t="s">
        <v>1662</v>
      </c>
      <c r="C83" s="1527" t="s">
        <v>1814</v>
      </c>
      <c r="D83" s="1528">
        <v>3050</v>
      </c>
      <c r="E83" s="1528">
        <v>2432.4</v>
      </c>
      <c r="F83" s="1529"/>
      <c r="G83" s="1529"/>
      <c r="H83" s="1528"/>
      <c r="I83" s="1528"/>
      <c r="J83" s="1555"/>
      <c r="K83" s="1555"/>
      <c r="L83" s="1528">
        <v>1000</v>
      </c>
      <c r="M83" s="1528">
        <v>1000</v>
      </c>
      <c r="N83" s="1555"/>
      <c r="O83" s="1555"/>
      <c r="P83" s="1516"/>
      <c r="Q83" s="1516"/>
      <c r="R83" s="1555"/>
      <c r="S83" s="1555"/>
      <c r="T83" s="1516">
        <f t="shared" si="7"/>
        <v>1000</v>
      </c>
      <c r="U83" s="1516">
        <f t="shared" si="8"/>
        <v>1000</v>
      </c>
      <c r="V83" s="1528">
        <v>2745.9</v>
      </c>
      <c r="W83" s="1528">
        <v>2189</v>
      </c>
      <c r="X83" s="1516"/>
      <c r="Y83" s="1516"/>
      <c r="Z83" s="1516">
        <f t="shared" ref="Z83:AA147" si="24">H83+L83+P83</f>
        <v>1000</v>
      </c>
      <c r="AA83" s="1516">
        <f t="shared" si="24"/>
        <v>1000</v>
      </c>
      <c r="AB83" s="1516">
        <f t="shared" si="9"/>
        <v>1189</v>
      </c>
      <c r="AC83" s="1516">
        <f t="shared" si="22"/>
        <v>1189</v>
      </c>
      <c r="AD83" s="1516">
        <f t="shared" si="22"/>
        <v>1189</v>
      </c>
      <c r="AE83" s="1555"/>
      <c r="AF83" s="1555"/>
      <c r="AG83" s="1516">
        <f t="shared" si="23"/>
        <v>89.993422134517346</v>
      </c>
      <c r="AH83" s="1527" t="s">
        <v>424</v>
      </c>
      <c r="AI83" s="1509"/>
    </row>
    <row r="84" spans="1:36" ht="33.75" x14ac:dyDescent="0.25">
      <c r="A84" s="1527">
        <v>13</v>
      </c>
      <c r="B84" s="1526" t="s">
        <v>1197</v>
      </c>
      <c r="C84" s="1527"/>
      <c r="D84" s="1528">
        <v>5819</v>
      </c>
      <c r="E84" s="1528">
        <v>4639</v>
      </c>
      <c r="F84" s="1529"/>
      <c r="G84" s="1529"/>
      <c r="H84" s="1528"/>
      <c r="I84" s="1528"/>
      <c r="J84" s="1555"/>
      <c r="K84" s="1555"/>
      <c r="L84" s="1528">
        <v>1620</v>
      </c>
      <c r="M84" s="1528">
        <v>1620</v>
      </c>
      <c r="N84" s="1555"/>
      <c r="O84" s="1555"/>
      <c r="P84" s="1516">
        <v>1200</v>
      </c>
      <c r="Q84" s="1516">
        <v>1200</v>
      </c>
      <c r="R84" s="1555"/>
      <c r="S84" s="1555"/>
      <c r="T84" s="1516">
        <f t="shared" si="7"/>
        <v>2820</v>
      </c>
      <c r="U84" s="1516">
        <f t="shared" si="8"/>
        <v>2820</v>
      </c>
      <c r="V84" s="1528">
        <v>5237.1000000000004</v>
      </c>
      <c r="W84" s="1528">
        <v>4175</v>
      </c>
      <c r="X84" s="1516"/>
      <c r="Y84" s="1516"/>
      <c r="Z84" s="1516">
        <f t="shared" si="24"/>
        <v>2820</v>
      </c>
      <c r="AA84" s="1516">
        <f t="shared" si="24"/>
        <v>2820</v>
      </c>
      <c r="AB84" s="1516">
        <f t="shared" si="9"/>
        <v>1355</v>
      </c>
      <c r="AC84" s="1516">
        <f t="shared" si="22"/>
        <v>1355</v>
      </c>
      <c r="AD84" s="1516">
        <f t="shared" si="22"/>
        <v>1355</v>
      </c>
      <c r="AE84" s="1555"/>
      <c r="AF84" s="1555"/>
      <c r="AG84" s="1516">
        <f t="shared" si="23"/>
        <v>89.997844363009278</v>
      </c>
      <c r="AH84" s="1527" t="s">
        <v>423</v>
      </c>
      <c r="AI84" s="1509"/>
    </row>
    <row r="85" spans="1:36" ht="33.75" x14ac:dyDescent="0.25">
      <c r="A85" s="1527">
        <v>14</v>
      </c>
      <c r="B85" s="1526" t="s">
        <v>1198</v>
      </c>
      <c r="C85" s="1527" t="s">
        <v>1199</v>
      </c>
      <c r="D85" s="1528">
        <v>9560</v>
      </c>
      <c r="E85" s="1528">
        <v>7621</v>
      </c>
      <c r="F85" s="1529"/>
      <c r="G85" s="1529"/>
      <c r="H85" s="1528"/>
      <c r="I85" s="1528"/>
      <c r="J85" s="1544"/>
      <c r="K85" s="1544"/>
      <c r="L85" s="1528">
        <v>3810.5</v>
      </c>
      <c r="M85" s="1528">
        <v>3810.5</v>
      </c>
      <c r="N85" s="1544"/>
      <c r="O85" s="1544"/>
      <c r="P85" s="1516">
        <v>1500</v>
      </c>
      <c r="Q85" s="1516">
        <v>1500</v>
      </c>
      <c r="R85" s="1555"/>
      <c r="S85" s="1555"/>
      <c r="T85" s="1516">
        <f t="shared" ref="T85:T149" si="25">F85+H85+L85+P85</f>
        <v>5310.5</v>
      </c>
      <c r="U85" s="1516">
        <f t="shared" ref="U85:U149" si="26">G85+I85+M85+Q85+R85</f>
        <v>5310.5</v>
      </c>
      <c r="V85" s="1528">
        <v>8604</v>
      </c>
      <c r="W85" s="1528">
        <v>6858.9000000000005</v>
      </c>
      <c r="X85" s="1516"/>
      <c r="Y85" s="1516"/>
      <c r="Z85" s="1516">
        <f t="shared" si="24"/>
        <v>5310.5</v>
      </c>
      <c r="AA85" s="1516">
        <f t="shared" si="24"/>
        <v>5310.5</v>
      </c>
      <c r="AB85" s="1516">
        <f t="shared" ref="AB85:AB149" si="27">W85-AA85</f>
        <v>1548.4000000000005</v>
      </c>
      <c r="AC85" s="1516">
        <f t="shared" si="22"/>
        <v>1548.4000000000005</v>
      </c>
      <c r="AD85" s="1516">
        <f t="shared" si="22"/>
        <v>1548.4000000000005</v>
      </c>
      <c r="AE85" s="1555"/>
      <c r="AF85" s="1555"/>
      <c r="AG85" s="1516">
        <f t="shared" si="23"/>
        <v>90</v>
      </c>
      <c r="AH85" s="1527" t="s">
        <v>422</v>
      </c>
      <c r="AI85" s="1509"/>
    </row>
    <row r="86" spans="1:36" ht="22.5" x14ac:dyDescent="0.25">
      <c r="A86" s="1527">
        <v>15</v>
      </c>
      <c r="B86" s="1526" t="s">
        <v>1200</v>
      </c>
      <c r="C86" s="1527" t="s">
        <v>1201</v>
      </c>
      <c r="D86" s="1544">
        <v>6000</v>
      </c>
      <c r="E86" s="1544">
        <v>6000</v>
      </c>
      <c r="F86" s="1529"/>
      <c r="G86" s="1529"/>
      <c r="H86" s="1528"/>
      <c r="I86" s="1528"/>
      <c r="J86" s="1566"/>
      <c r="K86" s="1566"/>
      <c r="L86" s="1544">
        <v>3152</v>
      </c>
      <c r="M86" s="1544">
        <v>3152</v>
      </c>
      <c r="N86" s="1566"/>
      <c r="O86" s="1566"/>
      <c r="P86" s="1516">
        <v>1000</v>
      </c>
      <c r="Q86" s="1516">
        <v>1000</v>
      </c>
      <c r="R86" s="1561"/>
      <c r="S86" s="1561"/>
      <c r="T86" s="1516">
        <f t="shared" si="25"/>
        <v>4152</v>
      </c>
      <c r="U86" s="1516">
        <f t="shared" si="26"/>
        <v>4152</v>
      </c>
      <c r="V86" s="1528">
        <v>5400</v>
      </c>
      <c r="W86" s="1528">
        <v>5400</v>
      </c>
      <c r="X86" s="1561"/>
      <c r="Y86" s="1561"/>
      <c r="Z86" s="1516">
        <f t="shared" si="24"/>
        <v>4152</v>
      </c>
      <c r="AA86" s="1516">
        <f t="shared" si="24"/>
        <v>4152</v>
      </c>
      <c r="AB86" s="1516">
        <f t="shared" si="27"/>
        <v>1248</v>
      </c>
      <c r="AC86" s="1516">
        <f t="shared" si="22"/>
        <v>1248</v>
      </c>
      <c r="AD86" s="1516">
        <f t="shared" si="22"/>
        <v>1248</v>
      </c>
      <c r="AE86" s="1561"/>
      <c r="AF86" s="1561"/>
      <c r="AG86" s="1516">
        <f t="shared" si="23"/>
        <v>90</v>
      </c>
      <c r="AH86" s="1527" t="s">
        <v>954</v>
      </c>
      <c r="AI86" s="1509"/>
    </row>
    <row r="87" spans="1:36" ht="33.75" x14ac:dyDescent="0.25">
      <c r="A87" s="1527">
        <v>16</v>
      </c>
      <c r="B87" s="1526" t="s">
        <v>1660</v>
      </c>
      <c r="C87" s="1527" t="s">
        <v>1815</v>
      </c>
      <c r="D87" s="1544">
        <v>8535</v>
      </c>
      <c r="E87" s="1544">
        <v>3341</v>
      </c>
      <c r="F87" s="1529"/>
      <c r="G87" s="1529"/>
      <c r="H87" s="1528"/>
      <c r="I87" s="1528"/>
      <c r="J87" s="1555"/>
      <c r="K87" s="1555"/>
      <c r="L87" s="1544">
        <v>2000</v>
      </c>
      <c r="M87" s="1544">
        <v>2000</v>
      </c>
      <c r="N87" s="1555"/>
      <c r="O87" s="1555"/>
      <c r="P87" s="1516"/>
      <c r="Q87" s="1516"/>
      <c r="R87" s="1555"/>
      <c r="S87" s="1555"/>
      <c r="T87" s="1516">
        <f t="shared" si="25"/>
        <v>2000</v>
      </c>
      <c r="U87" s="1516">
        <f t="shared" si="26"/>
        <v>2000</v>
      </c>
      <c r="V87" s="1528">
        <v>7684.2</v>
      </c>
      <c r="W87" s="1528">
        <v>3006.9</v>
      </c>
      <c r="X87" s="1516"/>
      <c r="Y87" s="1516"/>
      <c r="Z87" s="1516">
        <f t="shared" si="24"/>
        <v>2000</v>
      </c>
      <c r="AA87" s="1516">
        <f t="shared" si="24"/>
        <v>2000</v>
      </c>
      <c r="AB87" s="1516">
        <f t="shared" si="27"/>
        <v>1006.9000000000001</v>
      </c>
      <c r="AC87" s="1516">
        <f>AB87</f>
        <v>1006.9000000000001</v>
      </c>
      <c r="AD87" s="1516">
        <f>AC87</f>
        <v>1006.9000000000001</v>
      </c>
      <c r="AE87" s="1555"/>
      <c r="AF87" s="1555"/>
      <c r="AG87" s="1516">
        <f t="shared" si="23"/>
        <v>90</v>
      </c>
      <c r="AH87" s="1527" t="s">
        <v>425</v>
      </c>
      <c r="AI87" s="1509"/>
    </row>
    <row r="88" spans="1:36" ht="22.5" x14ac:dyDescent="0.25">
      <c r="A88" s="1527">
        <v>17</v>
      </c>
      <c r="B88" s="1526" t="s">
        <v>1663</v>
      </c>
      <c r="C88" s="1527" t="s">
        <v>1816</v>
      </c>
      <c r="D88" s="1544">
        <v>5690</v>
      </c>
      <c r="E88" s="1544">
        <v>5690</v>
      </c>
      <c r="F88" s="1529"/>
      <c r="G88" s="1529"/>
      <c r="H88" s="1528"/>
      <c r="I88" s="1528"/>
      <c r="J88" s="1555"/>
      <c r="K88" s="1555"/>
      <c r="L88" s="1544">
        <v>3248</v>
      </c>
      <c r="M88" s="1544">
        <v>3248</v>
      </c>
      <c r="N88" s="1555"/>
      <c r="O88" s="1555"/>
      <c r="P88" s="1516"/>
      <c r="Q88" s="1516"/>
      <c r="R88" s="1555"/>
      <c r="S88" s="1555"/>
      <c r="T88" s="1516">
        <f t="shared" si="25"/>
        <v>3248</v>
      </c>
      <c r="U88" s="1516">
        <f t="shared" si="26"/>
        <v>3248</v>
      </c>
      <c r="V88" s="1528">
        <v>5130</v>
      </c>
      <c r="W88" s="1528">
        <v>5130</v>
      </c>
      <c r="X88" s="1516"/>
      <c r="Y88" s="1516"/>
      <c r="Z88" s="1516">
        <f t="shared" si="24"/>
        <v>3248</v>
      </c>
      <c r="AA88" s="1516">
        <f t="shared" si="24"/>
        <v>3248</v>
      </c>
      <c r="AB88" s="1516">
        <f t="shared" si="27"/>
        <v>1882</v>
      </c>
      <c r="AC88" s="1516">
        <f>AB88</f>
        <v>1882</v>
      </c>
      <c r="AD88" s="1516">
        <f>AC88</f>
        <v>1882</v>
      </c>
      <c r="AE88" s="1555"/>
      <c r="AF88" s="1555"/>
      <c r="AG88" s="1516">
        <f t="shared" si="23"/>
        <v>90.158172231985944</v>
      </c>
      <c r="AH88" s="1527" t="s">
        <v>424</v>
      </c>
      <c r="AI88" s="1509"/>
    </row>
    <row r="89" spans="1:36" s="1519" customFormat="1" ht="21" x14ac:dyDescent="0.25">
      <c r="A89" s="1522" t="s">
        <v>445</v>
      </c>
      <c r="B89" s="1644" t="s">
        <v>1817</v>
      </c>
      <c r="C89" s="1518"/>
      <c r="D89" s="1514">
        <f>SUM(D90:D98)</f>
        <v>56363</v>
      </c>
      <c r="E89" s="1514">
        <f t="shared" ref="E89:AF89" si="28">SUM(E90:E98)</f>
        <v>40522</v>
      </c>
      <c r="F89" s="1514">
        <f t="shared" si="28"/>
        <v>0</v>
      </c>
      <c r="G89" s="1514">
        <f t="shared" si="28"/>
        <v>0</v>
      </c>
      <c r="H89" s="1514">
        <f t="shared" si="28"/>
        <v>0</v>
      </c>
      <c r="I89" s="1514">
        <f t="shared" si="28"/>
        <v>0</v>
      </c>
      <c r="J89" s="1514">
        <f t="shared" si="28"/>
        <v>0</v>
      </c>
      <c r="K89" s="1514">
        <f t="shared" si="28"/>
        <v>0</v>
      </c>
      <c r="L89" s="1514">
        <f t="shared" si="28"/>
        <v>400</v>
      </c>
      <c r="M89" s="1514">
        <f t="shared" si="28"/>
        <v>400</v>
      </c>
      <c r="N89" s="1514">
        <f t="shared" si="28"/>
        <v>0</v>
      </c>
      <c r="O89" s="1514">
        <f t="shared" si="28"/>
        <v>0</v>
      </c>
      <c r="P89" s="1514">
        <f t="shared" si="28"/>
        <v>13000</v>
      </c>
      <c r="Q89" s="1514">
        <f t="shared" si="28"/>
        <v>13000</v>
      </c>
      <c r="R89" s="1514">
        <f t="shared" si="28"/>
        <v>0</v>
      </c>
      <c r="S89" s="1514">
        <f t="shared" si="28"/>
        <v>0</v>
      </c>
      <c r="T89" s="1514">
        <f t="shared" si="28"/>
        <v>13400</v>
      </c>
      <c r="U89" s="1514">
        <f t="shared" si="28"/>
        <v>13400</v>
      </c>
      <c r="V89" s="1514">
        <f t="shared" si="28"/>
        <v>51939</v>
      </c>
      <c r="W89" s="1514">
        <f t="shared" si="28"/>
        <v>37160.1</v>
      </c>
      <c r="X89" s="1514">
        <f t="shared" si="28"/>
        <v>0</v>
      </c>
      <c r="Y89" s="1514">
        <f t="shared" si="28"/>
        <v>0</v>
      </c>
      <c r="Z89" s="1514">
        <f t="shared" si="28"/>
        <v>13400</v>
      </c>
      <c r="AA89" s="1514">
        <f t="shared" si="28"/>
        <v>13400</v>
      </c>
      <c r="AB89" s="1514">
        <f t="shared" si="28"/>
        <v>23760.1</v>
      </c>
      <c r="AC89" s="1514">
        <f t="shared" si="28"/>
        <v>23256.1</v>
      </c>
      <c r="AD89" s="1514">
        <f t="shared" si="28"/>
        <v>23256.1</v>
      </c>
      <c r="AE89" s="1514">
        <f t="shared" si="28"/>
        <v>0</v>
      </c>
      <c r="AF89" s="1514">
        <f t="shared" si="28"/>
        <v>0</v>
      </c>
      <c r="AG89" s="1516"/>
      <c r="AH89" s="1615"/>
      <c r="AI89" s="1509"/>
      <c r="AJ89" s="1668">
        <v>1</v>
      </c>
    </row>
    <row r="90" spans="1:36" ht="22.5" x14ac:dyDescent="0.25">
      <c r="A90" s="1509">
        <v>1</v>
      </c>
      <c r="B90" s="1526" t="s">
        <v>970</v>
      </c>
      <c r="C90" s="1527" t="s">
        <v>1202</v>
      </c>
      <c r="D90" s="1544">
        <v>1800</v>
      </c>
      <c r="E90" s="1544">
        <v>1800</v>
      </c>
      <c r="F90" s="1529"/>
      <c r="G90" s="1529"/>
      <c r="H90" s="1528"/>
      <c r="I90" s="1528"/>
      <c r="J90" s="1544"/>
      <c r="K90" s="1544"/>
      <c r="L90" s="1544"/>
      <c r="M90" s="1544"/>
      <c r="N90" s="1544"/>
      <c r="O90" s="1544"/>
      <c r="P90" s="1555">
        <v>600</v>
      </c>
      <c r="Q90" s="1555">
        <v>600</v>
      </c>
      <c r="R90" s="1555"/>
      <c r="S90" s="1555"/>
      <c r="T90" s="1516">
        <f t="shared" si="25"/>
        <v>600</v>
      </c>
      <c r="U90" s="1516">
        <f t="shared" si="26"/>
        <v>600</v>
      </c>
      <c r="V90" s="1528">
        <v>1620</v>
      </c>
      <c r="W90" s="1528">
        <v>1620</v>
      </c>
      <c r="X90" s="1516"/>
      <c r="Y90" s="1516"/>
      <c r="Z90" s="1516">
        <f t="shared" si="24"/>
        <v>600</v>
      </c>
      <c r="AA90" s="1516">
        <f t="shared" si="24"/>
        <v>600</v>
      </c>
      <c r="AB90" s="1516">
        <f t="shared" si="27"/>
        <v>1020</v>
      </c>
      <c r="AC90" s="1555">
        <f>E90*0.9-U90</f>
        <v>1020</v>
      </c>
      <c r="AD90" s="1555">
        <f>AC90</f>
        <v>1020</v>
      </c>
      <c r="AE90" s="1555"/>
      <c r="AF90" s="1555"/>
      <c r="AG90" s="1516">
        <f t="shared" ref="AG90:AG98" si="29">(AD90+U90)/E90*100</f>
        <v>90</v>
      </c>
      <c r="AH90" s="1527" t="s">
        <v>424</v>
      </c>
      <c r="AI90" s="1567"/>
    </row>
    <row r="91" spans="1:36" ht="22.5" x14ac:dyDescent="0.25">
      <c r="A91" s="1509">
        <v>2</v>
      </c>
      <c r="B91" s="1568" t="s">
        <v>973</v>
      </c>
      <c r="C91" s="1527" t="s">
        <v>1203</v>
      </c>
      <c r="D91" s="1568">
        <v>9200</v>
      </c>
      <c r="E91" s="1568">
        <v>5500</v>
      </c>
      <c r="F91" s="1529"/>
      <c r="G91" s="1529"/>
      <c r="H91" s="1528"/>
      <c r="I91" s="1528"/>
      <c r="J91" s="1544"/>
      <c r="K91" s="1544"/>
      <c r="L91" s="1544"/>
      <c r="M91" s="1544"/>
      <c r="N91" s="1544"/>
      <c r="O91" s="1544"/>
      <c r="P91" s="1555">
        <v>1800</v>
      </c>
      <c r="Q91" s="1555">
        <v>1800</v>
      </c>
      <c r="R91" s="1555"/>
      <c r="S91" s="1555"/>
      <c r="T91" s="1516">
        <f t="shared" si="25"/>
        <v>1800</v>
      </c>
      <c r="U91" s="1516">
        <f t="shared" si="26"/>
        <v>1800</v>
      </c>
      <c r="V91" s="1528">
        <v>8280</v>
      </c>
      <c r="W91" s="1528">
        <v>4950</v>
      </c>
      <c r="X91" s="1516"/>
      <c r="Y91" s="1516"/>
      <c r="Z91" s="1516">
        <f t="shared" si="24"/>
        <v>1800</v>
      </c>
      <c r="AA91" s="1516">
        <f t="shared" si="24"/>
        <v>1800</v>
      </c>
      <c r="AB91" s="1516">
        <f t="shared" si="27"/>
        <v>3150</v>
      </c>
      <c r="AC91" s="1555">
        <f t="shared" ref="AC91:AC98" si="30">E91*0.9-U91</f>
        <v>3150</v>
      </c>
      <c r="AD91" s="1555">
        <f t="shared" ref="AD91:AD98" si="31">AC91</f>
        <v>3150</v>
      </c>
      <c r="AE91" s="1555"/>
      <c r="AF91" s="1555"/>
      <c r="AG91" s="1516">
        <f t="shared" si="29"/>
        <v>90</v>
      </c>
      <c r="AH91" s="1527" t="s">
        <v>422</v>
      </c>
      <c r="AI91" s="1569"/>
    </row>
    <row r="92" spans="1:36" ht="22.5" x14ac:dyDescent="0.25">
      <c r="A92" s="1509">
        <v>3</v>
      </c>
      <c r="B92" s="1568" t="s">
        <v>974</v>
      </c>
      <c r="C92" s="1527" t="s">
        <v>1204</v>
      </c>
      <c r="D92" s="1568">
        <v>4000</v>
      </c>
      <c r="E92" s="1568">
        <v>2000</v>
      </c>
      <c r="F92" s="1529"/>
      <c r="G92" s="1529"/>
      <c r="H92" s="1528"/>
      <c r="I92" s="1528"/>
      <c r="J92" s="1550"/>
      <c r="K92" s="1550"/>
      <c r="L92" s="1544"/>
      <c r="M92" s="1544"/>
      <c r="N92" s="1550"/>
      <c r="O92" s="1550"/>
      <c r="P92" s="1555">
        <v>700</v>
      </c>
      <c r="Q92" s="1555">
        <v>700</v>
      </c>
      <c r="R92" s="1516"/>
      <c r="S92" s="1516"/>
      <c r="T92" s="1516">
        <f t="shared" si="25"/>
        <v>700</v>
      </c>
      <c r="U92" s="1516">
        <f t="shared" si="26"/>
        <v>700</v>
      </c>
      <c r="V92" s="1528">
        <v>3600</v>
      </c>
      <c r="W92" s="1528">
        <v>1800</v>
      </c>
      <c r="X92" s="1516"/>
      <c r="Y92" s="1516"/>
      <c r="Z92" s="1516">
        <f t="shared" si="24"/>
        <v>700</v>
      </c>
      <c r="AA92" s="1516">
        <f t="shared" si="24"/>
        <v>700</v>
      </c>
      <c r="AB92" s="1516">
        <f t="shared" si="27"/>
        <v>1100</v>
      </c>
      <c r="AC92" s="1555">
        <f t="shared" si="30"/>
        <v>1100</v>
      </c>
      <c r="AD92" s="1555">
        <f t="shared" si="31"/>
        <v>1100</v>
      </c>
      <c r="AE92" s="1516"/>
      <c r="AF92" s="1516"/>
      <c r="AG92" s="1516">
        <f t="shared" si="29"/>
        <v>90</v>
      </c>
      <c r="AH92" s="1527" t="s">
        <v>422</v>
      </c>
      <c r="AI92" s="1509"/>
    </row>
    <row r="93" spans="1:36" ht="22.5" x14ac:dyDescent="0.25">
      <c r="A93" s="1509">
        <v>4</v>
      </c>
      <c r="B93" s="1568" t="s">
        <v>965</v>
      </c>
      <c r="C93" s="1527" t="s">
        <v>1205</v>
      </c>
      <c r="D93" s="1544">
        <v>7853</v>
      </c>
      <c r="E93" s="1544">
        <v>7500</v>
      </c>
      <c r="F93" s="1529"/>
      <c r="G93" s="1529"/>
      <c r="H93" s="1528"/>
      <c r="I93" s="1528"/>
      <c r="J93" s="1514"/>
      <c r="K93" s="1514"/>
      <c r="L93" s="1544"/>
      <c r="M93" s="1544"/>
      <c r="N93" s="1514"/>
      <c r="O93" s="1514"/>
      <c r="P93" s="1555">
        <v>2500</v>
      </c>
      <c r="Q93" s="1555">
        <v>2500</v>
      </c>
      <c r="R93" s="1516"/>
      <c r="S93" s="1516"/>
      <c r="T93" s="1516">
        <f t="shared" si="25"/>
        <v>2500</v>
      </c>
      <c r="U93" s="1516">
        <f t="shared" si="26"/>
        <v>2500</v>
      </c>
      <c r="V93" s="1528">
        <v>7589.7</v>
      </c>
      <c r="W93" s="1528">
        <v>6750</v>
      </c>
      <c r="X93" s="1516"/>
      <c r="Y93" s="1516"/>
      <c r="Z93" s="1516">
        <f t="shared" si="24"/>
        <v>2500</v>
      </c>
      <c r="AA93" s="1516">
        <f t="shared" si="24"/>
        <v>2500</v>
      </c>
      <c r="AB93" s="1516">
        <f t="shared" si="27"/>
        <v>4250</v>
      </c>
      <c r="AC93" s="1555">
        <f t="shared" si="30"/>
        <v>4250</v>
      </c>
      <c r="AD93" s="1555">
        <f t="shared" si="31"/>
        <v>4250</v>
      </c>
      <c r="AE93" s="1516"/>
      <c r="AF93" s="1516"/>
      <c r="AG93" s="1516">
        <f t="shared" si="29"/>
        <v>90</v>
      </c>
      <c r="AH93" s="1527" t="s">
        <v>426</v>
      </c>
      <c r="AI93" s="1509"/>
    </row>
    <row r="94" spans="1:36" ht="22.5" x14ac:dyDescent="0.25">
      <c r="A94" s="1509">
        <v>5</v>
      </c>
      <c r="B94" s="1568" t="s">
        <v>1206</v>
      </c>
      <c r="C94" s="1527" t="s">
        <v>1818</v>
      </c>
      <c r="D94" s="1544">
        <v>6903</v>
      </c>
      <c r="E94" s="1544">
        <v>6903</v>
      </c>
      <c r="F94" s="1529"/>
      <c r="G94" s="1529"/>
      <c r="H94" s="1528"/>
      <c r="I94" s="1528"/>
      <c r="J94" s="1525"/>
      <c r="K94" s="1525"/>
      <c r="L94" s="1544"/>
      <c r="M94" s="1544"/>
      <c r="N94" s="1525"/>
      <c r="O94" s="1525"/>
      <c r="P94" s="1555">
        <v>2500</v>
      </c>
      <c r="Q94" s="1555">
        <v>2500</v>
      </c>
      <c r="R94" s="1516"/>
      <c r="S94" s="1516"/>
      <c r="T94" s="1516">
        <f t="shared" si="25"/>
        <v>2500</v>
      </c>
      <c r="U94" s="1516">
        <f t="shared" si="26"/>
        <v>2500</v>
      </c>
      <c r="V94" s="1528">
        <v>6903</v>
      </c>
      <c r="W94" s="1528">
        <v>6903</v>
      </c>
      <c r="X94" s="1516"/>
      <c r="Y94" s="1516"/>
      <c r="Z94" s="1516">
        <f t="shared" si="24"/>
        <v>2500</v>
      </c>
      <c r="AA94" s="1516">
        <f t="shared" si="24"/>
        <v>2500</v>
      </c>
      <c r="AB94" s="1516">
        <f t="shared" si="27"/>
        <v>4403</v>
      </c>
      <c r="AC94" s="1555">
        <v>3899</v>
      </c>
      <c r="AD94" s="1555">
        <v>3899</v>
      </c>
      <c r="AE94" s="1516"/>
      <c r="AF94" s="1516"/>
      <c r="AG94" s="1516">
        <f t="shared" si="29"/>
        <v>92.698826597131685</v>
      </c>
      <c r="AH94" s="1527" t="s">
        <v>423</v>
      </c>
      <c r="AI94" s="1543"/>
    </row>
    <row r="95" spans="1:36" ht="22.5" x14ac:dyDescent="0.25">
      <c r="A95" s="1509">
        <v>6</v>
      </c>
      <c r="B95" s="1568" t="s">
        <v>964</v>
      </c>
      <c r="C95" s="1527"/>
      <c r="D95" s="1544">
        <v>1500</v>
      </c>
      <c r="E95" s="1544">
        <v>1500</v>
      </c>
      <c r="F95" s="1529"/>
      <c r="G95" s="1529"/>
      <c r="H95" s="1528"/>
      <c r="I95" s="1528"/>
      <c r="J95" s="1555"/>
      <c r="K95" s="1555"/>
      <c r="L95" s="1544"/>
      <c r="M95" s="1544"/>
      <c r="N95" s="1555"/>
      <c r="O95" s="1555"/>
      <c r="P95" s="1555">
        <v>500</v>
      </c>
      <c r="Q95" s="1555">
        <v>500</v>
      </c>
      <c r="R95" s="1555"/>
      <c r="S95" s="1555"/>
      <c r="T95" s="1516">
        <f t="shared" si="25"/>
        <v>500</v>
      </c>
      <c r="U95" s="1516">
        <f t="shared" si="26"/>
        <v>500</v>
      </c>
      <c r="V95" s="1528">
        <v>1350</v>
      </c>
      <c r="W95" s="1528">
        <v>1350</v>
      </c>
      <c r="X95" s="1516"/>
      <c r="Y95" s="1516"/>
      <c r="Z95" s="1516">
        <f t="shared" si="24"/>
        <v>500</v>
      </c>
      <c r="AA95" s="1516">
        <f t="shared" si="24"/>
        <v>500</v>
      </c>
      <c r="AB95" s="1516">
        <f t="shared" si="27"/>
        <v>850</v>
      </c>
      <c r="AC95" s="1555">
        <f t="shared" si="30"/>
        <v>850</v>
      </c>
      <c r="AD95" s="1555">
        <f t="shared" si="31"/>
        <v>850</v>
      </c>
      <c r="AE95" s="1555"/>
      <c r="AF95" s="1555"/>
      <c r="AG95" s="1516">
        <f t="shared" si="29"/>
        <v>90</v>
      </c>
      <c r="AH95" s="1527" t="s">
        <v>954</v>
      </c>
      <c r="AI95" s="1509"/>
    </row>
    <row r="96" spans="1:36" ht="22.5" x14ac:dyDescent="0.25">
      <c r="A96" s="1509">
        <v>7</v>
      </c>
      <c r="B96" s="1568" t="s">
        <v>968</v>
      </c>
      <c r="C96" s="1527"/>
      <c r="D96" s="1544">
        <v>7189</v>
      </c>
      <c r="E96" s="1544">
        <v>2000</v>
      </c>
      <c r="F96" s="1529"/>
      <c r="G96" s="1529"/>
      <c r="H96" s="1528"/>
      <c r="I96" s="1528"/>
      <c r="J96" s="1570"/>
      <c r="K96" s="1570"/>
      <c r="L96" s="1544"/>
      <c r="M96" s="1544"/>
      <c r="N96" s="1570"/>
      <c r="O96" s="1570"/>
      <c r="P96" s="1555">
        <v>700</v>
      </c>
      <c r="Q96" s="1555">
        <v>700</v>
      </c>
      <c r="R96" s="1516"/>
      <c r="S96" s="1516"/>
      <c r="T96" s="1516">
        <f t="shared" si="25"/>
        <v>700</v>
      </c>
      <c r="U96" s="1516">
        <f t="shared" si="26"/>
        <v>700</v>
      </c>
      <c r="V96" s="1528">
        <v>6470.1</v>
      </c>
      <c r="W96" s="1528">
        <v>1800</v>
      </c>
      <c r="X96" s="1516"/>
      <c r="Y96" s="1516"/>
      <c r="Z96" s="1516">
        <f t="shared" si="24"/>
        <v>700</v>
      </c>
      <c r="AA96" s="1516">
        <f t="shared" si="24"/>
        <v>700</v>
      </c>
      <c r="AB96" s="1516">
        <f t="shared" si="27"/>
        <v>1100</v>
      </c>
      <c r="AC96" s="1555">
        <f t="shared" si="30"/>
        <v>1100</v>
      </c>
      <c r="AD96" s="1555">
        <f t="shared" si="31"/>
        <v>1100</v>
      </c>
      <c r="AE96" s="1516"/>
      <c r="AF96" s="1516"/>
      <c r="AG96" s="1516">
        <f t="shared" si="29"/>
        <v>90</v>
      </c>
      <c r="AH96" s="1527" t="s">
        <v>425</v>
      </c>
      <c r="AI96" s="1571"/>
    </row>
    <row r="97" spans="1:36" ht="22.5" x14ac:dyDescent="0.25">
      <c r="A97" s="1509">
        <v>8</v>
      </c>
      <c r="B97" s="1568" t="s">
        <v>969</v>
      </c>
      <c r="C97" s="1527"/>
      <c r="D97" s="1544">
        <v>6599</v>
      </c>
      <c r="E97" s="1544">
        <v>2000</v>
      </c>
      <c r="F97" s="1529"/>
      <c r="G97" s="1529"/>
      <c r="H97" s="1528"/>
      <c r="I97" s="1528"/>
      <c r="J97" s="1514"/>
      <c r="K97" s="1514"/>
      <c r="L97" s="1544"/>
      <c r="M97" s="1544"/>
      <c r="N97" s="1514"/>
      <c r="O97" s="1514"/>
      <c r="P97" s="1555">
        <v>700</v>
      </c>
      <c r="Q97" s="1555">
        <v>700</v>
      </c>
      <c r="R97" s="1516"/>
      <c r="S97" s="1516"/>
      <c r="T97" s="1516">
        <f t="shared" si="25"/>
        <v>700</v>
      </c>
      <c r="U97" s="1516">
        <f t="shared" si="26"/>
        <v>700</v>
      </c>
      <c r="V97" s="1528">
        <v>5939.1</v>
      </c>
      <c r="W97" s="1528">
        <v>1800</v>
      </c>
      <c r="X97" s="1516"/>
      <c r="Y97" s="1516"/>
      <c r="Z97" s="1516">
        <f t="shared" si="24"/>
        <v>700</v>
      </c>
      <c r="AA97" s="1516">
        <f t="shared" si="24"/>
        <v>700</v>
      </c>
      <c r="AB97" s="1516">
        <f t="shared" si="27"/>
        <v>1100</v>
      </c>
      <c r="AC97" s="1555">
        <f t="shared" si="30"/>
        <v>1100</v>
      </c>
      <c r="AD97" s="1555">
        <f t="shared" si="31"/>
        <v>1100</v>
      </c>
      <c r="AE97" s="1516"/>
      <c r="AF97" s="1516"/>
      <c r="AG97" s="1516">
        <f t="shared" si="29"/>
        <v>90</v>
      </c>
      <c r="AH97" s="1527" t="s">
        <v>425</v>
      </c>
      <c r="AI97" s="1522"/>
    </row>
    <row r="98" spans="1:36" ht="22.5" x14ac:dyDescent="0.25">
      <c r="A98" s="1509">
        <v>9</v>
      </c>
      <c r="B98" s="1526" t="s">
        <v>979</v>
      </c>
      <c r="C98" s="1527"/>
      <c r="D98" s="1528">
        <v>11319</v>
      </c>
      <c r="E98" s="1528">
        <v>11319</v>
      </c>
      <c r="F98" s="1529"/>
      <c r="G98" s="1529"/>
      <c r="H98" s="1528"/>
      <c r="I98" s="1528"/>
      <c r="J98" s="1525"/>
      <c r="K98" s="1525"/>
      <c r="L98" s="1528">
        <v>400</v>
      </c>
      <c r="M98" s="1528">
        <v>400</v>
      </c>
      <c r="N98" s="1525"/>
      <c r="O98" s="1525"/>
      <c r="P98" s="1555">
        <v>3000</v>
      </c>
      <c r="Q98" s="1555">
        <v>3000</v>
      </c>
      <c r="R98" s="1516"/>
      <c r="S98" s="1516"/>
      <c r="T98" s="1516">
        <f t="shared" si="25"/>
        <v>3400</v>
      </c>
      <c r="U98" s="1516">
        <f t="shared" si="26"/>
        <v>3400</v>
      </c>
      <c r="V98" s="1528">
        <v>10187.1</v>
      </c>
      <c r="W98" s="1528">
        <v>10187.1</v>
      </c>
      <c r="X98" s="1516"/>
      <c r="Y98" s="1516"/>
      <c r="Z98" s="1516">
        <f t="shared" si="24"/>
        <v>3400</v>
      </c>
      <c r="AA98" s="1516">
        <f t="shared" si="24"/>
        <v>3400</v>
      </c>
      <c r="AB98" s="1516">
        <f t="shared" si="27"/>
        <v>6787.1</v>
      </c>
      <c r="AC98" s="1555">
        <f t="shared" si="30"/>
        <v>6787.1</v>
      </c>
      <c r="AD98" s="1555">
        <f t="shared" si="31"/>
        <v>6787.1</v>
      </c>
      <c r="AE98" s="1516"/>
      <c r="AF98" s="1516"/>
      <c r="AG98" s="1516">
        <f t="shared" si="29"/>
        <v>90</v>
      </c>
      <c r="AH98" s="1527" t="s">
        <v>427</v>
      </c>
      <c r="AI98" s="1572"/>
    </row>
    <row r="99" spans="1:36" ht="21" x14ac:dyDescent="0.25">
      <c r="A99" s="1522" t="s">
        <v>17</v>
      </c>
      <c r="B99" s="1643" t="s">
        <v>1207</v>
      </c>
      <c r="C99" s="1522"/>
      <c r="D99" s="1514">
        <f t="shared" ref="D99:AF99" si="32">D100+D320</f>
        <v>6660430.8875190001</v>
      </c>
      <c r="E99" s="1514">
        <f t="shared" si="32"/>
        <v>2002406.9830780001</v>
      </c>
      <c r="F99" s="1514">
        <f t="shared" si="32"/>
        <v>3948398.426</v>
      </c>
      <c r="G99" s="1514">
        <f t="shared" si="32"/>
        <v>661423.36199999996</v>
      </c>
      <c r="H99" s="1514">
        <f t="shared" si="32"/>
        <v>597555.48</v>
      </c>
      <c r="I99" s="1514">
        <f t="shared" si="32"/>
        <v>236310.47999999998</v>
      </c>
      <c r="J99" s="1514">
        <f t="shared" si="32"/>
        <v>21500</v>
      </c>
      <c r="K99" s="1514">
        <f t="shared" si="32"/>
        <v>89773</v>
      </c>
      <c r="L99" s="1514">
        <f t="shared" si="32"/>
        <v>346785</v>
      </c>
      <c r="M99" s="1514">
        <f t="shared" si="32"/>
        <v>188701</v>
      </c>
      <c r="N99" s="1514">
        <f t="shared" si="32"/>
        <v>0</v>
      </c>
      <c r="O99" s="1514">
        <f t="shared" si="32"/>
        <v>48866</v>
      </c>
      <c r="P99" s="1514">
        <f t="shared" si="32"/>
        <v>322799.27018300002</v>
      </c>
      <c r="Q99" s="1514">
        <f t="shared" si="32"/>
        <v>322799.27018300002</v>
      </c>
      <c r="R99" s="1514">
        <f t="shared" si="32"/>
        <v>8794.7000000000007</v>
      </c>
      <c r="S99" s="1514">
        <f t="shared" si="32"/>
        <v>60271</v>
      </c>
      <c r="T99" s="1514">
        <f t="shared" si="32"/>
        <v>5009260.8761829995</v>
      </c>
      <c r="U99" s="1514">
        <f t="shared" si="32"/>
        <v>1203564.8121830001</v>
      </c>
      <c r="V99" s="1514">
        <f t="shared" si="32"/>
        <v>2262509.6128759999</v>
      </c>
      <c r="W99" s="1514">
        <f t="shared" si="32"/>
        <v>1073718.509693</v>
      </c>
      <c r="X99" s="1514">
        <f t="shared" si="32"/>
        <v>0</v>
      </c>
      <c r="Y99" s="1514">
        <f t="shared" si="32"/>
        <v>244144</v>
      </c>
      <c r="Z99" s="1514">
        <f t="shared" si="32"/>
        <v>1290139.750183</v>
      </c>
      <c r="AA99" s="1514">
        <f t="shared" si="32"/>
        <v>747810.750183</v>
      </c>
      <c r="AB99" s="1514">
        <f t="shared" si="32"/>
        <v>325907.75951</v>
      </c>
      <c r="AC99" s="1514">
        <f t="shared" si="32"/>
        <v>281959.35288600001</v>
      </c>
      <c r="AD99" s="1514">
        <f t="shared" si="32"/>
        <v>281959.35288600001</v>
      </c>
      <c r="AE99" s="1514">
        <f t="shared" si="32"/>
        <v>0</v>
      </c>
      <c r="AF99" s="1514">
        <f t="shared" si="32"/>
        <v>43768</v>
      </c>
      <c r="AG99" s="1516"/>
      <c r="AH99" s="1648"/>
      <c r="AI99" s="1509"/>
      <c r="AJ99" s="1564">
        <v>1</v>
      </c>
    </row>
    <row r="100" spans="1:36" x14ac:dyDescent="0.25">
      <c r="A100" s="1573" t="s">
        <v>1819</v>
      </c>
      <c r="B100" s="1649" t="s">
        <v>1208</v>
      </c>
      <c r="C100" s="1573"/>
      <c r="D100" s="1650">
        <f t="shared" ref="D100:AF100" si="33">D101+D102+D103+D104+D105+D106+D305+D319</f>
        <v>6660430.8875190001</v>
      </c>
      <c r="E100" s="1650">
        <f t="shared" si="33"/>
        <v>2002406.9830780001</v>
      </c>
      <c r="F100" s="1650">
        <f t="shared" si="33"/>
        <v>3948398.426</v>
      </c>
      <c r="G100" s="1650">
        <f t="shared" si="33"/>
        <v>661423.36199999996</v>
      </c>
      <c r="H100" s="1650">
        <f t="shared" si="33"/>
        <v>539424.48</v>
      </c>
      <c r="I100" s="1650">
        <f t="shared" si="33"/>
        <v>178179.47999999998</v>
      </c>
      <c r="J100" s="1650">
        <f t="shared" si="33"/>
        <v>21500</v>
      </c>
      <c r="K100" s="1650">
        <f t="shared" si="33"/>
        <v>72348</v>
      </c>
      <c r="L100" s="1650">
        <f t="shared" si="33"/>
        <v>273596</v>
      </c>
      <c r="M100" s="1650">
        <f t="shared" si="33"/>
        <v>115512</v>
      </c>
      <c r="N100" s="1650">
        <f t="shared" si="33"/>
        <v>0</v>
      </c>
      <c r="O100" s="1650">
        <f t="shared" si="33"/>
        <v>38030</v>
      </c>
      <c r="P100" s="1650">
        <f t="shared" si="33"/>
        <v>239655.27018300002</v>
      </c>
      <c r="Q100" s="1650">
        <f t="shared" si="33"/>
        <v>239655.27018300002</v>
      </c>
      <c r="R100" s="1650">
        <f t="shared" si="33"/>
        <v>8794.7000000000007</v>
      </c>
      <c r="S100" s="1650">
        <f t="shared" si="33"/>
        <v>60271</v>
      </c>
      <c r="T100" s="1650">
        <f t="shared" si="33"/>
        <v>5009260.8761829995</v>
      </c>
      <c r="U100" s="1650">
        <f t="shared" si="33"/>
        <v>1203564.8121830001</v>
      </c>
      <c r="V100" s="1650">
        <f t="shared" si="33"/>
        <v>1943931.6128760001</v>
      </c>
      <c r="W100" s="1650">
        <f t="shared" si="33"/>
        <v>755140.509693</v>
      </c>
      <c r="X100" s="1650">
        <f t="shared" si="33"/>
        <v>0</v>
      </c>
      <c r="Y100" s="1650">
        <f t="shared" si="33"/>
        <v>208987</v>
      </c>
      <c r="Z100" s="1650">
        <f t="shared" si="33"/>
        <v>1075675.750183</v>
      </c>
      <c r="AA100" s="1650">
        <f t="shared" si="33"/>
        <v>533346.750183</v>
      </c>
      <c r="AB100" s="1650">
        <f t="shared" si="33"/>
        <v>221793.75950999997</v>
      </c>
      <c r="AC100" s="1650">
        <f t="shared" si="33"/>
        <v>197812.35288600001</v>
      </c>
      <c r="AD100" s="1650">
        <f t="shared" si="33"/>
        <v>197812.35288600001</v>
      </c>
      <c r="AE100" s="1650">
        <f t="shared" si="33"/>
        <v>0</v>
      </c>
      <c r="AF100" s="1650">
        <f t="shared" si="33"/>
        <v>36872</v>
      </c>
      <c r="AG100" s="1516"/>
      <c r="AH100" s="1573"/>
      <c r="AI100" s="1509"/>
      <c r="AJ100" s="1564">
        <v>1</v>
      </c>
    </row>
    <row r="101" spans="1:36" ht="31.5" x14ac:dyDescent="0.25">
      <c r="A101" s="1574">
        <v>1</v>
      </c>
      <c r="B101" s="1575" t="s">
        <v>2032</v>
      </c>
      <c r="C101" s="1574"/>
      <c r="D101" s="1520"/>
      <c r="E101" s="1520"/>
      <c r="F101" s="1576">
        <v>24000</v>
      </c>
      <c r="G101" s="1576">
        <v>24000</v>
      </c>
      <c r="H101" s="1520">
        <v>12000</v>
      </c>
      <c r="I101" s="1520">
        <v>12000</v>
      </c>
      <c r="J101" s="1544"/>
      <c r="K101" s="1544"/>
      <c r="L101" s="1520"/>
      <c r="M101" s="1520"/>
      <c r="N101" s="1544"/>
      <c r="O101" s="1544"/>
      <c r="P101" s="1555"/>
      <c r="Q101" s="1555"/>
      <c r="R101" s="1555"/>
      <c r="S101" s="1555"/>
      <c r="T101" s="1516">
        <f t="shared" si="25"/>
        <v>36000</v>
      </c>
      <c r="U101" s="1516">
        <f t="shared" si="26"/>
        <v>36000</v>
      </c>
      <c r="V101" s="1520">
        <v>12000</v>
      </c>
      <c r="W101" s="1520">
        <v>12000</v>
      </c>
      <c r="X101" s="1516"/>
      <c r="Y101" s="1516"/>
      <c r="Z101" s="1516">
        <f t="shared" si="24"/>
        <v>12000</v>
      </c>
      <c r="AA101" s="1516">
        <f t="shared" si="24"/>
        <v>12000</v>
      </c>
      <c r="AB101" s="1516">
        <f t="shared" si="27"/>
        <v>0</v>
      </c>
      <c r="AC101" s="1555"/>
      <c r="AD101" s="1555"/>
      <c r="AE101" s="1555"/>
      <c r="AF101" s="1555"/>
      <c r="AG101" s="1516"/>
      <c r="AH101" s="1574" t="s">
        <v>162</v>
      </c>
      <c r="AI101" s="1574"/>
      <c r="AJ101" s="1564">
        <v>1</v>
      </c>
    </row>
    <row r="102" spans="1:36" ht="21" x14ac:dyDescent="0.25">
      <c r="A102" s="1577">
        <v>2</v>
      </c>
      <c r="B102" s="1575" t="s">
        <v>2033</v>
      </c>
      <c r="C102" s="1574"/>
      <c r="D102" s="1520"/>
      <c r="E102" s="1520"/>
      <c r="F102" s="1576"/>
      <c r="G102" s="1576"/>
      <c r="H102" s="1520"/>
      <c r="I102" s="1520"/>
      <c r="J102" s="1544"/>
      <c r="K102" s="1544"/>
      <c r="L102" s="1520">
        <v>1800</v>
      </c>
      <c r="M102" s="1520">
        <v>1800</v>
      </c>
      <c r="N102" s="1544"/>
      <c r="O102" s="1544"/>
      <c r="P102" s="1555"/>
      <c r="Q102" s="1555"/>
      <c r="R102" s="1555"/>
      <c r="S102" s="1555"/>
      <c r="T102" s="1516">
        <f t="shared" si="25"/>
        <v>1800</v>
      </c>
      <c r="U102" s="1516">
        <f t="shared" si="26"/>
        <v>1800</v>
      </c>
      <c r="V102" s="1520">
        <v>1800</v>
      </c>
      <c r="W102" s="1520">
        <v>1800</v>
      </c>
      <c r="X102" s="1555"/>
      <c r="Y102" s="1555"/>
      <c r="Z102" s="1516">
        <f t="shared" si="24"/>
        <v>1800</v>
      </c>
      <c r="AA102" s="1516">
        <f t="shared" si="24"/>
        <v>1800</v>
      </c>
      <c r="AB102" s="1516">
        <f t="shared" si="27"/>
        <v>0</v>
      </c>
      <c r="AC102" s="1555"/>
      <c r="AD102" s="1555"/>
      <c r="AE102" s="1555"/>
      <c r="AF102" s="1555"/>
      <c r="AG102" s="1516"/>
      <c r="AH102" s="1574" t="s">
        <v>162</v>
      </c>
      <c r="AI102" s="1509"/>
      <c r="AJ102" s="1564">
        <v>1</v>
      </c>
    </row>
    <row r="103" spans="1:36" ht="52.5" x14ac:dyDescent="0.25">
      <c r="A103" s="1574">
        <v>3</v>
      </c>
      <c r="B103" s="1575" t="s">
        <v>2034</v>
      </c>
      <c r="C103" s="1574"/>
      <c r="D103" s="1520"/>
      <c r="E103" s="1520"/>
      <c r="F103" s="1576"/>
      <c r="G103" s="1576"/>
      <c r="H103" s="1520"/>
      <c r="I103" s="1520"/>
      <c r="J103" s="1544"/>
      <c r="K103" s="1544"/>
      <c r="L103" s="1520">
        <v>19510</v>
      </c>
      <c r="M103" s="1520">
        <v>19510</v>
      </c>
      <c r="N103" s="1544"/>
      <c r="O103" s="1544"/>
      <c r="P103" s="1555"/>
      <c r="Q103" s="1555"/>
      <c r="R103" s="1555"/>
      <c r="S103" s="1555"/>
      <c r="T103" s="1516">
        <f t="shared" si="25"/>
        <v>19510</v>
      </c>
      <c r="U103" s="1516">
        <f t="shared" si="26"/>
        <v>19510</v>
      </c>
      <c r="V103" s="1520">
        <v>19510</v>
      </c>
      <c r="W103" s="1520">
        <v>19510</v>
      </c>
      <c r="X103" s="1555"/>
      <c r="Y103" s="1555"/>
      <c r="Z103" s="1516">
        <f t="shared" si="24"/>
        <v>19510</v>
      </c>
      <c r="AA103" s="1516">
        <f t="shared" si="24"/>
        <v>19510</v>
      </c>
      <c r="AB103" s="1516">
        <f t="shared" si="27"/>
        <v>0</v>
      </c>
      <c r="AC103" s="1555"/>
      <c r="AD103" s="1555"/>
      <c r="AE103" s="1555"/>
      <c r="AF103" s="1555"/>
      <c r="AG103" s="1516"/>
      <c r="AH103" s="1527" t="s">
        <v>954</v>
      </c>
      <c r="AI103" s="1509"/>
      <c r="AJ103" s="1564">
        <v>1</v>
      </c>
    </row>
    <row r="104" spans="1:36" ht="21" x14ac:dyDescent="0.25">
      <c r="A104" s="1574">
        <v>4</v>
      </c>
      <c r="B104" s="1575" t="s">
        <v>2035</v>
      </c>
      <c r="C104" s="1574"/>
      <c r="D104" s="1520"/>
      <c r="E104" s="1520"/>
      <c r="F104" s="1576"/>
      <c r="G104" s="1576"/>
      <c r="H104" s="1520">
        <v>166</v>
      </c>
      <c r="I104" s="1520">
        <v>166</v>
      </c>
      <c r="J104" s="1544"/>
      <c r="K104" s="1544"/>
      <c r="L104" s="1520"/>
      <c r="M104" s="1520"/>
      <c r="N104" s="1544"/>
      <c r="O104" s="1544"/>
      <c r="P104" s="1544"/>
      <c r="Q104" s="1544"/>
      <c r="R104" s="1544"/>
      <c r="S104" s="1544"/>
      <c r="T104" s="1516">
        <f t="shared" si="25"/>
        <v>166</v>
      </c>
      <c r="U104" s="1516">
        <f t="shared" si="26"/>
        <v>166</v>
      </c>
      <c r="V104" s="1520">
        <v>166</v>
      </c>
      <c r="W104" s="1520">
        <v>166</v>
      </c>
      <c r="X104" s="1544"/>
      <c r="Y104" s="1544"/>
      <c r="Z104" s="1516">
        <f t="shared" si="24"/>
        <v>166</v>
      </c>
      <c r="AA104" s="1516">
        <f t="shared" si="24"/>
        <v>166</v>
      </c>
      <c r="AB104" s="1516">
        <f t="shared" si="27"/>
        <v>0</v>
      </c>
      <c r="AC104" s="1544"/>
      <c r="AD104" s="1544"/>
      <c r="AE104" s="1544"/>
      <c r="AF104" s="1544"/>
      <c r="AG104" s="1516"/>
      <c r="AH104" s="1574"/>
      <c r="AI104" s="1509"/>
      <c r="AJ104" s="1564">
        <v>1</v>
      </c>
    </row>
    <row r="105" spans="1:36" ht="22.5" x14ac:dyDescent="0.25">
      <c r="A105" s="1574">
        <v>5</v>
      </c>
      <c r="B105" s="1578" t="s">
        <v>1209</v>
      </c>
      <c r="C105" s="1574"/>
      <c r="D105" s="1579">
        <f>'[4]B6. PB ĐƯ CĐNS'!D10</f>
        <v>758819</v>
      </c>
      <c r="E105" s="1579">
        <f>'[4]B6. PB ĐƯ CĐNS'!E10</f>
        <v>178027</v>
      </c>
      <c r="F105" s="1579">
        <f>'[4]B6. PB ĐƯ CĐNS'!F10</f>
        <v>240595</v>
      </c>
      <c r="G105" s="1579">
        <f>'[4]B6. PB ĐƯ CĐNS'!G10</f>
        <v>1455</v>
      </c>
      <c r="H105" s="1579">
        <f>'[4]B6. PB ĐƯ CĐNS'!H10</f>
        <v>216554</v>
      </c>
      <c r="I105" s="1579">
        <f>'[4]B6. PB ĐƯ CĐNS'!I10</f>
        <v>11000</v>
      </c>
      <c r="J105" s="1579">
        <f>'[4]B6. PB ĐƯ CĐNS'!J10</f>
        <v>0</v>
      </c>
      <c r="K105" s="1579">
        <f>'[4]B6. PB ĐƯ CĐNS'!K10</f>
        <v>1000</v>
      </c>
      <c r="L105" s="1579">
        <f>'[4]B6. PB ĐƯ CĐNS'!L10</f>
        <v>168987</v>
      </c>
      <c r="M105" s="1579">
        <f>'[4]B6. PB ĐƯ CĐNS'!M10</f>
        <v>17026</v>
      </c>
      <c r="N105" s="1579">
        <f>'[4]B6. PB ĐƯ CĐNS'!N10</f>
        <v>0</v>
      </c>
      <c r="O105" s="1579">
        <f>'[4]B6. PB ĐƯ CĐNS'!O10</f>
        <v>3940</v>
      </c>
      <c r="P105" s="1579">
        <f>'[4]B6. PB ĐƯ CĐNS'!P10</f>
        <v>69456</v>
      </c>
      <c r="Q105" s="1579">
        <f>'[4]B6. PB ĐƯ CĐNS'!Q10</f>
        <v>69456</v>
      </c>
      <c r="R105" s="1579">
        <f>'[4]B6. PB ĐƯ CĐNS'!R10</f>
        <v>0</v>
      </c>
      <c r="S105" s="1579">
        <f>'[4]B6. PB ĐƯ CĐNS'!S10</f>
        <v>5591</v>
      </c>
      <c r="T105" s="1579">
        <f>'[4]B6. PB ĐƯ CĐNS'!T10</f>
        <v>695592</v>
      </c>
      <c r="U105" s="1579">
        <f>'[4]B6. PB ĐƯ CĐNS'!U10</f>
        <v>98937</v>
      </c>
      <c r="V105" s="1579">
        <f>'[4]B6. PB ĐƯ CĐNS'!V10</f>
        <v>1022450</v>
      </c>
      <c r="W105" s="1579">
        <f>'[4]B6. PB ĐƯ CĐNS'!W10</f>
        <v>158605</v>
      </c>
      <c r="X105" s="1579">
        <f>'[4]B6. PB ĐƯ CĐNS'!X10</f>
        <v>0</v>
      </c>
      <c r="Y105" s="1579">
        <f>'[4]B6. PB ĐƯ CĐNS'!Y10</f>
        <v>10744</v>
      </c>
      <c r="Z105" s="1579">
        <f>'[4]B6. PB ĐƯ CĐNS'!Z10</f>
        <v>454997</v>
      </c>
      <c r="AA105" s="1579">
        <f>'[4]B6. PB ĐƯ CĐNS'!AA10</f>
        <v>97482</v>
      </c>
      <c r="AB105" s="1579">
        <f>'[4]B6. PB ĐƯ CĐNS'!AB10</f>
        <v>61123</v>
      </c>
      <c r="AC105" s="1579">
        <f>AD105</f>
        <v>58332</v>
      </c>
      <c r="AD105" s="1579">
        <f>58405-73</f>
        <v>58332</v>
      </c>
      <c r="AE105" s="1579">
        <f>'[4]B6. PB ĐƯ CĐNS'!AF10</f>
        <v>0</v>
      </c>
      <c r="AF105" s="1579">
        <f>'[4]B6. PB ĐƯ CĐNS'!AG10</f>
        <v>0</v>
      </c>
      <c r="AG105" s="1516"/>
      <c r="AH105" s="1520"/>
      <c r="AI105" s="1509" t="s">
        <v>2408</v>
      </c>
      <c r="AJ105" s="1564">
        <v>1</v>
      </c>
    </row>
    <row r="106" spans="1:36" s="1519" customFormat="1" ht="21" x14ac:dyDescent="0.25">
      <c r="A106" s="1522">
        <v>6</v>
      </c>
      <c r="B106" s="1644" t="s">
        <v>1794</v>
      </c>
      <c r="C106" s="1518"/>
      <c r="D106" s="1515">
        <f t="shared" ref="D106:AF106" si="34">D107+D277</f>
        <v>5142311.4875189997</v>
      </c>
      <c r="E106" s="1515">
        <f t="shared" si="34"/>
        <v>1622381.4830780001</v>
      </c>
      <c r="F106" s="1515">
        <f t="shared" si="34"/>
        <v>3612482.426</v>
      </c>
      <c r="G106" s="1515">
        <f t="shared" si="34"/>
        <v>614228.36199999996</v>
      </c>
      <c r="H106" s="1515">
        <f t="shared" si="34"/>
        <v>308204.48</v>
      </c>
      <c r="I106" s="1515">
        <f t="shared" si="34"/>
        <v>152513.47999999998</v>
      </c>
      <c r="J106" s="1515">
        <f t="shared" si="34"/>
        <v>21500</v>
      </c>
      <c r="K106" s="1515">
        <f t="shared" si="34"/>
        <v>71348</v>
      </c>
      <c r="L106" s="1515">
        <f t="shared" si="34"/>
        <v>75708</v>
      </c>
      <c r="M106" s="1515">
        <f t="shared" si="34"/>
        <v>69585</v>
      </c>
      <c r="N106" s="1515">
        <f t="shared" si="34"/>
        <v>0</v>
      </c>
      <c r="O106" s="1515">
        <f t="shared" si="34"/>
        <v>34090</v>
      </c>
      <c r="P106" s="1515">
        <f t="shared" si="34"/>
        <v>135462.970183</v>
      </c>
      <c r="Q106" s="1515">
        <f t="shared" si="34"/>
        <v>135462.970183</v>
      </c>
      <c r="R106" s="1515">
        <f t="shared" si="34"/>
        <v>1999.7000000000003</v>
      </c>
      <c r="S106" s="1515">
        <f t="shared" si="34"/>
        <v>54680</v>
      </c>
      <c r="T106" s="1515">
        <f t="shared" si="34"/>
        <v>4131857.8761829999</v>
      </c>
      <c r="U106" s="1515">
        <f t="shared" si="34"/>
        <v>973789.5121830001</v>
      </c>
      <c r="V106" s="1515">
        <f t="shared" si="34"/>
        <v>728461.06287599995</v>
      </c>
      <c r="W106" s="1515">
        <f t="shared" si="34"/>
        <v>461363.05969300005</v>
      </c>
      <c r="X106" s="1515">
        <f t="shared" si="34"/>
        <v>0</v>
      </c>
      <c r="Y106" s="1515">
        <f t="shared" si="34"/>
        <v>191447</v>
      </c>
      <c r="Z106" s="1515">
        <f t="shared" si="34"/>
        <v>519375.45018300001</v>
      </c>
      <c r="AA106" s="1515">
        <f t="shared" si="34"/>
        <v>357561.45018300001</v>
      </c>
      <c r="AB106" s="1515">
        <f t="shared" si="34"/>
        <v>103801.60950999999</v>
      </c>
      <c r="AC106" s="1515">
        <f t="shared" si="34"/>
        <v>86789.202886000014</v>
      </c>
      <c r="AD106" s="1515">
        <f t="shared" si="34"/>
        <v>86789.202886000014</v>
      </c>
      <c r="AE106" s="1514">
        <f t="shared" si="34"/>
        <v>0</v>
      </c>
      <c r="AF106" s="1514">
        <f t="shared" si="34"/>
        <v>30076</v>
      </c>
      <c r="AG106" s="1516"/>
      <c r="AH106" s="1615"/>
      <c r="AI106" s="1509"/>
      <c r="AJ106" s="1668">
        <v>1</v>
      </c>
    </row>
    <row r="107" spans="1:36" x14ac:dyDescent="0.25">
      <c r="A107" s="1580" t="s">
        <v>2036</v>
      </c>
      <c r="B107" s="1581" t="s">
        <v>1194</v>
      </c>
      <c r="C107" s="1580"/>
      <c r="D107" s="1582">
        <f t="shared" ref="D107:AF107" si="35">SUM(D108:D276)</f>
        <v>3740136.5875190003</v>
      </c>
      <c r="E107" s="1582">
        <f t="shared" si="35"/>
        <v>1245701.4830780001</v>
      </c>
      <c r="F107" s="1582">
        <f t="shared" si="35"/>
        <v>2717969.426</v>
      </c>
      <c r="G107" s="1582">
        <f t="shared" si="35"/>
        <v>595555.36199999996</v>
      </c>
      <c r="H107" s="1582">
        <f t="shared" si="35"/>
        <v>102970</v>
      </c>
      <c r="I107" s="1582">
        <f t="shared" si="35"/>
        <v>102970</v>
      </c>
      <c r="J107" s="1582">
        <f t="shared" si="35"/>
        <v>9500</v>
      </c>
      <c r="K107" s="1582">
        <f t="shared" si="35"/>
        <v>71348</v>
      </c>
      <c r="L107" s="1582">
        <f t="shared" si="35"/>
        <v>62069</v>
      </c>
      <c r="M107" s="1582">
        <f t="shared" si="35"/>
        <v>60569</v>
      </c>
      <c r="N107" s="1582">
        <f t="shared" si="35"/>
        <v>0</v>
      </c>
      <c r="O107" s="1582">
        <f t="shared" si="35"/>
        <v>34090</v>
      </c>
      <c r="P107" s="1582">
        <f t="shared" si="35"/>
        <v>94855.970182999998</v>
      </c>
      <c r="Q107" s="1582">
        <f t="shared" si="35"/>
        <v>94855.970182999998</v>
      </c>
      <c r="R107" s="1582">
        <f t="shared" si="35"/>
        <v>0</v>
      </c>
      <c r="S107" s="1582">
        <f t="shared" si="35"/>
        <v>53047</v>
      </c>
      <c r="T107" s="1582">
        <f t="shared" si="35"/>
        <v>2977864.3961829999</v>
      </c>
      <c r="U107" s="1582">
        <f t="shared" si="35"/>
        <v>853950.33218300005</v>
      </c>
      <c r="V107" s="1582">
        <f t="shared" si="35"/>
        <v>448487.07287599996</v>
      </c>
      <c r="W107" s="1582">
        <f t="shared" si="35"/>
        <v>329703.069693</v>
      </c>
      <c r="X107" s="1582">
        <f t="shared" si="35"/>
        <v>0</v>
      </c>
      <c r="Y107" s="1582">
        <f t="shared" si="35"/>
        <v>187703</v>
      </c>
      <c r="Z107" s="1582">
        <f t="shared" si="35"/>
        <v>259894.970183</v>
      </c>
      <c r="AA107" s="1582">
        <f t="shared" si="35"/>
        <v>258394.970183</v>
      </c>
      <c r="AB107" s="1582">
        <f t="shared" si="35"/>
        <v>71308.099509999985</v>
      </c>
      <c r="AC107" s="1582">
        <f t="shared" si="35"/>
        <v>54450.692886000004</v>
      </c>
      <c r="AD107" s="1582">
        <f t="shared" si="35"/>
        <v>54450.692886000004</v>
      </c>
      <c r="AE107" s="1582">
        <f t="shared" si="35"/>
        <v>0</v>
      </c>
      <c r="AF107" s="1582">
        <f t="shared" si="35"/>
        <v>28242</v>
      </c>
      <c r="AG107" s="1516"/>
      <c r="AH107" s="1580"/>
      <c r="AI107" s="1509"/>
      <c r="AJ107" s="1564">
        <v>1</v>
      </c>
    </row>
    <row r="108" spans="1:36" ht="33.75" x14ac:dyDescent="0.25">
      <c r="A108" s="1527">
        <v>1</v>
      </c>
      <c r="B108" s="1548" t="s">
        <v>2037</v>
      </c>
      <c r="C108" s="1527" t="s">
        <v>2038</v>
      </c>
      <c r="D108" s="1528">
        <v>6783</v>
      </c>
      <c r="E108" s="1528">
        <f>D108</f>
        <v>6783</v>
      </c>
      <c r="F108" s="1529">
        <v>5988</v>
      </c>
      <c r="G108" s="1529">
        <v>5988</v>
      </c>
      <c r="H108" s="1528">
        <v>782</v>
      </c>
      <c r="I108" s="1528">
        <v>782</v>
      </c>
      <c r="J108" s="1544"/>
      <c r="K108" s="1555">
        <v>782</v>
      </c>
      <c r="L108" s="1528"/>
      <c r="M108" s="1528"/>
      <c r="N108" s="1544"/>
      <c r="O108" s="1544"/>
      <c r="P108" s="1555"/>
      <c r="Q108" s="1555"/>
      <c r="R108" s="1555"/>
      <c r="S108" s="1555"/>
      <c r="T108" s="1516">
        <f t="shared" si="25"/>
        <v>6770</v>
      </c>
      <c r="U108" s="1516">
        <f t="shared" si="26"/>
        <v>6770</v>
      </c>
      <c r="V108" s="1528">
        <v>782</v>
      </c>
      <c r="W108" s="1528">
        <v>782</v>
      </c>
      <c r="X108" s="1555"/>
      <c r="Y108" s="1555">
        <v>782</v>
      </c>
      <c r="Z108" s="1516">
        <f t="shared" si="24"/>
        <v>782</v>
      </c>
      <c r="AA108" s="1516">
        <f t="shared" si="24"/>
        <v>782</v>
      </c>
      <c r="AB108" s="1516">
        <f t="shared" si="27"/>
        <v>0</v>
      </c>
      <c r="AC108" s="1555"/>
      <c r="AD108" s="1555"/>
      <c r="AE108" s="1555"/>
      <c r="AF108" s="1516">
        <f t="shared" ref="AF108:AF111" si="36">Y108-K108-O108-S108</f>
        <v>0</v>
      </c>
      <c r="AG108" s="1516">
        <v>100</v>
      </c>
      <c r="AH108" s="1527" t="s">
        <v>423</v>
      </c>
      <c r="AI108" s="1509" t="s">
        <v>1971</v>
      </c>
    </row>
    <row r="109" spans="1:36" ht="22.5" x14ac:dyDescent="0.25">
      <c r="A109" s="1527">
        <v>2</v>
      </c>
      <c r="B109" s="1548" t="s">
        <v>2039</v>
      </c>
      <c r="C109" s="1527" t="s">
        <v>2040</v>
      </c>
      <c r="D109" s="1528">
        <v>24941</v>
      </c>
      <c r="E109" s="1528">
        <f>D109</f>
        <v>24941</v>
      </c>
      <c r="F109" s="1529">
        <v>21707</v>
      </c>
      <c r="G109" s="1529">
        <v>21707</v>
      </c>
      <c r="H109" s="1549">
        <v>3184</v>
      </c>
      <c r="I109" s="1549">
        <v>3184</v>
      </c>
      <c r="J109" s="1544"/>
      <c r="K109" s="1555">
        <v>3184</v>
      </c>
      <c r="L109" s="1528"/>
      <c r="M109" s="1528"/>
      <c r="N109" s="1544"/>
      <c r="O109" s="1544"/>
      <c r="P109" s="1555"/>
      <c r="Q109" s="1555"/>
      <c r="R109" s="1555"/>
      <c r="S109" s="1555"/>
      <c r="T109" s="1516">
        <f t="shared" si="25"/>
        <v>24891</v>
      </c>
      <c r="U109" s="1516">
        <f t="shared" si="26"/>
        <v>24891</v>
      </c>
      <c r="V109" s="1549">
        <v>3184</v>
      </c>
      <c r="W109" s="1549">
        <v>3184</v>
      </c>
      <c r="X109" s="1555"/>
      <c r="Y109" s="1555">
        <v>3184</v>
      </c>
      <c r="Z109" s="1516">
        <f t="shared" si="24"/>
        <v>3184</v>
      </c>
      <c r="AA109" s="1516">
        <f t="shared" si="24"/>
        <v>3184</v>
      </c>
      <c r="AB109" s="1516">
        <f t="shared" si="27"/>
        <v>0</v>
      </c>
      <c r="AC109" s="1555"/>
      <c r="AD109" s="1555"/>
      <c r="AE109" s="1555"/>
      <c r="AF109" s="1516">
        <f t="shared" si="36"/>
        <v>0</v>
      </c>
      <c r="AG109" s="1516">
        <v>100</v>
      </c>
      <c r="AH109" s="1527" t="s">
        <v>425</v>
      </c>
      <c r="AI109" s="1509" t="s">
        <v>1971</v>
      </c>
    </row>
    <row r="110" spans="1:36" ht="22.5" x14ac:dyDescent="0.25">
      <c r="A110" s="1527">
        <v>3</v>
      </c>
      <c r="B110" s="1544" t="s">
        <v>2041</v>
      </c>
      <c r="C110" s="1527" t="s">
        <v>2042</v>
      </c>
      <c r="D110" s="1536">
        <v>4888</v>
      </c>
      <c r="E110" s="1536">
        <v>4888</v>
      </c>
      <c r="F110" s="1528">
        <v>4498</v>
      </c>
      <c r="G110" s="1528">
        <v>291</v>
      </c>
      <c r="H110" s="1528">
        <v>59</v>
      </c>
      <c r="I110" s="1528">
        <v>59</v>
      </c>
      <c r="J110" s="1544"/>
      <c r="K110" s="1555">
        <v>59</v>
      </c>
      <c r="L110" s="1528"/>
      <c r="M110" s="1528"/>
      <c r="N110" s="1544"/>
      <c r="O110" s="1544"/>
      <c r="P110" s="1555"/>
      <c r="Q110" s="1555"/>
      <c r="R110" s="1555"/>
      <c r="S110" s="1555"/>
      <c r="T110" s="1516">
        <f t="shared" si="25"/>
        <v>4557</v>
      </c>
      <c r="U110" s="1516">
        <f t="shared" si="26"/>
        <v>350</v>
      </c>
      <c r="V110" s="1528">
        <v>59</v>
      </c>
      <c r="W110" s="1528">
        <v>59</v>
      </c>
      <c r="X110" s="1555"/>
      <c r="Y110" s="1555">
        <v>59</v>
      </c>
      <c r="Z110" s="1516">
        <f t="shared" si="24"/>
        <v>59</v>
      </c>
      <c r="AA110" s="1516">
        <f t="shared" si="24"/>
        <v>59</v>
      </c>
      <c r="AB110" s="1516">
        <f t="shared" si="27"/>
        <v>0</v>
      </c>
      <c r="AC110" s="1555"/>
      <c r="AD110" s="1555"/>
      <c r="AE110" s="1555"/>
      <c r="AF110" s="1516">
        <f t="shared" si="36"/>
        <v>0</v>
      </c>
      <c r="AG110" s="1516">
        <v>100</v>
      </c>
      <c r="AH110" s="1509" t="s">
        <v>422</v>
      </c>
      <c r="AI110" s="1509" t="s">
        <v>1971</v>
      </c>
    </row>
    <row r="111" spans="1:36" ht="33.75" x14ac:dyDescent="0.25">
      <c r="A111" s="1527">
        <v>4</v>
      </c>
      <c r="B111" s="1526" t="s">
        <v>2043</v>
      </c>
      <c r="C111" s="1509" t="s">
        <v>2044</v>
      </c>
      <c r="D111" s="1528">
        <v>8968</v>
      </c>
      <c r="E111" s="1528"/>
      <c r="F111" s="1529">
        <v>7600</v>
      </c>
      <c r="G111" s="1529"/>
      <c r="H111" s="1528">
        <v>46</v>
      </c>
      <c r="I111" s="1528">
        <v>46</v>
      </c>
      <c r="J111" s="1544"/>
      <c r="K111" s="1555">
        <v>45</v>
      </c>
      <c r="L111" s="1528"/>
      <c r="M111" s="1528"/>
      <c r="N111" s="1544"/>
      <c r="O111" s="1544"/>
      <c r="P111" s="1555"/>
      <c r="Q111" s="1555"/>
      <c r="R111" s="1555"/>
      <c r="S111" s="1555"/>
      <c r="T111" s="1516">
        <f t="shared" si="25"/>
        <v>7646</v>
      </c>
      <c r="U111" s="1516">
        <f t="shared" si="26"/>
        <v>46</v>
      </c>
      <c r="V111" s="1528">
        <v>46</v>
      </c>
      <c r="W111" s="1528">
        <v>46</v>
      </c>
      <c r="X111" s="1555"/>
      <c r="Y111" s="1555">
        <v>45</v>
      </c>
      <c r="Z111" s="1516">
        <f t="shared" si="24"/>
        <v>46</v>
      </c>
      <c r="AA111" s="1516">
        <f t="shared" si="24"/>
        <v>46</v>
      </c>
      <c r="AB111" s="1516">
        <f t="shared" si="27"/>
        <v>0</v>
      </c>
      <c r="AC111" s="1555"/>
      <c r="AD111" s="1555"/>
      <c r="AE111" s="1555"/>
      <c r="AF111" s="1516">
        <f t="shared" si="36"/>
        <v>0</v>
      </c>
      <c r="AG111" s="1516">
        <v>100</v>
      </c>
      <c r="AH111" s="1527" t="s">
        <v>418</v>
      </c>
      <c r="AI111" s="1509" t="s">
        <v>1971</v>
      </c>
    </row>
    <row r="112" spans="1:36" ht="22.5" x14ac:dyDescent="0.25">
      <c r="A112" s="1527">
        <v>5</v>
      </c>
      <c r="B112" s="1544" t="s">
        <v>2045</v>
      </c>
      <c r="C112" s="1509" t="s">
        <v>2046</v>
      </c>
      <c r="D112" s="1536">
        <v>4503</v>
      </c>
      <c r="E112" s="1536">
        <f>D112-3535</f>
        <v>968</v>
      </c>
      <c r="F112" s="1529">
        <v>3535</v>
      </c>
      <c r="G112" s="1529">
        <v>3535</v>
      </c>
      <c r="H112" s="1528">
        <v>518</v>
      </c>
      <c r="I112" s="1528">
        <v>518</v>
      </c>
      <c r="J112" s="1544"/>
      <c r="K112" s="1544"/>
      <c r="L112" s="1528"/>
      <c r="M112" s="1528"/>
      <c r="N112" s="1544"/>
      <c r="O112" s="1544"/>
      <c r="P112" s="1555"/>
      <c r="Q112" s="1555"/>
      <c r="R112" s="1555"/>
      <c r="S112" s="1555"/>
      <c r="T112" s="1516">
        <f t="shared" si="25"/>
        <v>4053</v>
      </c>
      <c r="U112" s="1516">
        <f t="shared" si="26"/>
        <v>4053</v>
      </c>
      <c r="V112" s="1528">
        <v>518</v>
      </c>
      <c r="W112" s="1528">
        <v>518</v>
      </c>
      <c r="X112" s="1555"/>
      <c r="Y112" s="1555"/>
      <c r="Z112" s="1516">
        <f t="shared" si="24"/>
        <v>518</v>
      </c>
      <c r="AA112" s="1516">
        <f t="shared" si="24"/>
        <v>518</v>
      </c>
      <c r="AB112" s="1516">
        <f t="shared" si="27"/>
        <v>0</v>
      </c>
      <c r="AC112" s="1555"/>
      <c r="AD112" s="1555"/>
      <c r="AE112" s="1555"/>
      <c r="AF112" s="1555"/>
      <c r="AG112" s="1516">
        <v>100</v>
      </c>
      <c r="AH112" s="1509" t="s">
        <v>423</v>
      </c>
      <c r="AI112" s="1509" t="s">
        <v>1971</v>
      </c>
    </row>
    <row r="113" spans="1:35" ht="33.75" x14ac:dyDescent="0.25">
      <c r="A113" s="1527">
        <v>6</v>
      </c>
      <c r="B113" s="1526" t="s">
        <v>2047</v>
      </c>
      <c r="C113" s="1509"/>
      <c r="D113" s="1528"/>
      <c r="E113" s="1529"/>
      <c r="F113" s="1528">
        <v>100</v>
      </c>
      <c r="G113" s="1528">
        <v>100</v>
      </c>
      <c r="H113" s="1549">
        <v>201</v>
      </c>
      <c r="I113" s="1549">
        <v>201</v>
      </c>
      <c r="J113" s="1544"/>
      <c r="K113" s="1555">
        <v>201</v>
      </c>
      <c r="L113" s="1549"/>
      <c r="M113" s="1549"/>
      <c r="N113" s="1544"/>
      <c r="O113" s="1544"/>
      <c r="P113" s="1555"/>
      <c r="Q113" s="1555"/>
      <c r="R113" s="1555"/>
      <c r="S113" s="1555"/>
      <c r="T113" s="1516">
        <f t="shared" si="25"/>
        <v>301</v>
      </c>
      <c r="U113" s="1516">
        <f t="shared" si="26"/>
        <v>301</v>
      </c>
      <c r="V113" s="1528">
        <v>201</v>
      </c>
      <c r="W113" s="1528">
        <v>201</v>
      </c>
      <c r="X113" s="1555"/>
      <c r="Y113" s="1555">
        <v>201</v>
      </c>
      <c r="Z113" s="1516">
        <f t="shared" si="24"/>
        <v>201</v>
      </c>
      <c r="AA113" s="1516">
        <f t="shared" si="24"/>
        <v>201</v>
      </c>
      <c r="AB113" s="1516">
        <f t="shared" si="27"/>
        <v>0</v>
      </c>
      <c r="AC113" s="1555"/>
      <c r="AD113" s="1555"/>
      <c r="AE113" s="1555"/>
      <c r="AF113" s="1516">
        <f t="shared" ref="AF113:AF114" si="37">Y113-K113-O113-S113</f>
        <v>0</v>
      </c>
      <c r="AG113" s="1516">
        <v>100</v>
      </c>
      <c r="AH113" s="1527" t="s">
        <v>418</v>
      </c>
      <c r="AI113" s="1509" t="s">
        <v>1971</v>
      </c>
    </row>
    <row r="114" spans="1:35" ht="56.25" x14ac:dyDescent="0.25">
      <c r="A114" s="1527">
        <v>7</v>
      </c>
      <c r="B114" s="1526" t="s">
        <v>2048</v>
      </c>
      <c r="C114" s="1583" t="s">
        <v>2049</v>
      </c>
      <c r="D114" s="1536">
        <v>2932</v>
      </c>
      <c r="E114" s="1536">
        <v>2932</v>
      </c>
      <c r="F114" s="1529">
        <v>2100</v>
      </c>
      <c r="G114" s="1529">
        <v>2100</v>
      </c>
      <c r="H114" s="1528">
        <v>824</v>
      </c>
      <c r="I114" s="1528">
        <v>824</v>
      </c>
      <c r="J114" s="1544"/>
      <c r="K114" s="1555">
        <v>824</v>
      </c>
      <c r="L114" s="1528"/>
      <c r="M114" s="1528"/>
      <c r="N114" s="1544"/>
      <c r="O114" s="1544"/>
      <c r="P114" s="1555"/>
      <c r="Q114" s="1555"/>
      <c r="R114" s="1555"/>
      <c r="S114" s="1555"/>
      <c r="T114" s="1516">
        <f t="shared" si="25"/>
        <v>2924</v>
      </c>
      <c r="U114" s="1516">
        <f t="shared" si="26"/>
        <v>2924</v>
      </c>
      <c r="V114" s="1528">
        <v>824</v>
      </c>
      <c r="W114" s="1528">
        <v>824</v>
      </c>
      <c r="X114" s="1555"/>
      <c r="Y114" s="1555">
        <v>824</v>
      </c>
      <c r="Z114" s="1516">
        <f t="shared" si="24"/>
        <v>824</v>
      </c>
      <c r="AA114" s="1516">
        <f t="shared" si="24"/>
        <v>824</v>
      </c>
      <c r="AB114" s="1516">
        <f t="shared" si="27"/>
        <v>0</v>
      </c>
      <c r="AC114" s="1555"/>
      <c r="AD114" s="1555"/>
      <c r="AE114" s="1555"/>
      <c r="AF114" s="1516">
        <f t="shared" si="37"/>
        <v>0</v>
      </c>
      <c r="AG114" s="1516">
        <v>100</v>
      </c>
      <c r="AH114" s="1509" t="s">
        <v>983</v>
      </c>
      <c r="AI114" s="1509" t="s">
        <v>1971</v>
      </c>
    </row>
    <row r="115" spans="1:35" ht="33.75" x14ac:dyDescent="0.25">
      <c r="A115" s="1527">
        <v>8</v>
      </c>
      <c r="B115" s="1584" t="s">
        <v>2050</v>
      </c>
      <c r="C115" s="1527"/>
      <c r="D115" s="1549">
        <v>4389</v>
      </c>
      <c r="E115" s="1529">
        <v>4389</v>
      </c>
      <c r="F115" s="1529">
        <v>3490</v>
      </c>
      <c r="G115" s="1529">
        <v>3490</v>
      </c>
      <c r="H115" s="1549">
        <v>150</v>
      </c>
      <c r="I115" s="1549">
        <v>150</v>
      </c>
      <c r="J115" s="1544"/>
      <c r="K115" s="1544"/>
      <c r="L115" s="1549"/>
      <c r="M115" s="1549"/>
      <c r="N115" s="1544"/>
      <c r="O115" s="1544"/>
      <c r="P115" s="1555"/>
      <c r="Q115" s="1555"/>
      <c r="R115" s="1555"/>
      <c r="S115" s="1555"/>
      <c r="T115" s="1516">
        <f t="shared" si="25"/>
        <v>3640</v>
      </c>
      <c r="U115" s="1516">
        <f t="shared" si="26"/>
        <v>3640</v>
      </c>
      <c r="V115" s="1528">
        <v>150</v>
      </c>
      <c r="W115" s="1528">
        <v>150</v>
      </c>
      <c r="X115" s="1555"/>
      <c r="Y115" s="1555"/>
      <c r="Z115" s="1516">
        <f t="shared" si="24"/>
        <v>150</v>
      </c>
      <c r="AA115" s="1516">
        <f t="shared" si="24"/>
        <v>150</v>
      </c>
      <c r="AB115" s="1516">
        <f t="shared" si="27"/>
        <v>0</v>
      </c>
      <c r="AC115" s="1555"/>
      <c r="AD115" s="1555"/>
      <c r="AE115" s="1555"/>
      <c r="AF115" s="1555"/>
      <c r="AG115" s="1516">
        <v>100</v>
      </c>
      <c r="AH115" s="1527" t="s">
        <v>418</v>
      </c>
      <c r="AI115" s="1509" t="s">
        <v>1971</v>
      </c>
    </row>
    <row r="116" spans="1:35" ht="33.75" x14ac:dyDescent="0.25">
      <c r="A116" s="1527">
        <v>9</v>
      </c>
      <c r="B116" s="1544" t="s">
        <v>2051</v>
      </c>
      <c r="C116" s="1527" t="s">
        <v>2052</v>
      </c>
      <c r="D116" s="1549">
        <v>4548</v>
      </c>
      <c r="E116" s="1549">
        <f>D116</f>
        <v>4548</v>
      </c>
      <c r="F116" s="1529">
        <v>3950.8</v>
      </c>
      <c r="G116" s="1529">
        <v>3950.8</v>
      </c>
      <c r="H116" s="1549">
        <v>330</v>
      </c>
      <c r="I116" s="1549">
        <v>330</v>
      </c>
      <c r="J116" s="1544"/>
      <c r="K116" s="1544"/>
      <c r="L116" s="1549"/>
      <c r="M116" s="1549"/>
      <c r="N116" s="1544"/>
      <c r="O116" s="1544"/>
      <c r="P116" s="1555"/>
      <c r="Q116" s="1555"/>
      <c r="R116" s="1555"/>
      <c r="S116" s="1555"/>
      <c r="T116" s="1516">
        <f t="shared" si="25"/>
        <v>4280.8</v>
      </c>
      <c r="U116" s="1516">
        <f t="shared" si="26"/>
        <v>4280.8</v>
      </c>
      <c r="V116" s="1528">
        <v>330.21899999999999</v>
      </c>
      <c r="W116" s="1528">
        <v>330.21899999999999</v>
      </c>
      <c r="X116" s="1555"/>
      <c r="Y116" s="1555"/>
      <c r="Z116" s="1516">
        <f t="shared" si="24"/>
        <v>330</v>
      </c>
      <c r="AA116" s="1516">
        <f t="shared" si="24"/>
        <v>330</v>
      </c>
      <c r="AB116" s="1516">
        <f t="shared" si="27"/>
        <v>0.21899999999999409</v>
      </c>
      <c r="AC116" s="1555"/>
      <c r="AD116" s="1555"/>
      <c r="AE116" s="1555"/>
      <c r="AF116" s="1555"/>
      <c r="AG116" s="1516">
        <v>100</v>
      </c>
      <c r="AH116" s="1527" t="s">
        <v>418</v>
      </c>
      <c r="AI116" s="1509" t="s">
        <v>1971</v>
      </c>
    </row>
    <row r="117" spans="1:35" ht="22.5" x14ac:dyDescent="0.25">
      <c r="A117" s="1527">
        <v>10</v>
      </c>
      <c r="B117" s="1544" t="s">
        <v>2328</v>
      </c>
      <c r="C117" s="1527" t="s">
        <v>2198</v>
      </c>
      <c r="D117" s="1549">
        <v>39900</v>
      </c>
      <c r="E117" s="1549">
        <v>39900</v>
      </c>
      <c r="F117" s="1529">
        <v>33660</v>
      </c>
      <c r="G117" s="1529">
        <v>33660</v>
      </c>
      <c r="H117" s="1549"/>
      <c r="I117" s="1549"/>
      <c r="J117" s="1544"/>
      <c r="K117" s="1544"/>
      <c r="L117" s="1549">
        <v>1000</v>
      </c>
      <c r="M117" s="1549">
        <v>1000</v>
      </c>
      <c r="N117" s="1544"/>
      <c r="O117" s="1544"/>
      <c r="P117" s="1555">
        <v>4938</v>
      </c>
      <c r="Q117" s="1555">
        <v>4938</v>
      </c>
      <c r="R117" s="1555"/>
      <c r="S117" s="1555">
        <v>0</v>
      </c>
      <c r="T117" s="1516">
        <v>39598</v>
      </c>
      <c r="U117" s="1516">
        <v>39598</v>
      </c>
      <c r="V117" s="1528">
        <v>6134</v>
      </c>
      <c r="W117" s="1528">
        <v>6134</v>
      </c>
      <c r="X117" s="1555"/>
      <c r="Y117" s="1555"/>
      <c r="Z117" s="1516">
        <v>5938</v>
      </c>
      <c r="AA117" s="1516">
        <v>5938</v>
      </c>
      <c r="AB117" s="1516">
        <v>196</v>
      </c>
      <c r="AC117" s="1555">
        <v>196</v>
      </c>
      <c r="AD117" s="1555">
        <v>196</v>
      </c>
      <c r="AE117" s="1555"/>
      <c r="AF117" s="1555"/>
      <c r="AG117" s="1516">
        <v>100</v>
      </c>
      <c r="AH117" s="1527" t="s">
        <v>1929</v>
      </c>
      <c r="AI117" s="1509"/>
    </row>
    <row r="118" spans="1:35" ht="22.5" x14ac:dyDescent="0.25">
      <c r="A118" s="1527">
        <v>11</v>
      </c>
      <c r="B118" s="1526" t="s">
        <v>2053</v>
      </c>
      <c r="C118" s="1509" t="s">
        <v>2054</v>
      </c>
      <c r="D118" s="1536">
        <v>8133</v>
      </c>
      <c r="E118" s="1536">
        <v>8133</v>
      </c>
      <c r="F118" s="1529">
        <v>2300</v>
      </c>
      <c r="G118" s="1529">
        <v>2300</v>
      </c>
      <c r="H118" s="1528">
        <v>5480</v>
      </c>
      <c r="I118" s="1528">
        <v>5480</v>
      </c>
      <c r="J118" s="1544"/>
      <c r="K118" s="1555">
        <v>5480</v>
      </c>
      <c r="L118" s="1528"/>
      <c r="M118" s="1528"/>
      <c r="N118" s="1544"/>
      <c r="O118" s="1544"/>
      <c r="P118" s="1555"/>
      <c r="Q118" s="1555"/>
      <c r="R118" s="1555"/>
      <c r="S118" s="1555"/>
      <c r="T118" s="1516">
        <f t="shared" si="25"/>
        <v>7780</v>
      </c>
      <c r="U118" s="1516">
        <f t="shared" si="26"/>
        <v>7780</v>
      </c>
      <c r="V118" s="1528">
        <v>5480</v>
      </c>
      <c r="W118" s="1528">
        <v>5480</v>
      </c>
      <c r="X118" s="1555"/>
      <c r="Y118" s="1555">
        <v>5480</v>
      </c>
      <c r="Z118" s="1516">
        <f t="shared" si="24"/>
        <v>5480</v>
      </c>
      <c r="AA118" s="1516">
        <f t="shared" si="24"/>
        <v>5480</v>
      </c>
      <c r="AB118" s="1516">
        <f t="shared" si="27"/>
        <v>0</v>
      </c>
      <c r="AC118" s="1555"/>
      <c r="AD118" s="1555"/>
      <c r="AE118" s="1555"/>
      <c r="AF118" s="1516">
        <f t="shared" ref="AF118:AF119" si="38">Y118-K118-O118-S118</f>
        <v>0</v>
      </c>
      <c r="AG118" s="1516">
        <v>100</v>
      </c>
      <c r="AH118" s="1509" t="s">
        <v>426</v>
      </c>
      <c r="AI118" s="1509" t="s">
        <v>1971</v>
      </c>
    </row>
    <row r="119" spans="1:35" ht="33.75" x14ac:dyDescent="0.25">
      <c r="A119" s="1527">
        <v>12</v>
      </c>
      <c r="B119" s="1526" t="s">
        <v>2055</v>
      </c>
      <c r="C119" s="1509" t="s">
        <v>2056</v>
      </c>
      <c r="D119" s="1528">
        <v>86502</v>
      </c>
      <c r="E119" s="1528">
        <v>86502</v>
      </c>
      <c r="F119" s="1528">
        <v>795</v>
      </c>
      <c r="G119" s="1528">
        <v>795</v>
      </c>
      <c r="H119" s="1528">
        <v>1409</v>
      </c>
      <c r="I119" s="1528">
        <v>1409</v>
      </c>
      <c r="J119" s="1544"/>
      <c r="K119" s="1555">
        <v>1409</v>
      </c>
      <c r="L119" s="1528"/>
      <c r="M119" s="1528"/>
      <c r="N119" s="1544"/>
      <c r="O119" s="1544"/>
      <c r="P119" s="1555"/>
      <c r="Q119" s="1555"/>
      <c r="R119" s="1555"/>
      <c r="S119" s="1555"/>
      <c r="T119" s="1516">
        <f t="shared" si="25"/>
        <v>2204</v>
      </c>
      <c r="U119" s="1516">
        <f t="shared" si="26"/>
        <v>2204</v>
      </c>
      <c r="V119" s="1528">
        <v>1409</v>
      </c>
      <c r="W119" s="1528">
        <v>1409</v>
      </c>
      <c r="X119" s="1555"/>
      <c r="Y119" s="1555">
        <v>1409</v>
      </c>
      <c r="Z119" s="1516">
        <f t="shared" si="24"/>
        <v>1409</v>
      </c>
      <c r="AA119" s="1516">
        <f t="shared" si="24"/>
        <v>1409</v>
      </c>
      <c r="AB119" s="1516">
        <f t="shared" si="27"/>
        <v>0</v>
      </c>
      <c r="AC119" s="1555"/>
      <c r="AD119" s="1555"/>
      <c r="AE119" s="1555"/>
      <c r="AF119" s="1516">
        <f t="shared" si="38"/>
        <v>0</v>
      </c>
      <c r="AG119" s="1516">
        <v>100</v>
      </c>
      <c r="AH119" s="1527" t="s">
        <v>418</v>
      </c>
      <c r="AI119" s="1509" t="s">
        <v>1971</v>
      </c>
    </row>
    <row r="120" spans="1:35" ht="56.25" x14ac:dyDescent="0.25">
      <c r="A120" s="1527">
        <v>13</v>
      </c>
      <c r="B120" s="1526" t="s">
        <v>2057</v>
      </c>
      <c r="C120" s="1509" t="s">
        <v>2058</v>
      </c>
      <c r="D120" s="1528">
        <v>3402</v>
      </c>
      <c r="E120" s="1528">
        <v>3402</v>
      </c>
      <c r="F120" s="1529">
        <v>1700</v>
      </c>
      <c r="G120" s="1529">
        <v>1700</v>
      </c>
      <c r="H120" s="1528">
        <v>1667</v>
      </c>
      <c r="I120" s="1528">
        <v>1667</v>
      </c>
      <c r="J120" s="1544"/>
      <c r="K120" s="1544"/>
      <c r="L120" s="1528"/>
      <c r="M120" s="1528"/>
      <c r="N120" s="1544"/>
      <c r="O120" s="1544"/>
      <c r="P120" s="1555"/>
      <c r="Q120" s="1555"/>
      <c r="R120" s="1555"/>
      <c r="S120" s="1555"/>
      <c r="T120" s="1516">
        <f t="shared" si="25"/>
        <v>3367</v>
      </c>
      <c r="U120" s="1516">
        <f t="shared" si="26"/>
        <v>3367</v>
      </c>
      <c r="V120" s="1528">
        <v>1667</v>
      </c>
      <c r="W120" s="1528">
        <v>1667</v>
      </c>
      <c r="X120" s="1555"/>
      <c r="Y120" s="1555"/>
      <c r="Z120" s="1516">
        <f t="shared" si="24"/>
        <v>1667</v>
      </c>
      <c r="AA120" s="1516">
        <f t="shared" si="24"/>
        <v>1667</v>
      </c>
      <c r="AB120" s="1516">
        <f t="shared" si="27"/>
        <v>0</v>
      </c>
      <c r="AC120" s="1555"/>
      <c r="AD120" s="1555"/>
      <c r="AE120" s="1555"/>
      <c r="AF120" s="1555"/>
      <c r="AG120" s="1516">
        <v>100</v>
      </c>
      <c r="AH120" s="1509" t="s">
        <v>983</v>
      </c>
      <c r="AI120" s="1509" t="s">
        <v>1971</v>
      </c>
    </row>
    <row r="121" spans="1:35" ht="22.5" x14ac:dyDescent="0.25">
      <c r="A121" s="1527">
        <v>14</v>
      </c>
      <c r="B121" s="1526" t="s">
        <v>2059</v>
      </c>
      <c r="C121" s="1527" t="s">
        <v>2060</v>
      </c>
      <c r="D121" s="1536">
        <v>30569</v>
      </c>
      <c r="E121" s="1536">
        <v>4204</v>
      </c>
      <c r="F121" s="1529">
        <v>24068</v>
      </c>
      <c r="G121" s="1529">
        <v>24068</v>
      </c>
      <c r="H121" s="1528">
        <v>4175</v>
      </c>
      <c r="I121" s="1528">
        <v>4175</v>
      </c>
      <c r="J121" s="1544"/>
      <c r="K121" s="1555">
        <v>4175</v>
      </c>
      <c r="L121" s="1528"/>
      <c r="M121" s="1528"/>
      <c r="N121" s="1544"/>
      <c r="O121" s="1544"/>
      <c r="P121" s="1555"/>
      <c r="Q121" s="1555"/>
      <c r="R121" s="1555"/>
      <c r="S121" s="1555"/>
      <c r="T121" s="1516">
        <f t="shared" si="25"/>
        <v>28243</v>
      </c>
      <c r="U121" s="1516">
        <f t="shared" si="26"/>
        <v>28243</v>
      </c>
      <c r="V121" s="1528">
        <v>4175</v>
      </c>
      <c r="W121" s="1528">
        <v>4175</v>
      </c>
      <c r="X121" s="1555"/>
      <c r="Y121" s="1555">
        <v>4175</v>
      </c>
      <c r="Z121" s="1516">
        <f t="shared" si="24"/>
        <v>4175</v>
      </c>
      <c r="AA121" s="1516">
        <f t="shared" si="24"/>
        <v>4175</v>
      </c>
      <c r="AB121" s="1516">
        <f t="shared" si="27"/>
        <v>0</v>
      </c>
      <c r="AC121" s="1555"/>
      <c r="AD121" s="1555"/>
      <c r="AE121" s="1555"/>
      <c r="AF121" s="1516">
        <f>Y121-K121-O121-S121</f>
        <v>0</v>
      </c>
      <c r="AG121" s="1516">
        <v>100</v>
      </c>
      <c r="AH121" s="1509" t="s">
        <v>426</v>
      </c>
      <c r="AI121" s="1509" t="s">
        <v>1971</v>
      </c>
    </row>
    <row r="122" spans="1:35" ht="56.25" x14ac:dyDescent="0.25">
      <c r="A122" s="1527">
        <v>15</v>
      </c>
      <c r="B122" s="1526" t="s">
        <v>2061</v>
      </c>
      <c r="C122" s="1509" t="s">
        <v>2062</v>
      </c>
      <c r="D122" s="1528">
        <v>3507</v>
      </c>
      <c r="E122" s="1528">
        <v>3507</v>
      </c>
      <c r="F122" s="1529">
        <v>1700</v>
      </c>
      <c r="G122" s="1529">
        <v>1700</v>
      </c>
      <c r="H122" s="1528">
        <v>1805</v>
      </c>
      <c r="I122" s="1528">
        <v>1805</v>
      </c>
      <c r="J122" s="1544"/>
      <c r="K122" s="1544"/>
      <c r="L122" s="1528"/>
      <c r="M122" s="1528"/>
      <c r="N122" s="1544"/>
      <c r="O122" s="1544"/>
      <c r="P122" s="1555"/>
      <c r="Q122" s="1555"/>
      <c r="R122" s="1555"/>
      <c r="S122" s="1555"/>
      <c r="T122" s="1516">
        <f t="shared" si="25"/>
        <v>3505</v>
      </c>
      <c r="U122" s="1516">
        <f t="shared" si="26"/>
        <v>3505</v>
      </c>
      <c r="V122" s="1528">
        <v>1805</v>
      </c>
      <c r="W122" s="1528">
        <v>1805</v>
      </c>
      <c r="X122" s="1555"/>
      <c r="Y122" s="1555"/>
      <c r="Z122" s="1516">
        <f t="shared" si="24"/>
        <v>1805</v>
      </c>
      <c r="AA122" s="1516">
        <f t="shared" si="24"/>
        <v>1805</v>
      </c>
      <c r="AB122" s="1516">
        <f t="shared" si="27"/>
        <v>0</v>
      </c>
      <c r="AC122" s="1555"/>
      <c r="AD122" s="1555"/>
      <c r="AE122" s="1555"/>
      <c r="AF122" s="1555"/>
      <c r="AG122" s="1516">
        <v>100</v>
      </c>
      <c r="AH122" s="1509" t="s">
        <v>983</v>
      </c>
      <c r="AI122" s="1509" t="s">
        <v>1971</v>
      </c>
    </row>
    <row r="123" spans="1:35" ht="56.25" x14ac:dyDescent="0.25">
      <c r="A123" s="1527">
        <v>16</v>
      </c>
      <c r="B123" s="1585" t="s">
        <v>2063</v>
      </c>
      <c r="C123" s="1583" t="s">
        <v>2064</v>
      </c>
      <c r="D123" s="1536">
        <v>5193</v>
      </c>
      <c r="E123" s="1536">
        <v>5193</v>
      </c>
      <c r="F123" s="1529">
        <v>0</v>
      </c>
      <c r="G123" s="1529">
        <v>0</v>
      </c>
      <c r="H123" s="1536">
        <v>5193</v>
      </c>
      <c r="I123" s="1536">
        <v>5193</v>
      </c>
      <c r="J123" s="1544"/>
      <c r="K123" s="1555">
        <v>5193</v>
      </c>
      <c r="L123" s="1536"/>
      <c r="M123" s="1536"/>
      <c r="N123" s="1544"/>
      <c r="O123" s="1544"/>
      <c r="P123" s="1555"/>
      <c r="Q123" s="1555"/>
      <c r="R123" s="1555"/>
      <c r="S123" s="1555"/>
      <c r="T123" s="1516">
        <f t="shared" si="25"/>
        <v>5193</v>
      </c>
      <c r="U123" s="1516">
        <f t="shared" si="26"/>
        <v>5193</v>
      </c>
      <c r="V123" s="1528">
        <v>5193</v>
      </c>
      <c r="W123" s="1528">
        <v>5193</v>
      </c>
      <c r="X123" s="1555"/>
      <c r="Y123" s="1555">
        <v>5193</v>
      </c>
      <c r="Z123" s="1516">
        <f t="shared" si="24"/>
        <v>5193</v>
      </c>
      <c r="AA123" s="1516">
        <f t="shared" si="24"/>
        <v>5193</v>
      </c>
      <c r="AB123" s="1516">
        <f t="shared" si="27"/>
        <v>0</v>
      </c>
      <c r="AC123" s="1555"/>
      <c r="AD123" s="1555"/>
      <c r="AE123" s="1555"/>
      <c r="AF123" s="1516">
        <f t="shared" ref="AF123:AF126" si="39">Y123-K123-O123-S123</f>
        <v>0</v>
      </c>
      <c r="AG123" s="1516">
        <v>100</v>
      </c>
      <c r="AH123" s="1509" t="s">
        <v>983</v>
      </c>
      <c r="AI123" s="1509" t="s">
        <v>1971</v>
      </c>
    </row>
    <row r="124" spans="1:35" ht="56.25" x14ac:dyDescent="0.25">
      <c r="A124" s="1527">
        <v>17</v>
      </c>
      <c r="B124" s="1585" t="s">
        <v>2065</v>
      </c>
      <c r="C124" s="1583" t="s">
        <v>2066</v>
      </c>
      <c r="D124" s="1536">
        <v>3714</v>
      </c>
      <c r="E124" s="1536">
        <v>3714</v>
      </c>
      <c r="F124" s="1529">
        <v>1700</v>
      </c>
      <c r="G124" s="1529">
        <v>1700</v>
      </c>
      <c r="H124" s="1536">
        <v>2015</v>
      </c>
      <c r="I124" s="1536">
        <v>2015</v>
      </c>
      <c r="J124" s="1544"/>
      <c r="K124" s="1555">
        <v>2014</v>
      </c>
      <c r="L124" s="1536"/>
      <c r="M124" s="1536"/>
      <c r="N124" s="1544"/>
      <c r="O124" s="1544"/>
      <c r="P124" s="1555"/>
      <c r="Q124" s="1555"/>
      <c r="R124" s="1555"/>
      <c r="S124" s="1555"/>
      <c r="T124" s="1516">
        <f t="shared" si="25"/>
        <v>3715</v>
      </c>
      <c r="U124" s="1516">
        <f t="shared" si="26"/>
        <v>3715</v>
      </c>
      <c r="V124" s="1528">
        <v>2015</v>
      </c>
      <c r="W124" s="1528">
        <v>2015</v>
      </c>
      <c r="X124" s="1555"/>
      <c r="Y124" s="1555">
        <v>2014</v>
      </c>
      <c r="Z124" s="1516">
        <f t="shared" si="24"/>
        <v>2015</v>
      </c>
      <c r="AA124" s="1516">
        <f t="shared" si="24"/>
        <v>2015</v>
      </c>
      <c r="AB124" s="1516">
        <f t="shared" si="27"/>
        <v>0</v>
      </c>
      <c r="AC124" s="1555"/>
      <c r="AD124" s="1555"/>
      <c r="AE124" s="1555"/>
      <c r="AF124" s="1516">
        <f t="shared" si="39"/>
        <v>0</v>
      </c>
      <c r="AG124" s="1516">
        <v>100</v>
      </c>
      <c r="AH124" s="1509" t="s">
        <v>983</v>
      </c>
      <c r="AI124" s="1509" t="s">
        <v>1971</v>
      </c>
    </row>
    <row r="125" spans="1:35" ht="22.5" x14ac:dyDescent="0.25">
      <c r="A125" s="1527">
        <v>18</v>
      </c>
      <c r="B125" s="1526" t="s">
        <v>2067</v>
      </c>
      <c r="C125" s="1527" t="s">
        <v>2068</v>
      </c>
      <c r="D125" s="1528">
        <v>13668</v>
      </c>
      <c r="E125" s="1528">
        <v>13668</v>
      </c>
      <c r="F125" s="1529">
        <v>9240</v>
      </c>
      <c r="G125" s="1529">
        <v>9240</v>
      </c>
      <c r="H125" s="1528">
        <v>4429</v>
      </c>
      <c r="I125" s="1528">
        <v>4429</v>
      </c>
      <c r="J125" s="1544"/>
      <c r="K125" s="1555">
        <v>4429</v>
      </c>
      <c r="L125" s="1528"/>
      <c r="M125" s="1528"/>
      <c r="N125" s="1544"/>
      <c r="O125" s="1544"/>
      <c r="P125" s="1555"/>
      <c r="Q125" s="1555"/>
      <c r="R125" s="1555"/>
      <c r="S125" s="1555"/>
      <c r="T125" s="1516">
        <f t="shared" si="25"/>
        <v>13669</v>
      </c>
      <c r="U125" s="1516">
        <f t="shared" si="26"/>
        <v>13669</v>
      </c>
      <c r="V125" s="1528">
        <v>4429</v>
      </c>
      <c r="W125" s="1528">
        <v>4429</v>
      </c>
      <c r="X125" s="1555"/>
      <c r="Y125" s="1555">
        <v>4429</v>
      </c>
      <c r="Z125" s="1516">
        <f t="shared" si="24"/>
        <v>4429</v>
      </c>
      <c r="AA125" s="1516">
        <f t="shared" si="24"/>
        <v>4429</v>
      </c>
      <c r="AB125" s="1516">
        <f t="shared" si="27"/>
        <v>0</v>
      </c>
      <c r="AC125" s="1555"/>
      <c r="AD125" s="1555"/>
      <c r="AE125" s="1555"/>
      <c r="AF125" s="1516">
        <f t="shared" si="39"/>
        <v>0</v>
      </c>
      <c r="AG125" s="1516">
        <v>100</v>
      </c>
      <c r="AH125" s="1509" t="s">
        <v>420</v>
      </c>
      <c r="AI125" s="1509" t="s">
        <v>1971</v>
      </c>
    </row>
    <row r="126" spans="1:35" ht="56.25" x14ac:dyDescent="0.25">
      <c r="A126" s="1527">
        <v>19</v>
      </c>
      <c r="B126" s="1526" t="s">
        <v>2069</v>
      </c>
      <c r="C126" s="1527"/>
      <c r="D126" s="1528">
        <v>6063</v>
      </c>
      <c r="E126" s="1528">
        <v>6063</v>
      </c>
      <c r="F126" s="1529">
        <v>4758</v>
      </c>
      <c r="G126" s="1529">
        <v>4758</v>
      </c>
      <c r="H126" s="1528">
        <v>1305</v>
      </c>
      <c r="I126" s="1528">
        <v>1305</v>
      </c>
      <c r="J126" s="1544"/>
      <c r="K126" s="1555">
        <v>1305</v>
      </c>
      <c r="L126" s="1528"/>
      <c r="M126" s="1528"/>
      <c r="N126" s="1544"/>
      <c r="O126" s="1544"/>
      <c r="P126" s="1555"/>
      <c r="Q126" s="1555"/>
      <c r="R126" s="1555"/>
      <c r="S126" s="1555"/>
      <c r="T126" s="1516">
        <f t="shared" si="25"/>
        <v>6063</v>
      </c>
      <c r="U126" s="1516">
        <f t="shared" si="26"/>
        <v>6063</v>
      </c>
      <c r="V126" s="1528">
        <v>1305</v>
      </c>
      <c r="W126" s="1528">
        <v>1305</v>
      </c>
      <c r="X126" s="1555"/>
      <c r="Y126" s="1555">
        <v>1305</v>
      </c>
      <c r="Z126" s="1516">
        <f t="shared" si="24"/>
        <v>1305</v>
      </c>
      <c r="AA126" s="1516">
        <f t="shared" si="24"/>
        <v>1305</v>
      </c>
      <c r="AB126" s="1516">
        <f t="shared" si="27"/>
        <v>0</v>
      </c>
      <c r="AC126" s="1555"/>
      <c r="AD126" s="1555"/>
      <c r="AE126" s="1555"/>
      <c r="AF126" s="1516">
        <f t="shared" si="39"/>
        <v>0</v>
      </c>
      <c r="AG126" s="1516">
        <v>100</v>
      </c>
      <c r="AH126" s="1509" t="s">
        <v>983</v>
      </c>
      <c r="AI126" s="1509" t="s">
        <v>1971</v>
      </c>
    </row>
    <row r="127" spans="1:35" ht="33.75" x14ac:dyDescent="0.25">
      <c r="A127" s="1527">
        <v>20</v>
      </c>
      <c r="B127" s="1544" t="s">
        <v>2070</v>
      </c>
      <c r="C127" s="1527" t="s">
        <v>2071</v>
      </c>
      <c r="D127" s="1549">
        <v>10562</v>
      </c>
      <c r="E127" s="1549">
        <f>D127</f>
        <v>10562</v>
      </c>
      <c r="F127" s="1529">
        <v>9103.5619999999999</v>
      </c>
      <c r="G127" s="1529">
        <v>9103.5619999999999</v>
      </c>
      <c r="H127" s="1549">
        <v>985</v>
      </c>
      <c r="I127" s="1549">
        <v>985</v>
      </c>
      <c r="J127" s="1544"/>
      <c r="K127" s="1544"/>
      <c r="L127" s="1549"/>
      <c r="M127" s="1549"/>
      <c r="N127" s="1544"/>
      <c r="O127" s="1544"/>
      <c r="P127" s="1555"/>
      <c r="Q127" s="1555"/>
      <c r="R127" s="1555"/>
      <c r="S127" s="1555"/>
      <c r="T127" s="1516">
        <f t="shared" si="25"/>
        <v>10088.562</v>
      </c>
      <c r="U127" s="1516">
        <f t="shared" si="26"/>
        <v>10088.562</v>
      </c>
      <c r="V127" s="1528">
        <v>984.51099999999997</v>
      </c>
      <c r="W127" s="1528">
        <v>984.51099999999997</v>
      </c>
      <c r="X127" s="1555"/>
      <c r="Y127" s="1555"/>
      <c r="Z127" s="1516">
        <f t="shared" si="24"/>
        <v>985</v>
      </c>
      <c r="AA127" s="1516">
        <f t="shared" si="24"/>
        <v>985</v>
      </c>
      <c r="AB127" s="1516">
        <f t="shared" si="27"/>
        <v>-0.48900000000003274</v>
      </c>
      <c r="AC127" s="1555"/>
      <c r="AD127" s="1555"/>
      <c r="AE127" s="1555"/>
      <c r="AF127" s="1555"/>
      <c r="AG127" s="1516">
        <v>100</v>
      </c>
      <c r="AH127" s="1527" t="s">
        <v>418</v>
      </c>
      <c r="AI127" s="1509" t="s">
        <v>1971</v>
      </c>
    </row>
    <row r="128" spans="1:35" ht="33.75" x14ac:dyDescent="0.25">
      <c r="A128" s="1527">
        <v>21</v>
      </c>
      <c r="B128" s="1544" t="s">
        <v>2072</v>
      </c>
      <c r="C128" s="1527" t="s">
        <v>2073</v>
      </c>
      <c r="D128" s="1549">
        <v>8260</v>
      </c>
      <c r="E128" s="1528">
        <f>D128</f>
        <v>8260</v>
      </c>
      <c r="F128" s="1529">
        <v>6857</v>
      </c>
      <c r="G128" s="1529">
        <v>6857</v>
      </c>
      <c r="H128" s="1549">
        <v>484</v>
      </c>
      <c r="I128" s="1549">
        <v>484</v>
      </c>
      <c r="J128" s="1544"/>
      <c r="K128" s="1544"/>
      <c r="L128" s="1549"/>
      <c r="M128" s="1549"/>
      <c r="N128" s="1544"/>
      <c r="O128" s="1544"/>
      <c r="P128" s="1555"/>
      <c r="Q128" s="1555"/>
      <c r="R128" s="1555"/>
      <c r="S128" s="1555"/>
      <c r="T128" s="1516">
        <f t="shared" si="25"/>
        <v>7341</v>
      </c>
      <c r="U128" s="1516">
        <f t="shared" si="26"/>
        <v>7341</v>
      </c>
      <c r="V128" s="1528">
        <v>484.24799999999999</v>
      </c>
      <c r="W128" s="1528">
        <v>484.24799999999999</v>
      </c>
      <c r="X128" s="1555"/>
      <c r="Y128" s="1555"/>
      <c r="Z128" s="1516">
        <f t="shared" si="24"/>
        <v>484</v>
      </c>
      <c r="AA128" s="1516">
        <f t="shared" si="24"/>
        <v>484</v>
      </c>
      <c r="AB128" s="1516">
        <f t="shared" si="27"/>
        <v>0.24799999999999045</v>
      </c>
      <c r="AC128" s="1555"/>
      <c r="AD128" s="1555"/>
      <c r="AE128" s="1555"/>
      <c r="AF128" s="1555"/>
      <c r="AG128" s="1516">
        <v>100</v>
      </c>
      <c r="AH128" s="1527" t="s">
        <v>418</v>
      </c>
      <c r="AI128" s="1509" t="s">
        <v>1971</v>
      </c>
    </row>
    <row r="129" spans="1:35" ht="22.5" x14ac:dyDescent="0.25">
      <c r="A129" s="1527">
        <v>22</v>
      </c>
      <c r="B129" s="1548" t="s">
        <v>2074</v>
      </c>
      <c r="C129" s="1509" t="s">
        <v>2075</v>
      </c>
      <c r="D129" s="1536">
        <v>7407.4</v>
      </c>
      <c r="E129" s="1536">
        <f>D129-6666.66</f>
        <v>740.73999999999978</v>
      </c>
      <c r="F129" s="1529">
        <v>6529</v>
      </c>
      <c r="G129" s="1529"/>
      <c r="H129" s="1528">
        <v>19</v>
      </c>
      <c r="I129" s="1528">
        <v>19</v>
      </c>
      <c r="J129" s="1544"/>
      <c r="K129" s="1555">
        <v>19</v>
      </c>
      <c r="L129" s="1528"/>
      <c r="M129" s="1528"/>
      <c r="N129" s="1544"/>
      <c r="O129" s="1544"/>
      <c r="P129" s="1555"/>
      <c r="Q129" s="1555"/>
      <c r="R129" s="1555"/>
      <c r="S129" s="1555"/>
      <c r="T129" s="1516">
        <f t="shared" si="25"/>
        <v>6548</v>
      </c>
      <c r="U129" s="1516">
        <f t="shared" si="26"/>
        <v>19</v>
      </c>
      <c r="V129" s="1528">
        <v>19</v>
      </c>
      <c r="W129" s="1528">
        <v>19</v>
      </c>
      <c r="X129" s="1555"/>
      <c r="Y129" s="1555">
        <v>19</v>
      </c>
      <c r="Z129" s="1516">
        <f t="shared" si="24"/>
        <v>19</v>
      </c>
      <c r="AA129" s="1516">
        <f t="shared" si="24"/>
        <v>19</v>
      </c>
      <c r="AB129" s="1516">
        <f t="shared" si="27"/>
        <v>0</v>
      </c>
      <c r="AC129" s="1555"/>
      <c r="AD129" s="1555"/>
      <c r="AE129" s="1555"/>
      <c r="AF129" s="1516">
        <f>Y129-K129-O129-S129</f>
        <v>0</v>
      </c>
      <c r="AG129" s="1516">
        <v>100</v>
      </c>
      <c r="AH129" s="1509" t="s">
        <v>422</v>
      </c>
      <c r="AI129" s="1509" t="s">
        <v>1971</v>
      </c>
    </row>
    <row r="130" spans="1:35" ht="33.75" x14ac:dyDescent="0.25">
      <c r="A130" s="1527">
        <v>23</v>
      </c>
      <c r="B130" s="1584" t="s">
        <v>2076</v>
      </c>
      <c r="C130" s="1527"/>
      <c r="D130" s="1549">
        <v>400</v>
      </c>
      <c r="E130" s="1529">
        <v>400</v>
      </c>
      <c r="F130" s="1529">
        <v>148</v>
      </c>
      <c r="G130" s="1529">
        <v>6529</v>
      </c>
      <c r="H130" s="1549">
        <v>388</v>
      </c>
      <c r="I130" s="1549">
        <v>388</v>
      </c>
      <c r="J130" s="1544"/>
      <c r="K130" s="1544"/>
      <c r="L130" s="1549"/>
      <c r="M130" s="1549"/>
      <c r="N130" s="1544"/>
      <c r="O130" s="1544"/>
      <c r="P130" s="1555"/>
      <c r="Q130" s="1555"/>
      <c r="R130" s="1555"/>
      <c r="S130" s="1555"/>
      <c r="T130" s="1516">
        <f t="shared" si="25"/>
        <v>536</v>
      </c>
      <c r="U130" s="1516">
        <f t="shared" si="26"/>
        <v>6917</v>
      </c>
      <c r="V130" s="1528">
        <v>388</v>
      </c>
      <c r="W130" s="1528">
        <v>388</v>
      </c>
      <c r="X130" s="1555"/>
      <c r="Y130" s="1555"/>
      <c r="Z130" s="1516">
        <f t="shared" si="24"/>
        <v>388</v>
      </c>
      <c r="AA130" s="1516">
        <f t="shared" si="24"/>
        <v>388</v>
      </c>
      <c r="AB130" s="1516">
        <f t="shared" si="27"/>
        <v>0</v>
      </c>
      <c r="AC130" s="1555"/>
      <c r="AD130" s="1555"/>
      <c r="AE130" s="1555"/>
      <c r="AF130" s="1555"/>
      <c r="AG130" s="1516">
        <v>100</v>
      </c>
      <c r="AH130" s="1509" t="s">
        <v>2077</v>
      </c>
      <c r="AI130" s="1509" t="s">
        <v>1971</v>
      </c>
    </row>
    <row r="131" spans="1:35" ht="22.5" x14ac:dyDescent="0.25">
      <c r="A131" s="1527">
        <v>24</v>
      </c>
      <c r="B131" s="1586" t="s">
        <v>2078</v>
      </c>
      <c r="C131" s="1527" t="s">
        <v>2079</v>
      </c>
      <c r="D131" s="1529">
        <v>6967</v>
      </c>
      <c r="E131" s="1529">
        <v>6967</v>
      </c>
      <c r="F131" s="1529">
        <v>1400</v>
      </c>
      <c r="G131" s="1529">
        <v>1400</v>
      </c>
      <c r="H131" s="1528">
        <v>5219</v>
      </c>
      <c r="I131" s="1528">
        <v>5219</v>
      </c>
      <c r="J131" s="1544"/>
      <c r="K131" s="1555">
        <v>5219</v>
      </c>
      <c r="L131" s="1528"/>
      <c r="M131" s="1528"/>
      <c r="N131" s="1544"/>
      <c r="O131" s="1544"/>
      <c r="P131" s="1555"/>
      <c r="Q131" s="1555"/>
      <c r="R131" s="1555"/>
      <c r="S131" s="1555"/>
      <c r="T131" s="1516">
        <f t="shared" si="25"/>
        <v>6619</v>
      </c>
      <c r="U131" s="1516">
        <f t="shared" si="26"/>
        <v>6619</v>
      </c>
      <c r="V131" s="1528">
        <v>5219</v>
      </c>
      <c r="W131" s="1528">
        <v>5219</v>
      </c>
      <c r="X131" s="1555"/>
      <c r="Y131" s="1555">
        <v>5219</v>
      </c>
      <c r="Z131" s="1516">
        <f t="shared" si="24"/>
        <v>5219</v>
      </c>
      <c r="AA131" s="1516">
        <f t="shared" si="24"/>
        <v>5219</v>
      </c>
      <c r="AB131" s="1516">
        <f t="shared" si="27"/>
        <v>0</v>
      </c>
      <c r="AC131" s="1555"/>
      <c r="AD131" s="1555"/>
      <c r="AE131" s="1555"/>
      <c r="AF131" s="1516">
        <f t="shared" ref="AF131:AF141" si="40">Y131-K131-O131-S131</f>
        <v>0</v>
      </c>
      <c r="AG131" s="1516">
        <v>100</v>
      </c>
      <c r="AH131" s="1509" t="s">
        <v>426</v>
      </c>
      <c r="AI131" s="1509" t="s">
        <v>1971</v>
      </c>
    </row>
    <row r="132" spans="1:35" ht="22.5" x14ac:dyDescent="0.25">
      <c r="A132" s="1527">
        <v>25</v>
      </c>
      <c r="B132" s="1526" t="s">
        <v>2080</v>
      </c>
      <c r="C132" s="1509" t="s">
        <v>2081</v>
      </c>
      <c r="D132" s="1528">
        <v>16231</v>
      </c>
      <c r="E132" s="1528">
        <f>D132-12901</f>
        <v>3330</v>
      </c>
      <c r="F132" s="1529">
        <v>13992</v>
      </c>
      <c r="G132" s="1529"/>
      <c r="H132" s="1528">
        <v>1601</v>
      </c>
      <c r="I132" s="1528">
        <v>1601</v>
      </c>
      <c r="J132" s="1544"/>
      <c r="K132" s="1555">
        <v>1568</v>
      </c>
      <c r="L132" s="1528"/>
      <c r="M132" s="1528"/>
      <c r="N132" s="1544"/>
      <c r="O132" s="1544"/>
      <c r="P132" s="1555"/>
      <c r="Q132" s="1555"/>
      <c r="R132" s="1555"/>
      <c r="S132" s="1555"/>
      <c r="T132" s="1516">
        <f t="shared" si="25"/>
        <v>15593</v>
      </c>
      <c r="U132" s="1516">
        <f t="shared" si="26"/>
        <v>1601</v>
      </c>
      <c r="V132" s="1528">
        <v>1601</v>
      </c>
      <c r="W132" s="1528">
        <v>1601</v>
      </c>
      <c r="X132" s="1555"/>
      <c r="Y132" s="1555">
        <v>1568</v>
      </c>
      <c r="Z132" s="1516">
        <f t="shared" si="24"/>
        <v>1601</v>
      </c>
      <c r="AA132" s="1516">
        <f t="shared" si="24"/>
        <v>1601</v>
      </c>
      <c r="AB132" s="1516">
        <f t="shared" si="27"/>
        <v>0</v>
      </c>
      <c r="AC132" s="1555"/>
      <c r="AD132" s="1555"/>
      <c r="AE132" s="1555"/>
      <c r="AF132" s="1516">
        <f t="shared" si="40"/>
        <v>0</v>
      </c>
      <c r="AG132" s="1516">
        <v>100</v>
      </c>
      <c r="AH132" s="1509" t="s">
        <v>426</v>
      </c>
      <c r="AI132" s="1509" t="s">
        <v>1971</v>
      </c>
    </row>
    <row r="133" spans="1:35" ht="67.5" x14ac:dyDescent="0.25">
      <c r="A133" s="1527">
        <v>26</v>
      </c>
      <c r="B133" s="1584" t="s">
        <v>2082</v>
      </c>
      <c r="C133" s="1527"/>
      <c r="D133" s="1549">
        <v>1898</v>
      </c>
      <c r="E133" s="1529">
        <v>1898</v>
      </c>
      <c r="F133" s="1529">
        <v>805</v>
      </c>
      <c r="G133" s="1529">
        <v>805</v>
      </c>
      <c r="H133" s="1549">
        <v>1094</v>
      </c>
      <c r="I133" s="1549">
        <v>1094</v>
      </c>
      <c r="J133" s="1544"/>
      <c r="K133" s="1555">
        <v>1093</v>
      </c>
      <c r="L133" s="1549"/>
      <c r="M133" s="1549"/>
      <c r="N133" s="1544"/>
      <c r="O133" s="1544"/>
      <c r="P133" s="1555"/>
      <c r="Q133" s="1555"/>
      <c r="R133" s="1555"/>
      <c r="S133" s="1555"/>
      <c r="T133" s="1516">
        <f t="shared" si="25"/>
        <v>1899</v>
      </c>
      <c r="U133" s="1516">
        <f t="shared" si="26"/>
        <v>1899</v>
      </c>
      <c r="V133" s="1528">
        <v>1094</v>
      </c>
      <c r="W133" s="1528">
        <v>1094</v>
      </c>
      <c r="X133" s="1555"/>
      <c r="Y133" s="1555">
        <v>1093</v>
      </c>
      <c r="Z133" s="1516">
        <f t="shared" si="24"/>
        <v>1094</v>
      </c>
      <c r="AA133" s="1516">
        <f t="shared" si="24"/>
        <v>1094</v>
      </c>
      <c r="AB133" s="1516">
        <f t="shared" si="27"/>
        <v>0</v>
      </c>
      <c r="AC133" s="1555"/>
      <c r="AD133" s="1555"/>
      <c r="AE133" s="1555"/>
      <c r="AF133" s="1516">
        <f t="shared" si="40"/>
        <v>0</v>
      </c>
      <c r="AG133" s="1516">
        <v>100</v>
      </c>
      <c r="AH133" s="1509" t="s">
        <v>983</v>
      </c>
      <c r="AI133" s="1509" t="s">
        <v>1971</v>
      </c>
    </row>
    <row r="134" spans="1:35" ht="33.75" x14ac:dyDescent="0.25">
      <c r="A134" s="1527">
        <v>27</v>
      </c>
      <c r="B134" s="1526" t="s">
        <v>2083</v>
      </c>
      <c r="C134" s="1527" t="s">
        <v>2084</v>
      </c>
      <c r="D134" s="1529">
        <v>4046</v>
      </c>
      <c r="E134" s="1529">
        <v>238</v>
      </c>
      <c r="F134" s="1529">
        <f>3271+135</f>
        <v>3406</v>
      </c>
      <c r="G134" s="1529">
        <f>F134</f>
        <v>3406</v>
      </c>
      <c r="H134" s="1528">
        <v>237</v>
      </c>
      <c r="I134" s="1528">
        <v>237</v>
      </c>
      <c r="J134" s="1544"/>
      <c r="K134" s="1555">
        <v>237</v>
      </c>
      <c r="L134" s="1528"/>
      <c r="M134" s="1528"/>
      <c r="N134" s="1544"/>
      <c r="O134" s="1544"/>
      <c r="P134" s="1555"/>
      <c r="Q134" s="1555"/>
      <c r="R134" s="1555"/>
      <c r="S134" s="1555"/>
      <c r="T134" s="1516">
        <f t="shared" si="25"/>
        <v>3643</v>
      </c>
      <c r="U134" s="1516">
        <f t="shared" si="26"/>
        <v>3643</v>
      </c>
      <c r="V134" s="1528">
        <v>237</v>
      </c>
      <c r="W134" s="1528">
        <v>237</v>
      </c>
      <c r="X134" s="1555"/>
      <c r="Y134" s="1555">
        <v>237</v>
      </c>
      <c r="Z134" s="1516">
        <f t="shared" si="24"/>
        <v>237</v>
      </c>
      <c r="AA134" s="1516">
        <f t="shared" si="24"/>
        <v>237</v>
      </c>
      <c r="AB134" s="1516">
        <f t="shared" si="27"/>
        <v>0</v>
      </c>
      <c r="AC134" s="1555"/>
      <c r="AD134" s="1555"/>
      <c r="AE134" s="1555"/>
      <c r="AF134" s="1516">
        <f t="shared" si="40"/>
        <v>0</v>
      </c>
      <c r="AG134" s="1516">
        <v>100</v>
      </c>
      <c r="AH134" s="1527" t="s">
        <v>418</v>
      </c>
      <c r="AI134" s="1509" t="s">
        <v>1971</v>
      </c>
    </row>
    <row r="135" spans="1:35" ht="33.75" x14ac:dyDescent="0.25">
      <c r="A135" s="1527">
        <v>28</v>
      </c>
      <c r="B135" s="1526" t="s">
        <v>2085</v>
      </c>
      <c r="C135" s="1527" t="s">
        <v>2086</v>
      </c>
      <c r="D135" s="1529">
        <v>5561.7730000000001</v>
      </c>
      <c r="E135" s="1528">
        <f>D135-4702</f>
        <v>859.77300000000014</v>
      </c>
      <c r="F135" s="1529">
        <v>4702</v>
      </c>
      <c r="G135" s="1529"/>
      <c r="H135" s="1528">
        <v>819</v>
      </c>
      <c r="I135" s="1528">
        <v>819</v>
      </c>
      <c r="J135" s="1544"/>
      <c r="K135" s="1555">
        <v>819</v>
      </c>
      <c r="L135" s="1528"/>
      <c r="M135" s="1528"/>
      <c r="N135" s="1544"/>
      <c r="O135" s="1544"/>
      <c r="P135" s="1555"/>
      <c r="Q135" s="1555"/>
      <c r="R135" s="1555"/>
      <c r="S135" s="1555"/>
      <c r="T135" s="1516">
        <f t="shared" si="25"/>
        <v>5521</v>
      </c>
      <c r="U135" s="1516">
        <f t="shared" si="26"/>
        <v>819</v>
      </c>
      <c r="V135" s="1528">
        <v>819</v>
      </c>
      <c r="W135" s="1528">
        <v>819</v>
      </c>
      <c r="X135" s="1555"/>
      <c r="Y135" s="1555">
        <v>819</v>
      </c>
      <c r="Z135" s="1516">
        <f t="shared" si="24"/>
        <v>819</v>
      </c>
      <c r="AA135" s="1516">
        <f t="shared" si="24"/>
        <v>819</v>
      </c>
      <c r="AB135" s="1516">
        <f t="shared" si="27"/>
        <v>0</v>
      </c>
      <c r="AC135" s="1555"/>
      <c r="AD135" s="1555"/>
      <c r="AE135" s="1555"/>
      <c r="AF135" s="1516">
        <f t="shared" si="40"/>
        <v>0</v>
      </c>
      <c r="AG135" s="1516">
        <v>100</v>
      </c>
      <c r="AH135" s="1527" t="s">
        <v>424</v>
      </c>
      <c r="AI135" s="1509" t="s">
        <v>1971</v>
      </c>
    </row>
    <row r="136" spans="1:35" ht="22.5" x14ac:dyDescent="0.25">
      <c r="A136" s="1527">
        <v>29</v>
      </c>
      <c r="B136" s="1586" t="s">
        <v>2087</v>
      </c>
      <c r="C136" s="1527" t="s">
        <v>2088</v>
      </c>
      <c r="D136" s="1536">
        <v>8250</v>
      </c>
      <c r="E136" s="1536">
        <v>8250</v>
      </c>
      <c r="F136" s="1529">
        <v>1300</v>
      </c>
      <c r="G136" s="1529">
        <v>1300</v>
      </c>
      <c r="H136" s="1528">
        <v>5703</v>
      </c>
      <c r="I136" s="1528">
        <v>5703</v>
      </c>
      <c r="J136" s="1544"/>
      <c r="K136" s="1555">
        <v>5703</v>
      </c>
      <c r="L136" s="1528"/>
      <c r="M136" s="1528"/>
      <c r="N136" s="1544"/>
      <c r="O136" s="1544"/>
      <c r="P136" s="1555"/>
      <c r="Q136" s="1555"/>
      <c r="R136" s="1555"/>
      <c r="S136" s="1555"/>
      <c r="T136" s="1516">
        <f t="shared" si="25"/>
        <v>7003</v>
      </c>
      <c r="U136" s="1516">
        <f t="shared" si="26"/>
        <v>7003</v>
      </c>
      <c r="V136" s="1528">
        <v>5703</v>
      </c>
      <c r="W136" s="1528">
        <v>5703</v>
      </c>
      <c r="X136" s="1555"/>
      <c r="Y136" s="1555">
        <v>5703</v>
      </c>
      <c r="Z136" s="1516">
        <f t="shared" si="24"/>
        <v>5703</v>
      </c>
      <c r="AA136" s="1516">
        <f t="shared" si="24"/>
        <v>5703</v>
      </c>
      <c r="AB136" s="1516">
        <f t="shared" si="27"/>
        <v>0</v>
      </c>
      <c r="AC136" s="1555"/>
      <c r="AD136" s="1555"/>
      <c r="AE136" s="1555"/>
      <c r="AF136" s="1516">
        <f t="shared" si="40"/>
        <v>0</v>
      </c>
      <c r="AG136" s="1516">
        <v>100</v>
      </c>
      <c r="AH136" s="1509" t="s">
        <v>423</v>
      </c>
      <c r="AI136" s="1509" t="s">
        <v>1971</v>
      </c>
    </row>
    <row r="137" spans="1:35" ht="22.5" x14ac:dyDescent="0.25">
      <c r="A137" s="1527">
        <v>30</v>
      </c>
      <c r="B137" s="1554" t="s">
        <v>2089</v>
      </c>
      <c r="C137" s="1509" t="s">
        <v>2090</v>
      </c>
      <c r="D137" s="1528">
        <v>6006</v>
      </c>
      <c r="E137" s="1528">
        <v>6006</v>
      </c>
      <c r="F137" s="1529">
        <v>4401</v>
      </c>
      <c r="G137" s="1529">
        <v>4401</v>
      </c>
      <c r="H137" s="1528">
        <v>1514</v>
      </c>
      <c r="I137" s="1528">
        <v>1514</v>
      </c>
      <c r="J137" s="1544"/>
      <c r="K137" s="1555">
        <v>1514</v>
      </c>
      <c r="L137" s="1528"/>
      <c r="M137" s="1528"/>
      <c r="N137" s="1544"/>
      <c r="O137" s="1544"/>
      <c r="P137" s="1555"/>
      <c r="Q137" s="1555"/>
      <c r="R137" s="1555"/>
      <c r="S137" s="1555"/>
      <c r="T137" s="1516">
        <f t="shared" si="25"/>
        <v>5915</v>
      </c>
      <c r="U137" s="1516">
        <f t="shared" si="26"/>
        <v>5915</v>
      </c>
      <c r="V137" s="1528">
        <v>1514</v>
      </c>
      <c r="W137" s="1528">
        <v>1514</v>
      </c>
      <c r="X137" s="1555"/>
      <c r="Y137" s="1555">
        <v>1514</v>
      </c>
      <c r="Z137" s="1516">
        <f t="shared" si="24"/>
        <v>1514</v>
      </c>
      <c r="AA137" s="1516">
        <f t="shared" si="24"/>
        <v>1514</v>
      </c>
      <c r="AB137" s="1516">
        <f t="shared" si="27"/>
        <v>0</v>
      </c>
      <c r="AC137" s="1555"/>
      <c r="AD137" s="1555"/>
      <c r="AE137" s="1555"/>
      <c r="AF137" s="1516">
        <f t="shared" si="40"/>
        <v>0</v>
      </c>
      <c r="AG137" s="1516">
        <v>100</v>
      </c>
      <c r="AH137" s="1509" t="s">
        <v>434</v>
      </c>
      <c r="AI137" s="1509" t="s">
        <v>1971</v>
      </c>
    </row>
    <row r="138" spans="1:35" ht="22.5" x14ac:dyDescent="0.25">
      <c r="A138" s="1527">
        <v>31</v>
      </c>
      <c r="B138" s="1526" t="s">
        <v>2091</v>
      </c>
      <c r="C138" s="1509"/>
      <c r="D138" s="1529">
        <v>11989</v>
      </c>
      <c r="E138" s="1529"/>
      <c r="F138" s="1529">
        <v>6455</v>
      </c>
      <c r="G138" s="1529"/>
      <c r="H138" s="1528">
        <v>1391</v>
      </c>
      <c r="I138" s="1528">
        <v>1391</v>
      </c>
      <c r="J138" s="1544"/>
      <c r="K138" s="1555">
        <v>1357</v>
      </c>
      <c r="L138" s="1528"/>
      <c r="M138" s="1528"/>
      <c r="N138" s="1544"/>
      <c r="O138" s="1544"/>
      <c r="P138" s="1555"/>
      <c r="Q138" s="1555"/>
      <c r="R138" s="1555"/>
      <c r="S138" s="1555"/>
      <c r="T138" s="1516">
        <f t="shared" si="25"/>
        <v>7846</v>
      </c>
      <c r="U138" s="1516">
        <f t="shared" si="26"/>
        <v>1391</v>
      </c>
      <c r="V138" s="1528">
        <v>1391</v>
      </c>
      <c r="W138" s="1528">
        <v>1391</v>
      </c>
      <c r="X138" s="1555"/>
      <c r="Y138" s="1555">
        <v>1357</v>
      </c>
      <c r="Z138" s="1516">
        <f t="shared" si="24"/>
        <v>1391</v>
      </c>
      <c r="AA138" s="1516">
        <f t="shared" si="24"/>
        <v>1391</v>
      </c>
      <c r="AB138" s="1516">
        <f t="shared" si="27"/>
        <v>0</v>
      </c>
      <c r="AC138" s="1555"/>
      <c r="AD138" s="1555"/>
      <c r="AE138" s="1555"/>
      <c r="AF138" s="1516">
        <f t="shared" si="40"/>
        <v>0</v>
      </c>
      <c r="AG138" s="1516">
        <v>100</v>
      </c>
      <c r="AH138" s="1509" t="s">
        <v>1929</v>
      </c>
      <c r="AI138" s="1509" t="s">
        <v>1971</v>
      </c>
    </row>
    <row r="139" spans="1:35" ht="22.5" x14ac:dyDescent="0.25">
      <c r="A139" s="1527">
        <v>32</v>
      </c>
      <c r="B139" s="1554" t="s">
        <v>2092</v>
      </c>
      <c r="C139" s="1509" t="s">
        <v>2093</v>
      </c>
      <c r="D139" s="1528">
        <v>6155</v>
      </c>
      <c r="E139" s="1528">
        <v>6155</v>
      </c>
      <c r="F139" s="1529">
        <f>4340+1125</f>
        <v>5465</v>
      </c>
      <c r="G139" s="1529">
        <v>5465</v>
      </c>
      <c r="H139" s="1528">
        <v>493</v>
      </c>
      <c r="I139" s="1528">
        <v>493</v>
      </c>
      <c r="J139" s="1544"/>
      <c r="K139" s="1555">
        <v>493</v>
      </c>
      <c r="L139" s="1528"/>
      <c r="M139" s="1528"/>
      <c r="N139" s="1544"/>
      <c r="O139" s="1544"/>
      <c r="P139" s="1555"/>
      <c r="Q139" s="1555"/>
      <c r="R139" s="1555"/>
      <c r="S139" s="1555"/>
      <c r="T139" s="1516">
        <f t="shared" si="25"/>
        <v>5958</v>
      </c>
      <c r="U139" s="1516">
        <f t="shared" si="26"/>
        <v>5958</v>
      </c>
      <c r="V139" s="1528">
        <v>493</v>
      </c>
      <c r="W139" s="1528">
        <v>493</v>
      </c>
      <c r="X139" s="1555"/>
      <c r="Y139" s="1555">
        <v>493</v>
      </c>
      <c r="Z139" s="1516">
        <f t="shared" si="24"/>
        <v>493</v>
      </c>
      <c r="AA139" s="1516">
        <f t="shared" si="24"/>
        <v>493</v>
      </c>
      <c r="AB139" s="1516">
        <f t="shared" si="27"/>
        <v>0</v>
      </c>
      <c r="AC139" s="1555"/>
      <c r="AD139" s="1555"/>
      <c r="AE139" s="1555"/>
      <c r="AF139" s="1516">
        <f t="shared" si="40"/>
        <v>0</v>
      </c>
      <c r="AG139" s="1516">
        <v>100</v>
      </c>
      <c r="AH139" s="1509" t="s">
        <v>434</v>
      </c>
      <c r="AI139" s="1509" t="s">
        <v>1971</v>
      </c>
    </row>
    <row r="140" spans="1:35" ht="33.75" x14ac:dyDescent="0.25">
      <c r="A140" s="1527">
        <v>33</v>
      </c>
      <c r="B140" s="1587" t="s">
        <v>2094</v>
      </c>
      <c r="C140" s="1588" t="s">
        <v>2095</v>
      </c>
      <c r="D140" s="1589">
        <v>3541.89</v>
      </c>
      <c r="E140" s="1589">
        <v>3541.89</v>
      </c>
      <c r="F140" s="1529">
        <v>1290</v>
      </c>
      <c r="G140" s="1529"/>
      <c r="H140" s="1528">
        <v>1670</v>
      </c>
      <c r="I140" s="1528">
        <v>1670</v>
      </c>
      <c r="J140" s="1544"/>
      <c r="K140" s="1555">
        <v>1670</v>
      </c>
      <c r="L140" s="1528"/>
      <c r="M140" s="1528"/>
      <c r="N140" s="1544"/>
      <c r="O140" s="1544"/>
      <c r="P140" s="1555"/>
      <c r="Q140" s="1555"/>
      <c r="R140" s="1555"/>
      <c r="S140" s="1555"/>
      <c r="T140" s="1516">
        <f t="shared" si="25"/>
        <v>2960</v>
      </c>
      <c r="U140" s="1516">
        <f t="shared" si="26"/>
        <v>1670</v>
      </c>
      <c r="V140" s="1528">
        <v>1670</v>
      </c>
      <c r="W140" s="1528">
        <v>1670</v>
      </c>
      <c r="X140" s="1555"/>
      <c r="Y140" s="1555">
        <v>1670</v>
      </c>
      <c r="Z140" s="1516">
        <f t="shared" si="24"/>
        <v>1670</v>
      </c>
      <c r="AA140" s="1516">
        <f t="shared" si="24"/>
        <v>1670</v>
      </c>
      <c r="AB140" s="1516">
        <f t="shared" si="27"/>
        <v>0</v>
      </c>
      <c r="AC140" s="1555"/>
      <c r="AD140" s="1555"/>
      <c r="AE140" s="1555"/>
      <c r="AF140" s="1516">
        <f t="shared" si="40"/>
        <v>0</v>
      </c>
      <c r="AG140" s="1516">
        <v>100</v>
      </c>
      <c r="AH140" s="1509" t="s">
        <v>997</v>
      </c>
      <c r="AI140" s="1509" t="s">
        <v>1971</v>
      </c>
    </row>
    <row r="141" spans="1:35" ht="33.75" x14ac:dyDescent="0.25">
      <c r="A141" s="1527">
        <v>34</v>
      </c>
      <c r="B141" s="1587" t="s">
        <v>2096</v>
      </c>
      <c r="C141" s="1588" t="s">
        <v>2097</v>
      </c>
      <c r="D141" s="1590">
        <v>4860.55</v>
      </c>
      <c r="E141" s="1590">
        <v>4860.55</v>
      </c>
      <c r="F141" s="1529">
        <v>1910</v>
      </c>
      <c r="G141" s="1529"/>
      <c r="H141" s="1528">
        <v>1889</v>
      </c>
      <c r="I141" s="1528">
        <v>1889</v>
      </c>
      <c r="J141" s="1544"/>
      <c r="K141" s="1555">
        <v>1889</v>
      </c>
      <c r="L141" s="1528"/>
      <c r="M141" s="1528"/>
      <c r="N141" s="1544"/>
      <c r="O141" s="1544"/>
      <c r="P141" s="1555"/>
      <c r="Q141" s="1555"/>
      <c r="R141" s="1555"/>
      <c r="S141" s="1555"/>
      <c r="T141" s="1516">
        <f t="shared" si="25"/>
        <v>3799</v>
      </c>
      <c r="U141" s="1516">
        <f t="shared" si="26"/>
        <v>1889</v>
      </c>
      <c r="V141" s="1528">
        <v>1889</v>
      </c>
      <c r="W141" s="1528">
        <v>1889</v>
      </c>
      <c r="X141" s="1555"/>
      <c r="Y141" s="1555">
        <v>1889</v>
      </c>
      <c r="Z141" s="1516">
        <f t="shared" si="24"/>
        <v>1889</v>
      </c>
      <c r="AA141" s="1516">
        <f t="shared" si="24"/>
        <v>1889</v>
      </c>
      <c r="AB141" s="1516">
        <f t="shared" si="27"/>
        <v>0</v>
      </c>
      <c r="AC141" s="1555"/>
      <c r="AD141" s="1555"/>
      <c r="AE141" s="1555"/>
      <c r="AF141" s="1516">
        <f t="shared" si="40"/>
        <v>0</v>
      </c>
      <c r="AG141" s="1516">
        <v>100</v>
      </c>
      <c r="AH141" s="1509" t="s">
        <v>997</v>
      </c>
      <c r="AI141" s="1509" t="s">
        <v>1971</v>
      </c>
    </row>
    <row r="142" spans="1:35" ht="33.75" x14ac:dyDescent="0.25">
      <c r="A142" s="1527">
        <v>35</v>
      </c>
      <c r="B142" s="1526" t="s">
        <v>2098</v>
      </c>
      <c r="C142" s="1509" t="s">
        <v>2099</v>
      </c>
      <c r="D142" s="1528">
        <v>2968</v>
      </c>
      <c r="E142" s="1528">
        <v>2695</v>
      </c>
      <c r="F142" s="1529">
        <v>1600</v>
      </c>
      <c r="G142" s="1529">
        <v>1600</v>
      </c>
      <c r="H142" s="1528">
        <v>991</v>
      </c>
      <c r="I142" s="1528">
        <v>991</v>
      </c>
      <c r="J142" s="1544"/>
      <c r="K142" s="1544"/>
      <c r="L142" s="1528"/>
      <c r="M142" s="1528"/>
      <c r="N142" s="1544"/>
      <c r="O142" s="1544"/>
      <c r="P142" s="1555"/>
      <c r="Q142" s="1555"/>
      <c r="R142" s="1555"/>
      <c r="S142" s="1555"/>
      <c r="T142" s="1516">
        <f t="shared" si="25"/>
        <v>2591</v>
      </c>
      <c r="U142" s="1516">
        <f t="shared" si="26"/>
        <v>2591</v>
      </c>
      <c r="V142" s="1528">
        <v>991</v>
      </c>
      <c r="W142" s="1528">
        <v>991</v>
      </c>
      <c r="X142" s="1555"/>
      <c r="Y142" s="1555"/>
      <c r="Z142" s="1516">
        <f t="shared" si="24"/>
        <v>991</v>
      </c>
      <c r="AA142" s="1516">
        <f t="shared" si="24"/>
        <v>991</v>
      </c>
      <c r="AB142" s="1516">
        <f t="shared" si="27"/>
        <v>0</v>
      </c>
      <c r="AC142" s="1555"/>
      <c r="AD142" s="1555"/>
      <c r="AE142" s="1555"/>
      <c r="AF142" s="1555"/>
      <c r="AG142" s="1516">
        <v>100</v>
      </c>
      <c r="AH142" s="1527" t="s">
        <v>418</v>
      </c>
      <c r="AI142" s="1509" t="s">
        <v>1971</v>
      </c>
    </row>
    <row r="143" spans="1:35" ht="33.75" x14ac:dyDescent="0.25">
      <c r="A143" s="1527">
        <v>36</v>
      </c>
      <c r="B143" s="1587" t="s">
        <v>2100</v>
      </c>
      <c r="C143" s="1588" t="s">
        <v>2101</v>
      </c>
      <c r="D143" s="1589">
        <v>3202.39</v>
      </c>
      <c r="E143" s="1589">
        <v>3202.39</v>
      </c>
      <c r="F143" s="1529">
        <v>1270</v>
      </c>
      <c r="G143" s="1529"/>
      <c r="H143" s="1528">
        <v>1341</v>
      </c>
      <c r="I143" s="1528">
        <v>1341</v>
      </c>
      <c r="J143" s="1544"/>
      <c r="K143" s="1555">
        <v>1341</v>
      </c>
      <c r="L143" s="1528"/>
      <c r="M143" s="1528"/>
      <c r="N143" s="1544"/>
      <c r="O143" s="1544"/>
      <c r="P143" s="1555"/>
      <c r="Q143" s="1555"/>
      <c r="R143" s="1555"/>
      <c r="S143" s="1555"/>
      <c r="T143" s="1516">
        <f t="shared" si="25"/>
        <v>2611</v>
      </c>
      <c r="U143" s="1516">
        <f t="shared" si="26"/>
        <v>1341</v>
      </c>
      <c r="V143" s="1528">
        <v>1341</v>
      </c>
      <c r="W143" s="1528">
        <v>1341</v>
      </c>
      <c r="X143" s="1555"/>
      <c r="Y143" s="1555">
        <v>1341</v>
      </c>
      <c r="Z143" s="1516">
        <f t="shared" si="24"/>
        <v>1341</v>
      </c>
      <c r="AA143" s="1516">
        <f t="shared" si="24"/>
        <v>1341</v>
      </c>
      <c r="AB143" s="1516">
        <f t="shared" si="27"/>
        <v>0</v>
      </c>
      <c r="AC143" s="1555"/>
      <c r="AD143" s="1555"/>
      <c r="AE143" s="1555"/>
      <c r="AF143" s="1516">
        <f t="shared" ref="AF143:AF146" si="41">Y143-K143-O143-S143</f>
        <v>0</v>
      </c>
      <c r="AG143" s="1516">
        <v>100</v>
      </c>
      <c r="AH143" s="1509" t="s">
        <v>997</v>
      </c>
      <c r="AI143" s="1509" t="s">
        <v>1971</v>
      </c>
    </row>
    <row r="144" spans="1:35" ht="33.75" x14ac:dyDescent="0.25">
      <c r="A144" s="1527">
        <v>37</v>
      </c>
      <c r="B144" s="1526" t="s">
        <v>2102</v>
      </c>
      <c r="C144" s="1509" t="s">
        <v>2103</v>
      </c>
      <c r="D144" s="1528">
        <v>1249</v>
      </c>
      <c r="E144" s="1528">
        <v>1249</v>
      </c>
      <c r="F144" s="1529">
        <v>450</v>
      </c>
      <c r="G144" s="1529">
        <v>450</v>
      </c>
      <c r="H144" s="1528">
        <v>722</v>
      </c>
      <c r="I144" s="1528">
        <v>722</v>
      </c>
      <c r="J144" s="1544"/>
      <c r="K144" s="1555">
        <v>671</v>
      </c>
      <c r="L144" s="1528"/>
      <c r="M144" s="1528"/>
      <c r="N144" s="1544"/>
      <c r="O144" s="1544"/>
      <c r="P144" s="1555"/>
      <c r="Q144" s="1555"/>
      <c r="R144" s="1555"/>
      <c r="S144" s="1555"/>
      <c r="T144" s="1516">
        <f t="shared" si="25"/>
        <v>1172</v>
      </c>
      <c r="U144" s="1516">
        <f t="shared" si="26"/>
        <v>1172</v>
      </c>
      <c r="V144" s="1528">
        <v>722</v>
      </c>
      <c r="W144" s="1528">
        <v>722</v>
      </c>
      <c r="X144" s="1555"/>
      <c r="Y144" s="1555">
        <v>671</v>
      </c>
      <c r="Z144" s="1516">
        <f t="shared" si="24"/>
        <v>722</v>
      </c>
      <c r="AA144" s="1516">
        <f t="shared" si="24"/>
        <v>722</v>
      </c>
      <c r="AB144" s="1516">
        <f t="shared" si="27"/>
        <v>0</v>
      </c>
      <c r="AC144" s="1555"/>
      <c r="AD144" s="1555"/>
      <c r="AE144" s="1555"/>
      <c r="AF144" s="1516">
        <f t="shared" si="41"/>
        <v>0</v>
      </c>
      <c r="AG144" s="1516">
        <v>100</v>
      </c>
      <c r="AH144" s="1527" t="s">
        <v>418</v>
      </c>
      <c r="AI144" s="1509" t="s">
        <v>1971</v>
      </c>
    </row>
    <row r="145" spans="1:35" ht="33.75" x14ac:dyDescent="0.25">
      <c r="A145" s="1527">
        <v>38</v>
      </c>
      <c r="B145" s="1544" t="s">
        <v>2104</v>
      </c>
      <c r="C145" s="1509" t="s">
        <v>2105</v>
      </c>
      <c r="D145" s="1528">
        <v>3103</v>
      </c>
      <c r="E145" s="1528">
        <f>D145-1200</f>
        <v>1903</v>
      </c>
      <c r="F145" s="1529">
        <v>1200</v>
      </c>
      <c r="G145" s="1529">
        <v>1200</v>
      </c>
      <c r="H145" s="1528">
        <v>1465</v>
      </c>
      <c r="I145" s="1528">
        <v>1465</v>
      </c>
      <c r="J145" s="1544"/>
      <c r="K145" s="1555">
        <v>1410</v>
      </c>
      <c r="L145" s="1528"/>
      <c r="M145" s="1528"/>
      <c r="N145" s="1544"/>
      <c r="O145" s="1544"/>
      <c r="P145" s="1555"/>
      <c r="Q145" s="1555"/>
      <c r="R145" s="1555"/>
      <c r="S145" s="1555"/>
      <c r="T145" s="1516">
        <f t="shared" si="25"/>
        <v>2665</v>
      </c>
      <c r="U145" s="1516">
        <f t="shared" si="26"/>
        <v>2665</v>
      </c>
      <c r="V145" s="1528">
        <v>1465</v>
      </c>
      <c r="W145" s="1528">
        <v>1465</v>
      </c>
      <c r="X145" s="1555"/>
      <c r="Y145" s="1555">
        <v>1410</v>
      </c>
      <c r="Z145" s="1516">
        <f t="shared" si="24"/>
        <v>1465</v>
      </c>
      <c r="AA145" s="1516">
        <f t="shared" si="24"/>
        <v>1465</v>
      </c>
      <c r="AB145" s="1516">
        <f t="shared" si="27"/>
        <v>0</v>
      </c>
      <c r="AC145" s="1555"/>
      <c r="AD145" s="1555"/>
      <c r="AE145" s="1555"/>
      <c r="AF145" s="1516">
        <f t="shared" si="41"/>
        <v>0</v>
      </c>
      <c r="AG145" s="1516">
        <v>100</v>
      </c>
      <c r="AH145" s="1527" t="s">
        <v>418</v>
      </c>
      <c r="AI145" s="1509" t="s">
        <v>1971</v>
      </c>
    </row>
    <row r="146" spans="1:35" ht="22.5" x14ac:dyDescent="0.25">
      <c r="A146" s="1527">
        <v>39</v>
      </c>
      <c r="B146" s="1544" t="s">
        <v>2106</v>
      </c>
      <c r="C146" s="1509" t="s">
        <v>2107</v>
      </c>
      <c r="D146" s="1536">
        <v>11315</v>
      </c>
      <c r="E146" s="1536">
        <f>D146-8740</f>
        <v>2575</v>
      </c>
      <c r="F146" s="1529">
        <v>8799</v>
      </c>
      <c r="G146" s="1529"/>
      <c r="H146" s="1528">
        <v>1157</v>
      </c>
      <c r="I146" s="1528">
        <v>1157</v>
      </c>
      <c r="J146" s="1544"/>
      <c r="K146" s="1555">
        <v>1157</v>
      </c>
      <c r="L146" s="1528"/>
      <c r="M146" s="1528"/>
      <c r="N146" s="1544"/>
      <c r="O146" s="1544"/>
      <c r="P146" s="1555"/>
      <c r="Q146" s="1555"/>
      <c r="R146" s="1555"/>
      <c r="S146" s="1555"/>
      <c r="T146" s="1516">
        <f t="shared" si="25"/>
        <v>9956</v>
      </c>
      <c r="U146" s="1516">
        <f t="shared" si="26"/>
        <v>1157</v>
      </c>
      <c r="V146" s="1528">
        <v>1157</v>
      </c>
      <c r="W146" s="1528">
        <v>1157</v>
      </c>
      <c r="X146" s="1555"/>
      <c r="Y146" s="1555">
        <v>1157</v>
      </c>
      <c r="Z146" s="1516">
        <f t="shared" si="24"/>
        <v>1157</v>
      </c>
      <c r="AA146" s="1516">
        <f t="shared" si="24"/>
        <v>1157</v>
      </c>
      <c r="AB146" s="1516">
        <f t="shared" si="27"/>
        <v>0</v>
      </c>
      <c r="AC146" s="1555"/>
      <c r="AD146" s="1555"/>
      <c r="AE146" s="1555"/>
      <c r="AF146" s="1516">
        <f t="shared" si="41"/>
        <v>0</v>
      </c>
      <c r="AG146" s="1516">
        <v>100</v>
      </c>
      <c r="AH146" s="1509" t="s">
        <v>426</v>
      </c>
      <c r="AI146" s="1509" t="s">
        <v>1971</v>
      </c>
    </row>
    <row r="147" spans="1:35" ht="33.75" x14ac:dyDescent="0.25">
      <c r="A147" s="1527">
        <v>40</v>
      </c>
      <c r="B147" s="1548" t="s">
        <v>2108</v>
      </c>
      <c r="C147" s="1527" t="s">
        <v>2109</v>
      </c>
      <c r="D147" s="1528">
        <v>6303</v>
      </c>
      <c r="E147" s="1528">
        <v>150</v>
      </c>
      <c r="F147" s="1529">
        <v>4730</v>
      </c>
      <c r="G147" s="1529"/>
      <c r="H147" s="1528">
        <v>95</v>
      </c>
      <c r="I147" s="1528">
        <v>95</v>
      </c>
      <c r="J147" s="1544"/>
      <c r="K147" s="1544"/>
      <c r="L147" s="1528"/>
      <c r="M147" s="1528"/>
      <c r="N147" s="1544"/>
      <c r="O147" s="1544"/>
      <c r="P147" s="1555">
        <v>34</v>
      </c>
      <c r="Q147" s="1555">
        <v>34</v>
      </c>
      <c r="R147" s="1555"/>
      <c r="S147" s="1555"/>
      <c r="T147" s="1516">
        <f t="shared" si="25"/>
        <v>4859</v>
      </c>
      <c r="U147" s="1516">
        <f t="shared" si="26"/>
        <v>129</v>
      </c>
      <c r="V147" s="1528">
        <v>129</v>
      </c>
      <c r="W147" s="1528">
        <v>129</v>
      </c>
      <c r="X147" s="1555"/>
      <c r="Y147" s="1555"/>
      <c r="Z147" s="1516">
        <f t="shared" si="24"/>
        <v>129</v>
      </c>
      <c r="AA147" s="1516">
        <f t="shared" si="24"/>
        <v>129</v>
      </c>
      <c r="AB147" s="1516">
        <f t="shared" si="27"/>
        <v>0</v>
      </c>
      <c r="AC147" s="1555"/>
      <c r="AD147" s="1555"/>
      <c r="AE147" s="1555"/>
      <c r="AF147" s="1555"/>
      <c r="AG147" s="1516">
        <v>100</v>
      </c>
      <c r="AH147" s="1527" t="s">
        <v>418</v>
      </c>
      <c r="AI147" s="1509" t="s">
        <v>1971</v>
      </c>
    </row>
    <row r="148" spans="1:35" ht="22.5" x14ac:dyDescent="0.25">
      <c r="A148" s="1527">
        <v>41</v>
      </c>
      <c r="B148" s="1526" t="s">
        <v>2110</v>
      </c>
      <c r="C148" s="1527"/>
      <c r="D148" s="1529">
        <v>13500</v>
      </c>
      <c r="E148" s="1529">
        <v>13500</v>
      </c>
      <c r="F148" s="1529">
        <v>6500</v>
      </c>
      <c r="G148" s="1529">
        <v>6500</v>
      </c>
      <c r="H148" s="1528">
        <v>5641</v>
      </c>
      <c r="I148" s="1528">
        <v>5641</v>
      </c>
      <c r="J148" s="1544"/>
      <c r="K148" s="1544"/>
      <c r="L148" s="1528"/>
      <c r="M148" s="1528"/>
      <c r="N148" s="1544"/>
      <c r="O148" s="1544"/>
      <c r="P148" s="1555"/>
      <c r="Q148" s="1555"/>
      <c r="R148" s="1555"/>
      <c r="S148" s="1555"/>
      <c r="T148" s="1516">
        <f t="shared" si="25"/>
        <v>12141</v>
      </c>
      <c r="U148" s="1516">
        <f t="shared" si="26"/>
        <v>12141</v>
      </c>
      <c r="V148" s="1528">
        <v>5641</v>
      </c>
      <c r="W148" s="1528">
        <v>5641</v>
      </c>
      <c r="X148" s="1555"/>
      <c r="Y148" s="1555"/>
      <c r="Z148" s="1516">
        <f t="shared" ref="Z148:AA207" si="42">H148+L148+P148</f>
        <v>5641</v>
      </c>
      <c r="AA148" s="1516">
        <f t="shared" si="42"/>
        <v>5641</v>
      </c>
      <c r="AB148" s="1516">
        <f t="shared" si="27"/>
        <v>0</v>
      </c>
      <c r="AC148" s="1555"/>
      <c r="AD148" s="1555"/>
      <c r="AE148" s="1555"/>
      <c r="AF148" s="1555"/>
      <c r="AG148" s="1516">
        <v>100</v>
      </c>
      <c r="AH148" s="1509" t="s">
        <v>423</v>
      </c>
      <c r="AI148" s="1509" t="s">
        <v>1971</v>
      </c>
    </row>
    <row r="149" spans="1:35" ht="22.5" x14ac:dyDescent="0.25">
      <c r="A149" s="1527">
        <v>42</v>
      </c>
      <c r="B149" s="1586" t="s">
        <v>2111</v>
      </c>
      <c r="C149" s="1527" t="s">
        <v>2112</v>
      </c>
      <c r="D149" s="1536">
        <v>8349</v>
      </c>
      <c r="E149" s="1536">
        <v>629</v>
      </c>
      <c r="F149" s="1529">
        <v>7422</v>
      </c>
      <c r="G149" s="1529"/>
      <c r="H149" s="1528">
        <v>628</v>
      </c>
      <c r="I149" s="1528">
        <v>628</v>
      </c>
      <c r="J149" s="1544"/>
      <c r="K149" s="1555">
        <v>118</v>
      </c>
      <c r="L149" s="1528"/>
      <c r="M149" s="1528"/>
      <c r="N149" s="1544"/>
      <c r="O149" s="1544"/>
      <c r="P149" s="1555"/>
      <c r="Q149" s="1555"/>
      <c r="R149" s="1555"/>
      <c r="S149" s="1555"/>
      <c r="T149" s="1516">
        <f t="shared" si="25"/>
        <v>8050</v>
      </c>
      <c r="U149" s="1516">
        <f t="shared" si="26"/>
        <v>628</v>
      </c>
      <c r="V149" s="1528">
        <v>628</v>
      </c>
      <c r="W149" s="1528">
        <v>628</v>
      </c>
      <c r="X149" s="1555"/>
      <c r="Y149" s="1555">
        <v>118</v>
      </c>
      <c r="Z149" s="1516">
        <f t="shared" si="42"/>
        <v>628</v>
      </c>
      <c r="AA149" s="1516">
        <f t="shared" si="42"/>
        <v>628</v>
      </c>
      <c r="AB149" s="1516">
        <f t="shared" si="27"/>
        <v>0</v>
      </c>
      <c r="AC149" s="1555"/>
      <c r="AD149" s="1555"/>
      <c r="AE149" s="1555"/>
      <c r="AF149" s="1516">
        <f>Y149-K149-O149-S149</f>
        <v>0</v>
      </c>
      <c r="AG149" s="1516">
        <v>100</v>
      </c>
      <c r="AH149" s="1509" t="s">
        <v>426</v>
      </c>
      <c r="AI149" s="1509" t="s">
        <v>1971</v>
      </c>
    </row>
    <row r="150" spans="1:35" ht="33.75" x14ac:dyDescent="0.25">
      <c r="A150" s="1527">
        <v>43</v>
      </c>
      <c r="B150" s="1526" t="s">
        <v>2113</v>
      </c>
      <c r="C150" s="1509" t="s">
        <v>2114</v>
      </c>
      <c r="D150" s="1528">
        <v>13562</v>
      </c>
      <c r="E150" s="1528">
        <v>13562</v>
      </c>
      <c r="F150" s="1529">
        <v>12216</v>
      </c>
      <c r="G150" s="1529">
        <v>12216</v>
      </c>
      <c r="H150" s="1528">
        <v>157</v>
      </c>
      <c r="I150" s="1528">
        <v>157</v>
      </c>
      <c r="J150" s="1544"/>
      <c r="K150" s="1544"/>
      <c r="L150" s="1528"/>
      <c r="M150" s="1528"/>
      <c r="N150" s="1544"/>
      <c r="O150" s="1544"/>
      <c r="P150" s="1555"/>
      <c r="Q150" s="1555"/>
      <c r="R150" s="1555"/>
      <c r="S150" s="1555"/>
      <c r="T150" s="1516">
        <f t="shared" ref="T150:T213" si="43">F150+H150+L150+P150</f>
        <v>12373</v>
      </c>
      <c r="U150" s="1516">
        <f t="shared" ref="U150:U213" si="44">G150+I150+M150+Q150+R150</f>
        <v>12373</v>
      </c>
      <c r="V150" s="1528">
        <v>157</v>
      </c>
      <c r="W150" s="1528">
        <v>157</v>
      </c>
      <c r="X150" s="1555"/>
      <c r="Y150" s="1555"/>
      <c r="Z150" s="1516">
        <f t="shared" si="42"/>
        <v>157</v>
      </c>
      <c r="AA150" s="1516">
        <f t="shared" si="42"/>
        <v>157</v>
      </c>
      <c r="AB150" s="1516">
        <f t="shared" ref="AB150:AB213" si="45">W150-AA150</f>
        <v>0</v>
      </c>
      <c r="AC150" s="1555"/>
      <c r="AD150" s="1555"/>
      <c r="AE150" s="1555"/>
      <c r="AF150" s="1555"/>
      <c r="AG150" s="1516">
        <v>100</v>
      </c>
      <c r="AH150" s="1509" t="s">
        <v>422</v>
      </c>
      <c r="AI150" s="1509" t="s">
        <v>1971</v>
      </c>
    </row>
    <row r="151" spans="1:35" ht="33.75" x14ac:dyDescent="0.25">
      <c r="A151" s="1527">
        <v>44</v>
      </c>
      <c r="B151" s="1526" t="s">
        <v>2115</v>
      </c>
      <c r="C151" s="1509" t="s">
        <v>2116</v>
      </c>
      <c r="D151" s="1528">
        <v>14491</v>
      </c>
      <c r="E151" s="1529">
        <v>1902</v>
      </c>
      <c r="F151" s="1528">
        <f>D151-I151</f>
        <v>12898</v>
      </c>
      <c r="G151" s="1528">
        <f>E151-I151</f>
        <v>309</v>
      </c>
      <c r="H151" s="1549">
        <v>1593</v>
      </c>
      <c r="I151" s="1549">
        <v>1593</v>
      </c>
      <c r="J151" s="1544"/>
      <c r="K151" s="1555">
        <v>1593</v>
      </c>
      <c r="L151" s="1549">
        <v>0</v>
      </c>
      <c r="M151" s="1549">
        <v>0</v>
      </c>
      <c r="N151" s="1544"/>
      <c r="O151" s="1544"/>
      <c r="P151" s="1555"/>
      <c r="Q151" s="1555"/>
      <c r="R151" s="1555"/>
      <c r="S151" s="1555"/>
      <c r="T151" s="1516">
        <f t="shared" si="43"/>
        <v>14491</v>
      </c>
      <c r="U151" s="1516">
        <f t="shared" si="44"/>
        <v>1902</v>
      </c>
      <c r="V151" s="1549">
        <v>1607</v>
      </c>
      <c r="W151" s="1549">
        <v>1607</v>
      </c>
      <c r="X151" s="1555"/>
      <c r="Y151" s="1555">
        <v>1607</v>
      </c>
      <c r="Z151" s="1516">
        <f t="shared" si="42"/>
        <v>1593</v>
      </c>
      <c r="AA151" s="1516">
        <f t="shared" si="42"/>
        <v>1593</v>
      </c>
      <c r="AB151" s="1516">
        <f t="shared" si="45"/>
        <v>14</v>
      </c>
      <c r="AC151" s="1555"/>
      <c r="AD151" s="1555"/>
      <c r="AE151" s="1555"/>
      <c r="AF151" s="1516"/>
      <c r="AG151" s="1516">
        <v>100</v>
      </c>
      <c r="AH151" s="1527" t="s">
        <v>425</v>
      </c>
      <c r="AI151" s="1509" t="s">
        <v>1971</v>
      </c>
    </row>
    <row r="152" spans="1:35" ht="22.5" x14ac:dyDescent="0.25">
      <c r="A152" s="1527">
        <v>45</v>
      </c>
      <c r="B152" s="1526" t="s">
        <v>2117</v>
      </c>
      <c r="C152" s="1509" t="s">
        <v>2118</v>
      </c>
      <c r="D152" s="1528">
        <v>1914</v>
      </c>
      <c r="E152" s="1528">
        <v>124</v>
      </c>
      <c r="F152" s="1529">
        <v>1854</v>
      </c>
      <c r="G152" s="1529"/>
      <c r="H152" s="1528">
        <v>60</v>
      </c>
      <c r="I152" s="1528">
        <v>60</v>
      </c>
      <c r="J152" s="1544"/>
      <c r="K152" s="1544"/>
      <c r="L152" s="1528">
        <v>64</v>
      </c>
      <c r="M152" s="1528">
        <v>64</v>
      </c>
      <c r="N152" s="1544"/>
      <c r="O152" s="1544"/>
      <c r="P152" s="1555"/>
      <c r="Q152" s="1555"/>
      <c r="R152" s="1555"/>
      <c r="S152" s="1555"/>
      <c r="T152" s="1516">
        <f t="shared" si="43"/>
        <v>1978</v>
      </c>
      <c r="U152" s="1516">
        <f t="shared" si="44"/>
        <v>124</v>
      </c>
      <c r="V152" s="1528">
        <v>124</v>
      </c>
      <c r="W152" s="1528">
        <v>124</v>
      </c>
      <c r="X152" s="1555"/>
      <c r="Y152" s="1555"/>
      <c r="Z152" s="1516">
        <f t="shared" si="42"/>
        <v>124</v>
      </c>
      <c r="AA152" s="1516">
        <f t="shared" si="42"/>
        <v>124</v>
      </c>
      <c r="AB152" s="1516">
        <f t="shared" si="45"/>
        <v>0</v>
      </c>
      <c r="AC152" s="1555"/>
      <c r="AD152" s="1555"/>
      <c r="AE152" s="1555"/>
      <c r="AF152" s="1555"/>
      <c r="AG152" s="1516">
        <v>100</v>
      </c>
      <c r="AH152" s="1527" t="s">
        <v>172</v>
      </c>
      <c r="AI152" s="1509" t="s">
        <v>1971</v>
      </c>
    </row>
    <row r="153" spans="1:35" ht="22.5" x14ac:dyDescent="0.25">
      <c r="A153" s="1527">
        <v>46</v>
      </c>
      <c r="B153" s="1526" t="s">
        <v>2119</v>
      </c>
      <c r="C153" s="1509" t="s">
        <v>2120</v>
      </c>
      <c r="D153" s="1528">
        <v>17247</v>
      </c>
      <c r="E153" s="1528"/>
      <c r="F153" s="1529">
        <v>14339</v>
      </c>
      <c r="G153" s="1529"/>
      <c r="H153" s="1528">
        <v>64</v>
      </c>
      <c r="I153" s="1528">
        <v>64</v>
      </c>
      <c r="J153" s="1544"/>
      <c r="K153" s="1555">
        <v>60</v>
      </c>
      <c r="L153" s="1528">
        <v>1</v>
      </c>
      <c r="M153" s="1528">
        <v>1</v>
      </c>
      <c r="N153" s="1544"/>
      <c r="O153" s="1544"/>
      <c r="P153" s="1555"/>
      <c r="Q153" s="1555"/>
      <c r="R153" s="1555"/>
      <c r="S153" s="1555"/>
      <c r="T153" s="1516">
        <f t="shared" si="43"/>
        <v>14404</v>
      </c>
      <c r="U153" s="1516">
        <f t="shared" si="44"/>
        <v>65</v>
      </c>
      <c r="V153" s="1528">
        <v>65</v>
      </c>
      <c r="W153" s="1528">
        <v>65</v>
      </c>
      <c r="X153" s="1555"/>
      <c r="Y153" s="1555">
        <v>60</v>
      </c>
      <c r="Z153" s="1516">
        <f t="shared" si="42"/>
        <v>65</v>
      </c>
      <c r="AA153" s="1516">
        <f t="shared" si="42"/>
        <v>65</v>
      </c>
      <c r="AB153" s="1516">
        <f t="shared" si="45"/>
        <v>0</v>
      </c>
      <c r="AC153" s="1555"/>
      <c r="AD153" s="1555"/>
      <c r="AE153" s="1555"/>
      <c r="AF153" s="1516">
        <f>Y153-K153-O153-S153</f>
        <v>0</v>
      </c>
      <c r="AG153" s="1516">
        <v>100</v>
      </c>
      <c r="AH153" s="1527" t="s">
        <v>172</v>
      </c>
      <c r="AI153" s="1509" t="s">
        <v>1971</v>
      </c>
    </row>
    <row r="154" spans="1:35" ht="33.75" x14ac:dyDescent="0.25">
      <c r="A154" s="1527">
        <v>47</v>
      </c>
      <c r="B154" s="1548" t="s">
        <v>2121</v>
      </c>
      <c r="C154" s="1509" t="s">
        <v>2122</v>
      </c>
      <c r="D154" s="1529">
        <v>1602.06</v>
      </c>
      <c r="E154" s="1529">
        <v>64</v>
      </c>
      <c r="F154" s="1529">
        <f>D154-I154</f>
        <v>1602.06</v>
      </c>
      <c r="G154" s="1529"/>
      <c r="H154" s="1528"/>
      <c r="I154" s="1528"/>
      <c r="J154" s="1544"/>
      <c r="K154" s="1544"/>
      <c r="L154" s="1528">
        <v>64</v>
      </c>
      <c r="M154" s="1528">
        <v>64</v>
      </c>
      <c r="N154" s="1544"/>
      <c r="O154" s="1544"/>
      <c r="P154" s="1555"/>
      <c r="Q154" s="1555"/>
      <c r="R154" s="1555"/>
      <c r="S154" s="1555"/>
      <c r="T154" s="1516">
        <f t="shared" si="43"/>
        <v>1666.06</v>
      </c>
      <c r="U154" s="1516">
        <f t="shared" si="44"/>
        <v>64</v>
      </c>
      <c r="V154" s="1528">
        <v>64</v>
      </c>
      <c r="W154" s="1528">
        <v>64</v>
      </c>
      <c r="X154" s="1555"/>
      <c r="Y154" s="1555"/>
      <c r="Z154" s="1516">
        <f t="shared" si="42"/>
        <v>64</v>
      </c>
      <c r="AA154" s="1516">
        <f t="shared" si="42"/>
        <v>64</v>
      </c>
      <c r="AB154" s="1516">
        <f t="shared" si="45"/>
        <v>0</v>
      </c>
      <c r="AC154" s="1555"/>
      <c r="AD154" s="1555"/>
      <c r="AE154" s="1555"/>
      <c r="AF154" s="1555"/>
      <c r="AG154" s="1516">
        <v>100</v>
      </c>
      <c r="AH154" s="1527" t="s">
        <v>172</v>
      </c>
      <c r="AI154" s="1509" t="s">
        <v>1971</v>
      </c>
    </row>
    <row r="155" spans="1:35" ht="33.75" x14ac:dyDescent="0.25">
      <c r="A155" s="1527">
        <v>48</v>
      </c>
      <c r="B155" s="1586" t="s">
        <v>2123</v>
      </c>
      <c r="C155" s="1509" t="s">
        <v>2124</v>
      </c>
      <c r="D155" s="1529">
        <v>14654</v>
      </c>
      <c r="E155" s="1529">
        <v>2</v>
      </c>
      <c r="F155" s="1529">
        <v>11575</v>
      </c>
      <c r="G155" s="1529">
        <v>1500</v>
      </c>
      <c r="H155" s="1528"/>
      <c r="I155" s="1528"/>
      <c r="J155" s="1544"/>
      <c r="K155" s="1544"/>
      <c r="L155" s="1528">
        <v>0</v>
      </c>
      <c r="M155" s="1528">
        <v>0</v>
      </c>
      <c r="N155" s="1544"/>
      <c r="O155" s="1544"/>
      <c r="P155" s="1555"/>
      <c r="Q155" s="1555"/>
      <c r="R155" s="1555"/>
      <c r="S155" s="1555"/>
      <c r="T155" s="1516">
        <f t="shared" si="43"/>
        <v>11575</v>
      </c>
      <c r="U155" s="1516">
        <f t="shared" si="44"/>
        <v>1500</v>
      </c>
      <c r="V155" s="1528">
        <v>2</v>
      </c>
      <c r="W155" s="1528">
        <v>2</v>
      </c>
      <c r="X155" s="1555"/>
      <c r="Y155" s="1555"/>
      <c r="Z155" s="1516">
        <f t="shared" si="42"/>
        <v>0</v>
      </c>
      <c r="AA155" s="1516">
        <f t="shared" si="42"/>
        <v>0</v>
      </c>
      <c r="AB155" s="1516">
        <f t="shared" si="45"/>
        <v>2</v>
      </c>
      <c r="AC155" s="1555"/>
      <c r="AD155" s="1555"/>
      <c r="AE155" s="1555"/>
      <c r="AF155" s="1555"/>
      <c r="AG155" s="1516">
        <v>100</v>
      </c>
      <c r="AH155" s="1527" t="s">
        <v>172</v>
      </c>
      <c r="AI155" s="1509" t="s">
        <v>1971</v>
      </c>
    </row>
    <row r="156" spans="1:35" ht="22.5" x14ac:dyDescent="0.25">
      <c r="A156" s="1527">
        <v>49</v>
      </c>
      <c r="B156" s="1586" t="s">
        <v>2125</v>
      </c>
      <c r="C156" s="1509" t="s">
        <v>2126</v>
      </c>
      <c r="D156" s="1529">
        <v>6720</v>
      </c>
      <c r="E156" s="1529">
        <v>48</v>
      </c>
      <c r="F156" s="1529">
        <v>6589</v>
      </c>
      <c r="G156" s="1529">
        <v>1067</v>
      </c>
      <c r="H156" s="1528"/>
      <c r="I156" s="1528"/>
      <c r="J156" s="1544"/>
      <c r="K156" s="1544"/>
      <c r="L156" s="1528">
        <v>37</v>
      </c>
      <c r="M156" s="1528">
        <v>37</v>
      </c>
      <c r="N156" s="1544"/>
      <c r="O156" s="1544"/>
      <c r="P156" s="1555"/>
      <c r="Q156" s="1555"/>
      <c r="R156" s="1555"/>
      <c r="S156" s="1555"/>
      <c r="T156" s="1516">
        <f t="shared" si="43"/>
        <v>6626</v>
      </c>
      <c r="U156" s="1516">
        <f t="shared" si="44"/>
        <v>1104</v>
      </c>
      <c r="V156" s="1528">
        <v>48</v>
      </c>
      <c r="W156" s="1528">
        <v>48</v>
      </c>
      <c r="X156" s="1555"/>
      <c r="Y156" s="1555"/>
      <c r="Z156" s="1516">
        <f t="shared" si="42"/>
        <v>37</v>
      </c>
      <c r="AA156" s="1516">
        <f t="shared" si="42"/>
        <v>37</v>
      </c>
      <c r="AB156" s="1516">
        <f t="shared" si="45"/>
        <v>11</v>
      </c>
      <c r="AC156" s="1555"/>
      <c r="AD156" s="1555"/>
      <c r="AE156" s="1555"/>
      <c r="AF156" s="1555"/>
      <c r="AG156" s="1516">
        <v>100</v>
      </c>
      <c r="AH156" s="1527" t="s">
        <v>172</v>
      </c>
      <c r="AI156" s="1509" t="s">
        <v>1971</v>
      </c>
    </row>
    <row r="157" spans="1:35" ht="22.5" x14ac:dyDescent="0.25">
      <c r="A157" s="1527">
        <v>50</v>
      </c>
      <c r="B157" s="1586" t="s">
        <v>2127</v>
      </c>
      <c r="C157" s="1591" t="s">
        <v>2128</v>
      </c>
      <c r="D157" s="1529">
        <v>3720.55</v>
      </c>
      <c r="E157" s="1529">
        <v>44</v>
      </c>
      <c r="F157" s="1529">
        <f>D157-I157</f>
        <v>3720.55</v>
      </c>
      <c r="G157" s="1529"/>
      <c r="H157" s="1528"/>
      <c r="I157" s="1528"/>
      <c r="J157" s="1544"/>
      <c r="K157" s="1544"/>
      <c r="L157" s="1528">
        <v>19</v>
      </c>
      <c r="M157" s="1528">
        <v>19</v>
      </c>
      <c r="N157" s="1544"/>
      <c r="O157" s="1544"/>
      <c r="P157" s="1555"/>
      <c r="Q157" s="1555"/>
      <c r="R157" s="1555"/>
      <c r="S157" s="1555"/>
      <c r="T157" s="1516">
        <f t="shared" si="43"/>
        <v>3739.55</v>
      </c>
      <c r="U157" s="1516">
        <f t="shared" si="44"/>
        <v>19</v>
      </c>
      <c r="V157" s="1528">
        <v>44</v>
      </c>
      <c r="W157" s="1528">
        <v>44</v>
      </c>
      <c r="X157" s="1555"/>
      <c r="Y157" s="1555"/>
      <c r="Z157" s="1516">
        <f t="shared" si="42"/>
        <v>19</v>
      </c>
      <c r="AA157" s="1516">
        <f t="shared" si="42"/>
        <v>19</v>
      </c>
      <c r="AB157" s="1516">
        <f t="shared" si="45"/>
        <v>25</v>
      </c>
      <c r="AC157" s="1555"/>
      <c r="AD157" s="1555"/>
      <c r="AE157" s="1555"/>
      <c r="AF157" s="1555"/>
      <c r="AG157" s="1516">
        <v>100</v>
      </c>
      <c r="AH157" s="1527" t="s">
        <v>172</v>
      </c>
      <c r="AI157" s="1509" t="s">
        <v>1971</v>
      </c>
    </row>
    <row r="158" spans="1:35" ht="56.25" x14ac:dyDescent="0.25">
      <c r="A158" s="1527">
        <v>51</v>
      </c>
      <c r="B158" s="1592" t="s">
        <v>2129</v>
      </c>
      <c r="C158" s="1593" t="s">
        <v>2130</v>
      </c>
      <c r="D158" s="1594">
        <v>8767.5469670000002</v>
      </c>
      <c r="E158" s="1594">
        <v>8767.5469670000002</v>
      </c>
      <c r="F158" s="1594">
        <v>1500</v>
      </c>
      <c r="G158" s="1594">
        <v>1500</v>
      </c>
      <c r="H158" s="1528"/>
      <c r="I158" s="1528"/>
      <c r="J158" s="1544"/>
      <c r="K158" s="1544"/>
      <c r="L158" s="1528">
        <v>3733</v>
      </c>
      <c r="M158" s="1528">
        <v>3733</v>
      </c>
      <c r="N158" s="1544"/>
      <c r="O158" s="1544">
        <v>3733</v>
      </c>
      <c r="P158" s="1555"/>
      <c r="Q158" s="1555"/>
      <c r="R158" s="1555"/>
      <c r="S158" s="1555"/>
      <c r="T158" s="1516">
        <f t="shared" si="43"/>
        <v>5233</v>
      </c>
      <c r="U158" s="1516">
        <f t="shared" si="44"/>
        <v>5233</v>
      </c>
      <c r="V158" s="1528">
        <v>3733</v>
      </c>
      <c r="W158" s="1528">
        <v>3733</v>
      </c>
      <c r="X158" s="1555"/>
      <c r="Y158" s="1555">
        <v>3733</v>
      </c>
      <c r="Z158" s="1516">
        <f t="shared" si="42"/>
        <v>3733</v>
      </c>
      <c r="AA158" s="1516">
        <f t="shared" si="42"/>
        <v>3733</v>
      </c>
      <c r="AB158" s="1516">
        <f t="shared" si="45"/>
        <v>0</v>
      </c>
      <c r="AC158" s="1555"/>
      <c r="AD158" s="1555"/>
      <c r="AE158" s="1555"/>
      <c r="AF158" s="1516">
        <f t="shared" ref="AF158:AF159" si="46">Y158-K158-O158-S158</f>
        <v>0</v>
      </c>
      <c r="AG158" s="1516">
        <v>100</v>
      </c>
      <c r="AH158" s="1509" t="s">
        <v>983</v>
      </c>
      <c r="AI158" s="1509" t="s">
        <v>1971</v>
      </c>
    </row>
    <row r="159" spans="1:35" ht="56.25" x14ac:dyDescent="0.25">
      <c r="A159" s="1527">
        <v>52</v>
      </c>
      <c r="B159" s="1592" t="s">
        <v>2131</v>
      </c>
      <c r="C159" s="1593" t="s">
        <v>2132</v>
      </c>
      <c r="D159" s="1594">
        <v>9079.3379210000003</v>
      </c>
      <c r="E159" s="1594">
        <v>9079.3379210000003</v>
      </c>
      <c r="F159" s="1594">
        <v>300</v>
      </c>
      <c r="G159" s="1594">
        <v>300</v>
      </c>
      <c r="H159" s="1528"/>
      <c r="I159" s="1528"/>
      <c r="J159" s="1544"/>
      <c r="K159" s="1544"/>
      <c r="L159" s="1528">
        <v>5259</v>
      </c>
      <c r="M159" s="1528">
        <v>5259</v>
      </c>
      <c r="N159" s="1544"/>
      <c r="O159" s="1544">
        <v>5259</v>
      </c>
      <c r="P159" s="1555"/>
      <c r="Q159" s="1555"/>
      <c r="R159" s="1555"/>
      <c r="S159" s="1555"/>
      <c r="T159" s="1516">
        <f t="shared" si="43"/>
        <v>5559</v>
      </c>
      <c r="U159" s="1516">
        <f t="shared" si="44"/>
        <v>5559</v>
      </c>
      <c r="V159" s="1528">
        <v>5259</v>
      </c>
      <c r="W159" s="1528">
        <v>5259</v>
      </c>
      <c r="X159" s="1555"/>
      <c r="Y159" s="1555">
        <v>5259</v>
      </c>
      <c r="Z159" s="1516">
        <f t="shared" si="42"/>
        <v>5259</v>
      </c>
      <c r="AA159" s="1516">
        <f t="shared" si="42"/>
        <v>5259</v>
      </c>
      <c r="AB159" s="1516">
        <f t="shared" si="45"/>
        <v>0</v>
      </c>
      <c r="AC159" s="1555"/>
      <c r="AD159" s="1555"/>
      <c r="AE159" s="1555"/>
      <c r="AF159" s="1516">
        <f t="shared" si="46"/>
        <v>0</v>
      </c>
      <c r="AG159" s="1516">
        <v>100</v>
      </c>
      <c r="AH159" s="1509" t="s">
        <v>983</v>
      </c>
      <c r="AI159" s="1509" t="s">
        <v>1971</v>
      </c>
    </row>
    <row r="160" spans="1:35" ht="56.25" x14ac:dyDescent="0.25">
      <c r="A160" s="1527">
        <v>53</v>
      </c>
      <c r="B160" s="1592" t="s">
        <v>2133</v>
      </c>
      <c r="C160" s="1593" t="s">
        <v>2134</v>
      </c>
      <c r="D160" s="1594">
        <v>13804.413500000001</v>
      </c>
      <c r="E160" s="1594">
        <v>13804.413500000001</v>
      </c>
      <c r="F160" s="1528">
        <v>5900</v>
      </c>
      <c r="G160" s="1528">
        <v>5900</v>
      </c>
      <c r="H160" s="1528"/>
      <c r="I160" s="1528"/>
      <c r="J160" s="1544"/>
      <c r="K160" s="1544"/>
      <c r="L160" s="1528">
        <v>1436</v>
      </c>
      <c r="M160" s="1528">
        <v>1436</v>
      </c>
      <c r="N160" s="1544"/>
      <c r="O160" s="1544">
        <v>1436</v>
      </c>
      <c r="P160" s="1555"/>
      <c r="Q160" s="1555"/>
      <c r="R160" s="1555"/>
      <c r="S160" s="1555"/>
      <c r="T160" s="1516">
        <f t="shared" si="43"/>
        <v>7336</v>
      </c>
      <c r="U160" s="1516">
        <f t="shared" si="44"/>
        <v>7336</v>
      </c>
      <c r="V160" s="1528">
        <v>1904</v>
      </c>
      <c r="W160" s="1528">
        <v>1904</v>
      </c>
      <c r="X160" s="1555"/>
      <c r="Y160" s="1555">
        <v>1904</v>
      </c>
      <c r="Z160" s="1516">
        <f t="shared" si="42"/>
        <v>1436</v>
      </c>
      <c r="AA160" s="1516">
        <f t="shared" si="42"/>
        <v>1436</v>
      </c>
      <c r="AB160" s="1516">
        <f t="shared" si="45"/>
        <v>468</v>
      </c>
      <c r="AC160" s="1555"/>
      <c r="AD160" s="1555"/>
      <c r="AE160" s="1555"/>
      <c r="AF160" s="1516"/>
      <c r="AG160" s="1516">
        <v>100</v>
      </c>
      <c r="AH160" s="1509" t="s">
        <v>983</v>
      </c>
      <c r="AI160" s="1509" t="s">
        <v>1971</v>
      </c>
    </row>
    <row r="161" spans="1:35" ht="22.5" x14ac:dyDescent="0.25">
      <c r="A161" s="1527">
        <v>54</v>
      </c>
      <c r="B161" s="1584" t="s">
        <v>2135</v>
      </c>
      <c r="C161" s="1509" t="s">
        <v>2136</v>
      </c>
      <c r="D161" s="1549">
        <v>6056</v>
      </c>
      <c r="E161" s="1549">
        <v>6056</v>
      </c>
      <c r="F161" s="1529">
        <v>2500</v>
      </c>
      <c r="G161" s="1529"/>
      <c r="H161" s="1549"/>
      <c r="I161" s="1549"/>
      <c r="J161" s="1544"/>
      <c r="K161" s="1544"/>
      <c r="L161" s="1549">
        <v>3303</v>
      </c>
      <c r="M161" s="1549">
        <v>3303</v>
      </c>
      <c r="N161" s="1544"/>
      <c r="O161" s="1544"/>
      <c r="P161" s="1555"/>
      <c r="Q161" s="1555"/>
      <c r="R161" s="1555"/>
      <c r="S161" s="1555"/>
      <c r="T161" s="1516">
        <f t="shared" si="43"/>
        <v>5803</v>
      </c>
      <c r="U161" s="1516">
        <f t="shared" si="44"/>
        <v>3303</v>
      </c>
      <c r="V161" s="1528">
        <v>3502</v>
      </c>
      <c r="W161" s="1528">
        <v>3502</v>
      </c>
      <c r="X161" s="1555"/>
      <c r="Y161" s="1555"/>
      <c r="Z161" s="1516">
        <f t="shared" si="42"/>
        <v>3303</v>
      </c>
      <c r="AA161" s="1516">
        <f t="shared" si="42"/>
        <v>3303</v>
      </c>
      <c r="AB161" s="1516">
        <f t="shared" si="45"/>
        <v>199</v>
      </c>
      <c r="AC161" s="1555"/>
      <c r="AD161" s="1555"/>
      <c r="AE161" s="1555"/>
      <c r="AF161" s="1555"/>
      <c r="AG161" s="1516">
        <v>100</v>
      </c>
      <c r="AH161" s="1509" t="s">
        <v>608</v>
      </c>
      <c r="AI161" s="1509" t="s">
        <v>1971</v>
      </c>
    </row>
    <row r="162" spans="1:35" ht="22.5" x14ac:dyDescent="0.25">
      <c r="A162" s="1527">
        <v>55</v>
      </c>
      <c r="B162" s="1554" t="s">
        <v>2137</v>
      </c>
      <c r="C162" s="1509" t="s">
        <v>2138</v>
      </c>
      <c r="D162" s="1536">
        <v>6759</v>
      </c>
      <c r="E162" s="1528">
        <f>D162</f>
        <v>6759</v>
      </c>
      <c r="F162" s="1528">
        <v>5782</v>
      </c>
      <c r="G162" s="1528"/>
      <c r="H162" s="1528"/>
      <c r="I162" s="1528"/>
      <c r="J162" s="1544"/>
      <c r="K162" s="1544"/>
      <c r="L162" s="1528">
        <v>279</v>
      </c>
      <c r="M162" s="1528">
        <v>279</v>
      </c>
      <c r="N162" s="1544"/>
      <c r="O162" s="1528">
        <v>279</v>
      </c>
      <c r="P162" s="1555"/>
      <c r="Q162" s="1555"/>
      <c r="R162" s="1555"/>
      <c r="S162" s="1555"/>
      <c r="T162" s="1516">
        <f t="shared" si="43"/>
        <v>6061</v>
      </c>
      <c r="U162" s="1516">
        <f t="shared" si="44"/>
        <v>279</v>
      </c>
      <c r="V162" s="1528">
        <v>282</v>
      </c>
      <c r="W162" s="1528">
        <v>282</v>
      </c>
      <c r="X162" s="1555"/>
      <c r="Y162" s="1555">
        <v>282</v>
      </c>
      <c r="Z162" s="1516">
        <f t="shared" si="42"/>
        <v>279</v>
      </c>
      <c r="AA162" s="1516">
        <f t="shared" si="42"/>
        <v>279</v>
      </c>
      <c r="AB162" s="1516">
        <f t="shared" si="45"/>
        <v>3</v>
      </c>
      <c r="AC162" s="1555"/>
      <c r="AD162" s="1555"/>
      <c r="AE162" s="1555"/>
      <c r="AF162" s="1516"/>
      <c r="AG162" s="1516">
        <v>100</v>
      </c>
      <c r="AH162" s="1509" t="s">
        <v>422</v>
      </c>
      <c r="AI162" s="1509" t="s">
        <v>1971</v>
      </c>
    </row>
    <row r="163" spans="1:35" ht="33.75" x14ac:dyDescent="0.25">
      <c r="A163" s="1527">
        <v>56</v>
      </c>
      <c r="B163" s="1526" t="s">
        <v>2139</v>
      </c>
      <c r="C163" s="1527" t="s">
        <v>2140</v>
      </c>
      <c r="D163" s="1536">
        <v>4156.351807</v>
      </c>
      <c r="E163" s="1536">
        <f>D163</f>
        <v>4156.351807</v>
      </c>
      <c r="F163" s="1528">
        <v>3741</v>
      </c>
      <c r="G163" s="1528"/>
      <c r="H163" s="1528"/>
      <c r="I163" s="1528"/>
      <c r="J163" s="1544"/>
      <c r="K163" s="1544"/>
      <c r="L163" s="1528">
        <v>415</v>
      </c>
      <c r="M163" s="1528">
        <v>415</v>
      </c>
      <c r="N163" s="1544"/>
      <c r="O163" s="1544"/>
      <c r="P163" s="1555"/>
      <c r="Q163" s="1555"/>
      <c r="R163" s="1555"/>
      <c r="S163" s="1555"/>
      <c r="T163" s="1516">
        <f t="shared" si="43"/>
        <v>4156</v>
      </c>
      <c r="U163" s="1516">
        <f t="shared" si="44"/>
        <v>415</v>
      </c>
      <c r="V163" s="1528">
        <v>415.35180700000001</v>
      </c>
      <c r="W163" s="1528">
        <v>415.35180700000001</v>
      </c>
      <c r="X163" s="1555"/>
      <c r="Y163" s="1555"/>
      <c r="Z163" s="1516">
        <f t="shared" si="42"/>
        <v>415</v>
      </c>
      <c r="AA163" s="1516">
        <f t="shared" si="42"/>
        <v>415</v>
      </c>
      <c r="AB163" s="1516">
        <f t="shared" si="45"/>
        <v>0.35180700000000797</v>
      </c>
      <c r="AC163" s="1555"/>
      <c r="AD163" s="1555"/>
      <c r="AE163" s="1555"/>
      <c r="AF163" s="1555"/>
      <c r="AG163" s="1516">
        <v>100</v>
      </c>
      <c r="AH163" s="1509" t="s">
        <v>423</v>
      </c>
      <c r="AI163" s="1509" t="s">
        <v>1971</v>
      </c>
    </row>
    <row r="164" spans="1:35" ht="56.25" x14ac:dyDescent="0.25">
      <c r="A164" s="1527">
        <v>57</v>
      </c>
      <c r="B164" s="1526" t="s">
        <v>2141</v>
      </c>
      <c r="C164" s="1509" t="s">
        <v>2142</v>
      </c>
      <c r="D164" s="1528">
        <v>3000</v>
      </c>
      <c r="E164" s="1529">
        <v>3000</v>
      </c>
      <c r="F164" s="1529">
        <v>2586</v>
      </c>
      <c r="G164" s="1529">
        <v>2586</v>
      </c>
      <c r="H164" s="1528"/>
      <c r="I164" s="1528"/>
      <c r="J164" s="1544"/>
      <c r="K164" s="1544"/>
      <c r="L164" s="1528">
        <v>3</v>
      </c>
      <c r="M164" s="1528">
        <v>3</v>
      </c>
      <c r="N164" s="1544"/>
      <c r="O164" s="1544"/>
      <c r="P164" s="1555"/>
      <c r="Q164" s="1555"/>
      <c r="R164" s="1555"/>
      <c r="S164" s="1555"/>
      <c r="T164" s="1516">
        <f t="shared" si="43"/>
        <v>2589</v>
      </c>
      <c r="U164" s="1516">
        <f t="shared" si="44"/>
        <v>2589</v>
      </c>
      <c r="V164" s="1528">
        <v>3</v>
      </c>
      <c r="W164" s="1528">
        <v>3</v>
      </c>
      <c r="X164" s="1555"/>
      <c r="Y164" s="1555"/>
      <c r="Z164" s="1516">
        <f t="shared" si="42"/>
        <v>3</v>
      </c>
      <c r="AA164" s="1516">
        <f t="shared" si="42"/>
        <v>3</v>
      </c>
      <c r="AB164" s="1516">
        <f t="shared" si="45"/>
        <v>0</v>
      </c>
      <c r="AC164" s="1555"/>
      <c r="AD164" s="1555"/>
      <c r="AE164" s="1555"/>
      <c r="AF164" s="1555"/>
      <c r="AG164" s="1516">
        <v>100</v>
      </c>
      <c r="AH164" s="1509" t="s">
        <v>983</v>
      </c>
      <c r="AI164" s="1509" t="s">
        <v>1971</v>
      </c>
    </row>
    <row r="165" spans="1:35" ht="56.25" x14ac:dyDescent="0.25">
      <c r="A165" s="1527">
        <v>58</v>
      </c>
      <c r="B165" s="1526" t="s">
        <v>2143</v>
      </c>
      <c r="C165" s="1509" t="s">
        <v>2144</v>
      </c>
      <c r="D165" s="1528">
        <v>20769</v>
      </c>
      <c r="E165" s="1529">
        <v>7</v>
      </c>
      <c r="F165" s="1529">
        <v>19070</v>
      </c>
      <c r="G165" s="1529">
        <v>19070</v>
      </c>
      <c r="H165" s="1528"/>
      <c r="I165" s="1528"/>
      <c r="J165" s="1544"/>
      <c r="K165" s="1544"/>
      <c r="L165" s="1528">
        <v>7</v>
      </c>
      <c r="M165" s="1528">
        <v>7</v>
      </c>
      <c r="N165" s="1544"/>
      <c r="O165" s="1544"/>
      <c r="P165" s="1555"/>
      <c r="Q165" s="1555"/>
      <c r="R165" s="1555"/>
      <c r="S165" s="1555"/>
      <c r="T165" s="1516">
        <f t="shared" si="43"/>
        <v>19077</v>
      </c>
      <c r="U165" s="1516">
        <f t="shared" si="44"/>
        <v>19077</v>
      </c>
      <c r="V165" s="1528">
        <v>7</v>
      </c>
      <c r="W165" s="1528">
        <v>7</v>
      </c>
      <c r="X165" s="1555"/>
      <c r="Y165" s="1555"/>
      <c r="Z165" s="1516">
        <f t="shared" si="42"/>
        <v>7</v>
      </c>
      <c r="AA165" s="1516">
        <f t="shared" si="42"/>
        <v>7</v>
      </c>
      <c r="AB165" s="1516">
        <f t="shared" si="45"/>
        <v>0</v>
      </c>
      <c r="AC165" s="1555"/>
      <c r="AD165" s="1555"/>
      <c r="AE165" s="1555"/>
      <c r="AF165" s="1555"/>
      <c r="AG165" s="1516">
        <v>100</v>
      </c>
      <c r="AH165" s="1509" t="s">
        <v>983</v>
      </c>
      <c r="AI165" s="1509" t="s">
        <v>1971</v>
      </c>
    </row>
    <row r="166" spans="1:35" ht="56.25" x14ac:dyDescent="0.25">
      <c r="A166" s="1527">
        <v>59</v>
      </c>
      <c r="B166" s="1526" t="s">
        <v>2145</v>
      </c>
      <c r="C166" s="1509" t="s">
        <v>2146</v>
      </c>
      <c r="D166" s="1528">
        <v>6409</v>
      </c>
      <c r="E166" s="1529"/>
      <c r="F166" s="1529">
        <v>5514</v>
      </c>
      <c r="G166" s="1529">
        <v>5514</v>
      </c>
      <c r="H166" s="1528"/>
      <c r="I166" s="1528"/>
      <c r="J166" s="1544"/>
      <c r="K166" s="1544"/>
      <c r="L166" s="1528">
        <v>77</v>
      </c>
      <c r="M166" s="1528">
        <v>77</v>
      </c>
      <c r="N166" s="1544"/>
      <c r="O166" s="1544"/>
      <c r="P166" s="1555"/>
      <c r="Q166" s="1555"/>
      <c r="R166" s="1555"/>
      <c r="S166" s="1555"/>
      <c r="T166" s="1516">
        <f t="shared" si="43"/>
        <v>5591</v>
      </c>
      <c r="U166" s="1516">
        <f t="shared" si="44"/>
        <v>5591</v>
      </c>
      <c r="V166" s="1528">
        <v>77</v>
      </c>
      <c r="W166" s="1528">
        <v>77</v>
      </c>
      <c r="X166" s="1555"/>
      <c r="Y166" s="1555"/>
      <c r="Z166" s="1516">
        <f t="shared" si="42"/>
        <v>77</v>
      </c>
      <c r="AA166" s="1516">
        <f t="shared" si="42"/>
        <v>77</v>
      </c>
      <c r="AB166" s="1516">
        <f t="shared" si="45"/>
        <v>0</v>
      </c>
      <c r="AC166" s="1555"/>
      <c r="AD166" s="1555"/>
      <c r="AE166" s="1555"/>
      <c r="AF166" s="1555"/>
      <c r="AG166" s="1516">
        <v>100</v>
      </c>
      <c r="AH166" s="1509" t="s">
        <v>983</v>
      </c>
      <c r="AI166" s="1509" t="s">
        <v>1971</v>
      </c>
    </row>
    <row r="167" spans="1:35" ht="33.75" x14ac:dyDescent="0.25">
      <c r="A167" s="1527">
        <v>60</v>
      </c>
      <c r="B167" s="1587" t="s">
        <v>2147</v>
      </c>
      <c r="C167" s="1588" t="s">
        <v>2148</v>
      </c>
      <c r="D167" s="1589">
        <v>3663.78</v>
      </c>
      <c r="E167" s="1589">
        <v>3663.78</v>
      </c>
      <c r="F167" s="1529">
        <v>1383</v>
      </c>
      <c r="G167" s="1529"/>
      <c r="H167" s="1528">
        <v>1536</v>
      </c>
      <c r="I167" s="1528">
        <v>1536</v>
      </c>
      <c r="J167" s="1544"/>
      <c r="K167" s="1555">
        <v>1536</v>
      </c>
      <c r="L167" s="1528">
        <v>46</v>
      </c>
      <c r="M167" s="1528">
        <v>46</v>
      </c>
      <c r="N167" s="1544"/>
      <c r="O167" s="1544">
        <v>46</v>
      </c>
      <c r="P167" s="1555"/>
      <c r="Q167" s="1555"/>
      <c r="R167" s="1555"/>
      <c r="S167" s="1555"/>
      <c r="T167" s="1516">
        <f t="shared" si="43"/>
        <v>2965</v>
      </c>
      <c r="U167" s="1516">
        <f t="shared" si="44"/>
        <v>1582</v>
      </c>
      <c r="V167" s="1528">
        <v>1582</v>
      </c>
      <c r="W167" s="1528">
        <v>1582</v>
      </c>
      <c r="X167" s="1555"/>
      <c r="Y167" s="1555">
        <v>1582</v>
      </c>
      <c r="Z167" s="1516">
        <f t="shared" si="42"/>
        <v>1582</v>
      </c>
      <c r="AA167" s="1516">
        <f t="shared" si="42"/>
        <v>1582</v>
      </c>
      <c r="AB167" s="1516">
        <f t="shared" si="45"/>
        <v>0</v>
      </c>
      <c r="AC167" s="1555"/>
      <c r="AD167" s="1555"/>
      <c r="AE167" s="1555"/>
      <c r="AF167" s="1516">
        <f>Y167-K167-O167-S167</f>
        <v>0</v>
      </c>
      <c r="AG167" s="1516">
        <v>100</v>
      </c>
      <c r="AH167" s="1509" t="s">
        <v>997</v>
      </c>
      <c r="AI167" s="1509" t="s">
        <v>1971</v>
      </c>
    </row>
    <row r="168" spans="1:35" ht="45" x14ac:dyDescent="0.25">
      <c r="A168" s="1527">
        <v>61</v>
      </c>
      <c r="B168" s="1526" t="s">
        <v>2149</v>
      </c>
      <c r="C168" s="1509" t="s">
        <v>2150</v>
      </c>
      <c r="D168" s="1528">
        <v>7473</v>
      </c>
      <c r="E168" s="1528"/>
      <c r="F168" s="1529">
        <v>2944</v>
      </c>
      <c r="G168" s="1529"/>
      <c r="H168" s="1528">
        <v>510</v>
      </c>
      <c r="I168" s="1528">
        <v>510</v>
      </c>
      <c r="J168" s="1544"/>
      <c r="K168" s="1544"/>
      <c r="L168" s="1528">
        <v>1</v>
      </c>
      <c r="M168" s="1528">
        <v>1</v>
      </c>
      <c r="N168" s="1544"/>
      <c r="O168" s="1544"/>
      <c r="P168" s="1555"/>
      <c r="Q168" s="1555"/>
      <c r="R168" s="1555"/>
      <c r="S168" s="1555"/>
      <c r="T168" s="1516">
        <f t="shared" si="43"/>
        <v>3455</v>
      </c>
      <c r="U168" s="1516">
        <f t="shared" si="44"/>
        <v>511</v>
      </c>
      <c r="V168" s="1528">
        <v>511</v>
      </c>
      <c r="W168" s="1528">
        <v>511</v>
      </c>
      <c r="X168" s="1555"/>
      <c r="Y168" s="1555"/>
      <c r="Z168" s="1516">
        <f t="shared" si="42"/>
        <v>511</v>
      </c>
      <c r="AA168" s="1516">
        <f t="shared" si="42"/>
        <v>511</v>
      </c>
      <c r="AB168" s="1516">
        <f t="shared" si="45"/>
        <v>0</v>
      </c>
      <c r="AC168" s="1555"/>
      <c r="AD168" s="1555"/>
      <c r="AE168" s="1555"/>
      <c r="AF168" s="1555"/>
      <c r="AG168" s="1516">
        <v>100</v>
      </c>
      <c r="AH168" s="1527" t="s">
        <v>172</v>
      </c>
      <c r="AI168" s="1509" t="s">
        <v>1971</v>
      </c>
    </row>
    <row r="169" spans="1:35" ht="33.75" x14ac:dyDescent="0.25">
      <c r="A169" s="1527">
        <v>62</v>
      </c>
      <c r="B169" s="1544" t="s">
        <v>2151</v>
      </c>
      <c r="C169" s="1509" t="s">
        <v>2152</v>
      </c>
      <c r="D169" s="1595">
        <v>34874</v>
      </c>
      <c r="E169" s="1595">
        <v>34874</v>
      </c>
      <c r="F169" s="1528">
        <v>18187</v>
      </c>
      <c r="G169" s="1528">
        <v>18187</v>
      </c>
      <c r="H169" s="1528"/>
      <c r="I169" s="1528"/>
      <c r="J169" s="1544"/>
      <c r="K169" s="1544"/>
      <c r="L169" s="1528">
        <v>1</v>
      </c>
      <c r="M169" s="1528">
        <v>1</v>
      </c>
      <c r="N169" s="1544"/>
      <c r="O169" s="1544"/>
      <c r="P169" s="1555"/>
      <c r="Q169" s="1555"/>
      <c r="R169" s="1555"/>
      <c r="S169" s="1555"/>
      <c r="T169" s="1516">
        <f t="shared" si="43"/>
        <v>18188</v>
      </c>
      <c r="U169" s="1516">
        <f t="shared" si="44"/>
        <v>18188</v>
      </c>
      <c r="V169" s="1528">
        <v>5946</v>
      </c>
      <c r="W169" s="1528">
        <v>1</v>
      </c>
      <c r="X169" s="1555"/>
      <c r="Y169" s="1555"/>
      <c r="Z169" s="1516">
        <f t="shared" si="42"/>
        <v>1</v>
      </c>
      <c r="AA169" s="1516">
        <f t="shared" si="42"/>
        <v>1</v>
      </c>
      <c r="AB169" s="1516">
        <f t="shared" si="45"/>
        <v>0</v>
      </c>
      <c r="AC169" s="1555"/>
      <c r="AD169" s="1555"/>
      <c r="AE169" s="1555"/>
      <c r="AF169" s="1555"/>
      <c r="AG169" s="1516">
        <v>100</v>
      </c>
      <c r="AH169" s="1509" t="s">
        <v>426</v>
      </c>
      <c r="AI169" s="1509" t="s">
        <v>1971</v>
      </c>
    </row>
    <row r="170" spans="1:35" ht="22.5" x14ac:dyDescent="0.25">
      <c r="A170" s="1527">
        <v>63</v>
      </c>
      <c r="B170" s="1526" t="s">
        <v>2153</v>
      </c>
      <c r="C170" s="1509"/>
      <c r="D170" s="1528">
        <v>2610</v>
      </c>
      <c r="E170" s="1529">
        <v>288</v>
      </c>
      <c r="F170" s="1529">
        <v>1891</v>
      </c>
      <c r="G170" s="1529"/>
      <c r="H170" s="1528"/>
      <c r="I170" s="1528"/>
      <c r="J170" s="1544"/>
      <c r="K170" s="1544"/>
      <c r="L170" s="1528">
        <v>288</v>
      </c>
      <c r="M170" s="1528">
        <v>288</v>
      </c>
      <c r="N170" s="1544"/>
      <c r="O170" s="1544"/>
      <c r="P170" s="1555"/>
      <c r="Q170" s="1555"/>
      <c r="R170" s="1555"/>
      <c r="S170" s="1555"/>
      <c r="T170" s="1516">
        <f t="shared" si="43"/>
        <v>2179</v>
      </c>
      <c r="U170" s="1516">
        <f t="shared" si="44"/>
        <v>288</v>
      </c>
      <c r="V170" s="1528">
        <v>288</v>
      </c>
      <c r="W170" s="1528">
        <v>288</v>
      </c>
      <c r="X170" s="1555"/>
      <c r="Y170" s="1555"/>
      <c r="Z170" s="1516">
        <f t="shared" si="42"/>
        <v>288</v>
      </c>
      <c r="AA170" s="1516">
        <f t="shared" si="42"/>
        <v>288</v>
      </c>
      <c r="AB170" s="1516">
        <f t="shared" si="45"/>
        <v>0</v>
      </c>
      <c r="AC170" s="1555"/>
      <c r="AD170" s="1555"/>
      <c r="AE170" s="1555"/>
      <c r="AF170" s="1555"/>
      <c r="AG170" s="1516">
        <v>100</v>
      </c>
      <c r="AH170" s="1527" t="s">
        <v>604</v>
      </c>
      <c r="AI170" s="1509" t="s">
        <v>1971</v>
      </c>
    </row>
    <row r="171" spans="1:35" ht="22.5" x14ac:dyDescent="0.25">
      <c r="A171" s="1527">
        <v>64</v>
      </c>
      <c r="B171" s="1526" t="s">
        <v>2154</v>
      </c>
      <c r="C171" s="1509" t="s">
        <v>2155</v>
      </c>
      <c r="D171" s="1528">
        <v>10934</v>
      </c>
      <c r="E171" s="1529">
        <v>65</v>
      </c>
      <c r="F171" s="1529">
        <v>8053</v>
      </c>
      <c r="G171" s="1529"/>
      <c r="H171" s="1528"/>
      <c r="I171" s="1528"/>
      <c r="J171" s="1544"/>
      <c r="K171" s="1544"/>
      <c r="L171" s="1528">
        <v>65</v>
      </c>
      <c r="M171" s="1528">
        <v>65</v>
      </c>
      <c r="N171" s="1544"/>
      <c r="O171" s="1544"/>
      <c r="P171" s="1555"/>
      <c r="Q171" s="1555"/>
      <c r="R171" s="1555"/>
      <c r="S171" s="1555"/>
      <c r="T171" s="1516">
        <f t="shared" si="43"/>
        <v>8118</v>
      </c>
      <c r="U171" s="1516">
        <f t="shared" si="44"/>
        <v>65</v>
      </c>
      <c r="V171" s="1528">
        <v>65</v>
      </c>
      <c r="W171" s="1528">
        <v>65</v>
      </c>
      <c r="X171" s="1555"/>
      <c r="Y171" s="1555"/>
      <c r="Z171" s="1516">
        <f t="shared" si="42"/>
        <v>65</v>
      </c>
      <c r="AA171" s="1516">
        <f t="shared" si="42"/>
        <v>65</v>
      </c>
      <c r="AB171" s="1516">
        <f t="shared" si="45"/>
        <v>0</v>
      </c>
      <c r="AC171" s="1555"/>
      <c r="AD171" s="1555"/>
      <c r="AE171" s="1555"/>
      <c r="AF171" s="1555"/>
      <c r="AG171" s="1516">
        <v>100</v>
      </c>
      <c r="AH171" s="1509" t="s">
        <v>423</v>
      </c>
      <c r="AI171" s="1509" t="s">
        <v>1971</v>
      </c>
    </row>
    <row r="172" spans="1:35" ht="22.5" x14ac:dyDescent="0.25">
      <c r="A172" s="1527">
        <v>65</v>
      </c>
      <c r="B172" s="1548" t="s">
        <v>2156</v>
      </c>
      <c r="C172" s="1527" t="s">
        <v>2157</v>
      </c>
      <c r="D172" s="1536">
        <v>5544</v>
      </c>
      <c r="E172" s="1536">
        <v>5544</v>
      </c>
      <c r="F172" s="1529">
        <v>4796</v>
      </c>
      <c r="G172" s="1529">
        <v>4796</v>
      </c>
      <c r="H172" s="1528"/>
      <c r="I172" s="1528"/>
      <c r="J172" s="1544"/>
      <c r="K172" s="1544"/>
      <c r="L172" s="1528">
        <v>215</v>
      </c>
      <c r="M172" s="1528">
        <v>215</v>
      </c>
      <c r="N172" s="1544"/>
      <c r="O172" s="1528">
        <v>215</v>
      </c>
      <c r="P172" s="1555"/>
      <c r="Q172" s="1555"/>
      <c r="R172" s="1555"/>
      <c r="S172" s="1555"/>
      <c r="T172" s="1516">
        <f t="shared" si="43"/>
        <v>5011</v>
      </c>
      <c r="U172" s="1516">
        <f t="shared" si="44"/>
        <v>5011</v>
      </c>
      <c r="V172" s="1528">
        <v>248</v>
      </c>
      <c r="W172" s="1528">
        <v>248</v>
      </c>
      <c r="X172" s="1555"/>
      <c r="Y172" s="1555">
        <v>248</v>
      </c>
      <c r="Z172" s="1516">
        <f t="shared" si="42"/>
        <v>215</v>
      </c>
      <c r="AA172" s="1516">
        <f t="shared" si="42"/>
        <v>215</v>
      </c>
      <c r="AB172" s="1516">
        <f t="shared" si="45"/>
        <v>33</v>
      </c>
      <c r="AC172" s="1555"/>
      <c r="AD172" s="1555"/>
      <c r="AE172" s="1555"/>
      <c r="AF172" s="1516"/>
      <c r="AG172" s="1516">
        <v>100</v>
      </c>
      <c r="AH172" s="1527" t="s">
        <v>954</v>
      </c>
      <c r="AI172" s="1509" t="s">
        <v>1971</v>
      </c>
    </row>
    <row r="173" spans="1:35" ht="22.5" x14ac:dyDescent="0.25">
      <c r="A173" s="1527">
        <v>66</v>
      </c>
      <c r="B173" s="1596" t="s">
        <v>2158</v>
      </c>
      <c r="C173" s="1527" t="s">
        <v>2159</v>
      </c>
      <c r="D173" s="1528">
        <v>493</v>
      </c>
      <c r="E173" s="1528">
        <f>D173-438</f>
        <v>55</v>
      </c>
      <c r="F173" s="1529">
        <v>438</v>
      </c>
      <c r="G173" s="1529"/>
      <c r="H173" s="1528"/>
      <c r="I173" s="1528"/>
      <c r="J173" s="1544"/>
      <c r="K173" s="1544"/>
      <c r="L173" s="1528">
        <v>4</v>
      </c>
      <c r="M173" s="1528">
        <v>4</v>
      </c>
      <c r="N173" s="1544"/>
      <c r="O173" s="1544"/>
      <c r="P173" s="1555"/>
      <c r="Q173" s="1555"/>
      <c r="R173" s="1555"/>
      <c r="S173" s="1555"/>
      <c r="T173" s="1516">
        <f t="shared" si="43"/>
        <v>442</v>
      </c>
      <c r="U173" s="1516">
        <f t="shared" si="44"/>
        <v>4</v>
      </c>
      <c r="V173" s="1528">
        <v>4</v>
      </c>
      <c r="W173" s="1528">
        <v>4</v>
      </c>
      <c r="X173" s="1555"/>
      <c r="Y173" s="1555"/>
      <c r="Z173" s="1516">
        <f t="shared" si="42"/>
        <v>4</v>
      </c>
      <c r="AA173" s="1516">
        <f t="shared" si="42"/>
        <v>4</v>
      </c>
      <c r="AB173" s="1516">
        <f t="shared" si="45"/>
        <v>0</v>
      </c>
      <c r="AC173" s="1555"/>
      <c r="AD173" s="1555"/>
      <c r="AE173" s="1555"/>
      <c r="AF173" s="1555"/>
      <c r="AG173" s="1516">
        <v>100</v>
      </c>
      <c r="AH173" s="1527" t="s">
        <v>604</v>
      </c>
      <c r="AI173" s="1509" t="s">
        <v>1971</v>
      </c>
    </row>
    <row r="174" spans="1:35" ht="33.75" x14ac:dyDescent="0.25">
      <c r="A174" s="1527">
        <v>67</v>
      </c>
      <c r="B174" s="1544" t="s">
        <v>2160</v>
      </c>
      <c r="C174" s="1509" t="s">
        <v>2161</v>
      </c>
      <c r="D174" s="1528">
        <v>16116</v>
      </c>
      <c r="E174" s="1528">
        <f>D174</f>
        <v>16116</v>
      </c>
      <c r="F174" s="1529">
        <v>0</v>
      </c>
      <c r="G174" s="1529">
        <v>0</v>
      </c>
      <c r="H174" s="1528">
        <v>9500</v>
      </c>
      <c r="I174" s="1528">
        <v>9500</v>
      </c>
      <c r="J174" s="1544">
        <v>9500</v>
      </c>
      <c r="K174" s="1544"/>
      <c r="L174" s="1528">
        <v>6616</v>
      </c>
      <c r="M174" s="1528">
        <v>6616</v>
      </c>
      <c r="N174" s="1544"/>
      <c r="O174" s="1544"/>
      <c r="P174" s="1555"/>
      <c r="Q174" s="1555"/>
      <c r="R174" s="1555"/>
      <c r="S174" s="1555"/>
      <c r="T174" s="1516">
        <f t="shared" si="43"/>
        <v>16116</v>
      </c>
      <c r="U174" s="1516">
        <f t="shared" si="44"/>
        <v>16116</v>
      </c>
      <c r="V174" s="1528">
        <v>16116</v>
      </c>
      <c r="W174" s="1528">
        <v>16116</v>
      </c>
      <c r="X174" s="1555"/>
      <c r="Y174" s="1555"/>
      <c r="Z174" s="1516">
        <f t="shared" si="42"/>
        <v>16116</v>
      </c>
      <c r="AA174" s="1516">
        <f t="shared" si="42"/>
        <v>16116</v>
      </c>
      <c r="AB174" s="1516">
        <f t="shared" si="45"/>
        <v>0</v>
      </c>
      <c r="AC174" s="1555"/>
      <c r="AD174" s="1555"/>
      <c r="AE174" s="1555"/>
      <c r="AF174" s="1555"/>
      <c r="AG174" s="1516">
        <v>100</v>
      </c>
      <c r="AH174" s="1527" t="s">
        <v>418</v>
      </c>
      <c r="AI174" s="1509" t="s">
        <v>1971</v>
      </c>
    </row>
    <row r="175" spans="1:35" ht="56.25" x14ac:dyDescent="0.25">
      <c r="A175" s="1527">
        <v>68</v>
      </c>
      <c r="B175" s="1544" t="s">
        <v>2162</v>
      </c>
      <c r="C175" s="1509"/>
      <c r="D175" s="1528">
        <f>15339+9021</f>
        <v>24360</v>
      </c>
      <c r="E175" s="1528">
        <f>15339+9021</f>
        <v>24360</v>
      </c>
      <c r="F175" s="1529">
        <f>7950+5000</f>
        <v>12950</v>
      </c>
      <c r="G175" s="1529">
        <f>7950+5000</f>
        <v>12950</v>
      </c>
      <c r="H175" s="1528"/>
      <c r="I175" s="1528"/>
      <c r="J175" s="1544"/>
      <c r="K175" s="1544"/>
      <c r="L175" s="1528">
        <f>1225</f>
        <v>1225</v>
      </c>
      <c r="M175" s="1528">
        <f>L175</f>
        <v>1225</v>
      </c>
      <c r="N175" s="1544"/>
      <c r="O175" s="1544"/>
      <c r="P175" s="1555"/>
      <c r="Q175" s="1555"/>
      <c r="R175" s="1555"/>
      <c r="S175" s="1555"/>
      <c r="T175" s="1516">
        <f t="shared" si="43"/>
        <v>14175</v>
      </c>
      <c r="U175" s="1516">
        <f t="shared" si="44"/>
        <v>14175</v>
      </c>
      <c r="V175" s="1528">
        <v>1225</v>
      </c>
      <c r="W175" s="1528">
        <v>1225</v>
      </c>
      <c r="X175" s="1555"/>
      <c r="Y175" s="1555"/>
      <c r="Z175" s="1516">
        <f t="shared" si="42"/>
        <v>1225</v>
      </c>
      <c r="AA175" s="1516">
        <f t="shared" si="42"/>
        <v>1225</v>
      </c>
      <c r="AB175" s="1516">
        <f t="shared" si="45"/>
        <v>0</v>
      </c>
      <c r="AC175" s="1555"/>
      <c r="AD175" s="1555"/>
      <c r="AE175" s="1555"/>
      <c r="AF175" s="1555"/>
      <c r="AG175" s="1516">
        <v>100</v>
      </c>
      <c r="AH175" s="1509" t="s">
        <v>983</v>
      </c>
      <c r="AI175" s="1509" t="s">
        <v>1971</v>
      </c>
    </row>
    <row r="176" spans="1:35" ht="33.75" x14ac:dyDescent="0.25">
      <c r="A176" s="1527">
        <v>69</v>
      </c>
      <c r="B176" s="1526" t="s">
        <v>2163</v>
      </c>
      <c r="C176" s="1509" t="s">
        <v>2164</v>
      </c>
      <c r="D176" s="1529">
        <v>19999</v>
      </c>
      <c r="E176" s="1529">
        <v>999</v>
      </c>
      <c r="F176" s="1529">
        <v>17000</v>
      </c>
      <c r="G176" s="1529">
        <v>17000</v>
      </c>
      <c r="H176" s="1528"/>
      <c r="I176" s="1528"/>
      <c r="J176" s="1544"/>
      <c r="K176" s="1544"/>
      <c r="L176" s="1528">
        <v>76</v>
      </c>
      <c r="M176" s="1528">
        <v>76</v>
      </c>
      <c r="N176" s="1544"/>
      <c r="O176" s="1544"/>
      <c r="P176" s="1555"/>
      <c r="Q176" s="1555"/>
      <c r="R176" s="1555"/>
      <c r="S176" s="1555"/>
      <c r="T176" s="1516">
        <f t="shared" si="43"/>
        <v>17076</v>
      </c>
      <c r="U176" s="1516">
        <f t="shared" si="44"/>
        <v>17076</v>
      </c>
      <c r="V176" s="1528">
        <v>2076</v>
      </c>
      <c r="W176" s="1528">
        <v>76</v>
      </c>
      <c r="X176" s="1555"/>
      <c r="Y176" s="1555"/>
      <c r="Z176" s="1516">
        <f t="shared" si="42"/>
        <v>76</v>
      </c>
      <c r="AA176" s="1516">
        <f t="shared" si="42"/>
        <v>76</v>
      </c>
      <c r="AB176" s="1516">
        <f t="shared" si="45"/>
        <v>0</v>
      </c>
      <c r="AC176" s="1555"/>
      <c r="AD176" s="1555"/>
      <c r="AE176" s="1555"/>
      <c r="AF176" s="1555"/>
      <c r="AG176" s="1516">
        <v>100</v>
      </c>
      <c r="AH176" s="1509" t="s">
        <v>1929</v>
      </c>
      <c r="AI176" s="1509" t="s">
        <v>1971</v>
      </c>
    </row>
    <row r="177" spans="1:35" ht="56.25" x14ac:dyDescent="0.25">
      <c r="A177" s="1527">
        <v>70</v>
      </c>
      <c r="B177" s="1526" t="s">
        <v>2165</v>
      </c>
      <c r="C177" s="1509" t="s">
        <v>2166</v>
      </c>
      <c r="D177" s="1528">
        <v>12533</v>
      </c>
      <c r="E177" s="1528">
        <v>12533</v>
      </c>
      <c r="F177" s="1529">
        <v>1500</v>
      </c>
      <c r="G177" s="1529">
        <v>1500</v>
      </c>
      <c r="H177" s="1528"/>
      <c r="I177" s="1528"/>
      <c r="J177" s="1544"/>
      <c r="K177" s="1544"/>
      <c r="L177" s="1528">
        <v>4078</v>
      </c>
      <c r="M177" s="1528">
        <v>4078</v>
      </c>
      <c r="N177" s="1544"/>
      <c r="O177" s="1544">
        <v>4078</v>
      </c>
      <c r="P177" s="1555"/>
      <c r="Q177" s="1555"/>
      <c r="R177" s="1555"/>
      <c r="S177" s="1555"/>
      <c r="T177" s="1516">
        <f t="shared" si="43"/>
        <v>5578</v>
      </c>
      <c r="U177" s="1516">
        <f t="shared" si="44"/>
        <v>5578</v>
      </c>
      <c r="V177" s="1528">
        <v>4078</v>
      </c>
      <c r="W177" s="1528">
        <v>4078</v>
      </c>
      <c r="X177" s="1555"/>
      <c r="Y177" s="1555">
        <v>4078</v>
      </c>
      <c r="Z177" s="1516">
        <f t="shared" si="42"/>
        <v>4078</v>
      </c>
      <c r="AA177" s="1516">
        <f t="shared" si="42"/>
        <v>4078</v>
      </c>
      <c r="AB177" s="1516">
        <f t="shared" si="45"/>
        <v>0</v>
      </c>
      <c r="AC177" s="1555"/>
      <c r="AD177" s="1555"/>
      <c r="AE177" s="1555"/>
      <c r="AF177" s="1516">
        <f t="shared" ref="AF177:AF180" si="47">Y177-K177-O177-S177</f>
        <v>0</v>
      </c>
      <c r="AG177" s="1516">
        <v>100</v>
      </c>
      <c r="AH177" s="1509" t="s">
        <v>983</v>
      </c>
      <c r="AI177" s="1509" t="s">
        <v>1971</v>
      </c>
    </row>
    <row r="178" spans="1:35" ht="22.5" x14ac:dyDescent="0.25">
      <c r="A178" s="1527">
        <v>71</v>
      </c>
      <c r="B178" s="1544" t="s">
        <v>2167</v>
      </c>
      <c r="C178" s="1509" t="s">
        <v>2168</v>
      </c>
      <c r="D178" s="1529">
        <v>79991</v>
      </c>
      <c r="E178" s="1529">
        <f>D178</f>
        <v>79991</v>
      </c>
      <c r="F178" s="1529">
        <v>44120</v>
      </c>
      <c r="G178" s="1529">
        <v>44120</v>
      </c>
      <c r="H178" s="1528">
        <v>3802</v>
      </c>
      <c r="I178" s="1528">
        <v>3802</v>
      </c>
      <c r="J178" s="1544"/>
      <c r="K178" s="1555">
        <v>3802</v>
      </c>
      <c r="L178" s="1528">
        <v>2783</v>
      </c>
      <c r="M178" s="1528">
        <v>2783</v>
      </c>
      <c r="N178" s="1544"/>
      <c r="O178" s="1528">
        <v>2783</v>
      </c>
      <c r="P178" s="1555"/>
      <c r="Q178" s="1555"/>
      <c r="R178" s="1555"/>
      <c r="S178" s="1555"/>
      <c r="T178" s="1516">
        <f t="shared" si="43"/>
        <v>50705</v>
      </c>
      <c r="U178" s="1516">
        <f t="shared" si="44"/>
        <v>50705</v>
      </c>
      <c r="V178" s="1528">
        <v>6878</v>
      </c>
      <c r="W178" s="1528">
        <v>6878</v>
      </c>
      <c r="X178" s="1555"/>
      <c r="Y178" s="1555">
        <v>6878</v>
      </c>
      <c r="Z178" s="1516">
        <f t="shared" si="42"/>
        <v>6585</v>
      </c>
      <c r="AA178" s="1516">
        <f t="shared" si="42"/>
        <v>6585</v>
      </c>
      <c r="AB178" s="1516">
        <f t="shared" si="45"/>
        <v>293</v>
      </c>
      <c r="AC178" s="1555"/>
      <c r="AD178" s="1555"/>
      <c r="AE178" s="1555"/>
      <c r="AF178" s="1516"/>
      <c r="AG178" s="1516">
        <v>100</v>
      </c>
      <c r="AH178" s="1509" t="s">
        <v>420</v>
      </c>
      <c r="AI178" s="1509" t="s">
        <v>1971</v>
      </c>
    </row>
    <row r="179" spans="1:35" ht="33.75" x14ac:dyDescent="0.25">
      <c r="A179" s="1527">
        <v>72</v>
      </c>
      <c r="B179" s="1526" t="s">
        <v>2169</v>
      </c>
      <c r="C179" s="1527" t="s">
        <v>2170</v>
      </c>
      <c r="D179" s="1529">
        <v>21263.1</v>
      </c>
      <c r="E179" s="1529">
        <f>D179-20065</f>
        <v>1198.0999999999985</v>
      </c>
      <c r="F179" s="1528">
        <v>20065</v>
      </c>
      <c r="G179" s="1528"/>
      <c r="H179" s="1528"/>
      <c r="I179" s="1528"/>
      <c r="J179" s="1544"/>
      <c r="K179" s="1544"/>
      <c r="L179" s="1528">
        <v>259</v>
      </c>
      <c r="M179" s="1528">
        <v>259</v>
      </c>
      <c r="N179" s="1544"/>
      <c r="O179" s="1544">
        <v>259</v>
      </c>
      <c r="P179" s="1555"/>
      <c r="Q179" s="1555"/>
      <c r="R179" s="1555"/>
      <c r="S179" s="1555"/>
      <c r="T179" s="1516">
        <f t="shared" si="43"/>
        <v>20324</v>
      </c>
      <c r="U179" s="1516">
        <f t="shared" si="44"/>
        <v>259</v>
      </c>
      <c r="V179" s="1528">
        <v>259</v>
      </c>
      <c r="W179" s="1528">
        <v>259</v>
      </c>
      <c r="X179" s="1555"/>
      <c r="Y179" s="1555">
        <v>259</v>
      </c>
      <c r="Z179" s="1516">
        <f t="shared" si="42"/>
        <v>259</v>
      </c>
      <c r="AA179" s="1516">
        <f t="shared" si="42"/>
        <v>259</v>
      </c>
      <c r="AB179" s="1516">
        <f t="shared" si="45"/>
        <v>0</v>
      </c>
      <c r="AC179" s="1555"/>
      <c r="AD179" s="1555"/>
      <c r="AE179" s="1555"/>
      <c r="AF179" s="1516">
        <f t="shared" si="47"/>
        <v>0</v>
      </c>
      <c r="AG179" s="1516">
        <v>100</v>
      </c>
      <c r="AH179" s="1527" t="s">
        <v>424</v>
      </c>
      <c r="AI179" s="1509" t="s">
        <v>1971</v>
      </c>
    </row>
    <row r="180" spans="1:35" ht="22.5" x14ac:dyDescent="0.25">
      <c r="A180" s="1527">
        <v>73</v>
      </c>
      <c r="B180" s="1548" t="s">
        <v>2171</v>
      </c>
      <c r="C180" s="1509" t="s">
        <v>2172</v>
      </c>
      <c r="D180" s="1528">
        <v>3810</v>
      </c>
      <c r="E180" s="1528">
        <v>3810</v>
      </c>
      <c r="F180" s="1529">
        <v>1300</v>
      </c>
      <c r="G180" s="1529">
        <v>1300</v>
      </c>
      <c r="H180" s="1528">
        <v>700</v>
      </c>
      <c r="I180" s="1528">
        <v>700</v>
      </c>
      <c r="J180" s="1544"/>
      <c r="K180" s="1555">
        <v>700</v>
      </c>
      <c r="L180" s="1528">
        <v>1032</v>
      </c>
      <c r="M180" s="1528">
        <v>1032</v>
      </c>
      <c r="N180" s="1544"/>
      <c r="O180" s="1544">
        <v>1032</v>
      </c>
      <c r="P180" s="1555"/>
      <c r="Q180" s="1555"/>
      <c r="R180" s="1555"/>
      <c r="S180" s="1555"/>
      <c r="T180" s="1516">
        <f t="shared" si="43"/>
        <v>3032</v>
      </c>
      <c r="U180" s="1516">
        <f t="shared" si="44"/>
        <v>3032</v>
      </c>
      <c r="V180" s="1528">
        <v>1732</v>
      </c>
      <c r="W180" s="1528">
        <v>1732</v>
      </c>
      <c r="X180" s="1555"/>
      <c r="Y180" s="1555">
        <v>1732</v>
      </c>
      <c r="Z180" s="1516">
        <f t="shared" si="42"/>
        <v>1732</v>
      </c>
      <c r="AA180" s="1516">
        <f t="shared" si="42"/>
        <v>1732</v>
      </c>
      <c r="AB180" s="1516">
        <f t="shared" si="45"/>
        <v>0</v>
      </c>
      <c r="AC180" s="1555"/>
      <c r="AD180" s="1555"/>
      <c r="AE180" s="1555"/>
      <c r="AF180" s="1516">
        <f t="shared" si="47"/>
        <v>0</v>
      </c>
      <c r="AG180" s="1516">
        <v>100</v>
      </c>
      <c r="AH180" s="1527" t="s">
        <v>954</v>
      </c>
      <c r="AI180" s="1509" t="s">
        <v>1971</v>
      </c>
    </row>
    <row r="181" spans="1:35" ht="22.5" x14ac:dyDescent="0.25">
      <c r="A181" s="1527">
        <v>74</v>
      </c>
      <c r="B181" s="1544" t="s">
        <v>2173</v>
      </c>
      <c r="C181" s="1509" t="s">
        <v>2174</v>
      </c>
      <c r="D181" s="1528">
        <v>3909</v>
      </c>
      <c r="E181" s="1528">
        <v>2856</v>
      </c>
      <c r="F181" s="1529">
        <v>1053</v>
      </c>
      <c r="G181" s="1529"/>
      <c r="H181" s="1528">
        <v>1125</v>
      </c>
      <c r="I181" s="1528">
        <v>1125</v>
      </c>
      <c r="J181" s="1544"/>
      <c r="K181" s="1544"/>
      <c r="L181" s="1528">
        <v>300</v>
      </c>
      <c r="M181" s="1528">
        <v>300</v>
      </c>
      <c r="N181" s="1544"/>
      <c r="O181" s="1544"/>
      <c r="P181" s="1555">
        <v>1272</v>
      </c>
      <c r="Q181" s="1555">
        <v>1272</v>
      </c>
      <c r="R181" s="1555"/>
      <c r="S181" s="1555">
        <v>0</v>
      </c>
      <c r="T181" s="1516">
        <f t="shared" si="43"/>
        <v>3750</v>
      </c>
      <c r="U181" s="1516">
        <f t="shared" si="44"/>
        <v>2697</v>
      </c>
      <c r="V181" s="1528">
        <v>2697</v>
      </c>
      <c r="W181" s="1528">
        <v>2697</v>
      </c>
      <c r="X181" s="1555"/>
      <c r="Y181" s="1555"/>
      <c r="Z181" s="1516">
        <f t="shared" si="42"/>
        <v>2697</v>
      </c>
      <c r="AA181" s="1516">
        <f t="shared" si="42"/>
        <v>2697</v>
      </c>
      <c r="AB181" s="1516">
        <f t="shared" si="45"/>
        <v>0</v>
      </c>
      <c r="AC181" s="1555"/>
      <c r="AD181" s="1555"/>
      <c r="AE181" s="1555"/>
      <c r="AF181" s="1555"/>
      <c r="AG181" s="1516">
        <v>100</v>
      </c>
      <c r="AH181" s="1509" t="s">
        <v>434</v>
      </c>
      <c r="AI181" s="1509" t="s">
        <v>1971</v>
      </c>
    </row>
    <row r="182" spans="1:35" ht="56.25" x14ac:dyDescent="0.25">
      <c r="A182" s="1527">
        <v>75</v>
      </c>
      <c r="B182" s="1586" t="s">
        <v>2175</v>
      </c>
      <c r="C182" s="1527" t="s">
        <v>2176</v>
      </c>
      <c r="D182" s="1536">
        <v>105636</v>
      </c>
      <c r="E182" s="1528">
        <f>D182-92049</f>
        <v>13587</v>
      </c>
      <c r="F182" s="1529">
        <v>92049</v>
      </c>
      <c r="G182" s="1529"/>
      <c r="H182" s="1528"/>
      <c r="I182" s="1528"/>
      <c r="J182" s="1544"/>
      <c r="K182" s="1544"/>
      <c r="L182" s="1528">
        <v>1260</v>
      </c>
      <c r="M182" s="1528">
        <f>1400-140</f>
        <v>1260</v>
      </c>
      <c r="N182" s="1544"/>
      <c r="O182" s="1544">
        <v>1260</v>
      </c>
      <c r="P182" s="1555">
        <v>6556</v>
      </c>
      <c r="Q182" s="1555">
        <v>6556</v>
      </c>
      <c r="R182" s="1555"/>
      <c r="S182" s="1555">
        <v>1181</v>
      </c>
      <c r="T182" s="1516">
        <f>F182+H182+L182+P182</f>
        <v>99865</v>
      </c>
      <c r="U182" s="1516">
        <f>G182+I182+M182+Q182</f>
        <v>7816</v>
      </c>
      <c r="V182" s="1528">
        <v>7675</v>
      </c>
      <c r="W182" s="1528">
        <v>7675</v>
      </c>
      <c r="X182" s="1555"/>
      <c r="Y182" s="1555">
        <v>2441</v>
      </c>
      <c r="Z182" s="1516">
        <f t="shared" si="42"/>
        <v>7816</v>
      </c>
      <c r="AA182" s="1516">
        <f t="shared" si="42"/>
        <v>7816</v>
      </c>
      <c r="AB182" s="1516">
        <f t="shared" si="45"/>
        <v>-141</v>
      </c>
      <c r="AC182" s="1555"/>
      <c r="AD182" s="1555"/>
      <c r="AE182" s="1555"/>
      <c r="AF182" s="1516">
        <f t="shared" ref="AF182:AF186" si="48">Y182-K182-O182-S182</f>
        <v>0</v>
      </c>
      <c r="AG182" s="1516">
        <v>100</v>
      </c>
      <c r="AH182" s="1509" t="s">
        <v>983</v>
      </c>
      <c r="AI182" s="1509" t="s">
        <v>1971</v>
      </c>
    </row>
    <row r="183" spans="1:35" ht="33.75" x14ac:dyDescent="0.25">
      <c r="A183" s="1527">
        <v>76</v>
      </c>
      <c r="B183" s="1598" t="s">
        <v>2177</v>
      </c>
      <c r="C183" s="1599" t="s">
        <v>2178</v>
      </c>
      <c r="D183" s="1600">
        <v>13161.434999999999</v>
      </c>
      <c r="E183" s="1600">
        <v>12059</v>
      </c>
      <c r="F183" s="1529">
        <v>6133</v>
      </c>
      <c r="G183" s="1529"/>
      <c r="H183" s="1528"/>
      <c r="I183" s="1528"/>
      <c r="J183" s="1544"/>
      <c r="K183" s="1544"/>
      <c r="L183" s="1528">
        <v>900</v>
      </c>
      <c r="M183" s="1528">
        <v>900</v>
      </c>
      <c r="N183" s="1544"/>
      <c r="O183" s="1544">
        <v>900</v>
      </c>
      <c r="P183" s="1555">
        <v>3730</v>
      </c>
      <c r="Q183" s="1555">
        <v>3730</v>
      </c>
      <c r="R183" s="1555"/>
      <c r="S183" s="1555">
        <v>3037</v>
      </c>
      <c r="T183" s="1516">
        <f>F183+H183+L183+P183</f>
        <v>10763</v>
      </c>
      <c r="U183" s="1516">
        <f>G183+I183+M183+Q183</f>
        <v>4630</v>
      </c>
      <c r="V183" s="1528">
        <v>4631</v>
      </c>
      <c r="W183" s="1528">
        <v>4631</v>
      </c>
      <c r="X183" s="1555"/>
      <c r="Y183" s="1555">
        <v>3937</v>
      </c>
      <c r="Z183" s="1516">
        <f t="shared" si="42"/>
        <v>4630</v>
      </c>
      <c r="AA183" s="1516">
        <f t="shared" si="42"/>
        <v>4630</v>
      </c>
      <c r="AB183" s="1516">
        <f t="shared" si="45"/>
        <v>1</v>
      </c>
      <c r="AC183" s="1555"/>
      <c r="AD183" s="1555"/>
      <c r="AE183" s="1555"/>
      <c r="AF183" s="1516">
        <f t="shared" si="48"/>
        <v>0</v>
      </c>
      <c r="AG183" s="1516">
        <v>100</v>
      </c>
      <c r="AH183" s="1509" t="s">
        <v>997</v>
      </c>
      <c r="AI183" s="1509" t="s">
        <v>1971</v>
      </c>
    </row>
    <row r="184" spans="1:35" ht="22.5" x14ac:dyDescent="0.25">
      <c r="A184" s="1527">
        <v>77</v>
      </c>
      <c r="B184" s="1544" t="s">
        <v>2179</v>
      </c>
      <c r="C184" s="1509" t="s">
        <v>2180</v>
      </c>
      <c r="D184" s="1528">
        <v>49259</v>
      </c>
      <c r="E184" s="1528">
        <f>D184-42375</f>
        <v>6884</v>
      </c>
      <c r="F184" s="1529">
        <v>42360</v>
      </c>
      <c r="G184" s="1529"/>
      <c r="H184" s="1528"/>
      <c r="I184" s="1528"/>
      <c r="J184" s="1544"/>
      <c r="K184" s="1544"/>
      <c r="L184" s="1528">
        <v>350</v>
      </c>
      <c r="M184" s="1528">
        <v>350</v>
      </c>
      <c r="N184" s="1544"/>
      <c r="O184" s="1544">
        <v>350</v>
      </c>
      <c r="P184" s="1555">
        <v>1620</v>
      </c>
      <c r="Q184" s="1555">
        <v>1620</v>
      </c>
      <c r="R184" s="1555"/>
      <c r="S184" s="1555">
        <v>1620</v>
      </c>
      <c r="T184" s="1516">
        <f t="shared" si="43"/>
        <v>44330</v>
      </c>
      <c r="U184" s="1516">
        <f t="shared" si="44"/>
        <v>1970</v>
      </c>
      <c r="V184" s="1528">
        <v>1970</v>
      </c>
      <c r="W184" s="1528">
        <v>1970</v>
      </c>
      <c r="X184" s="1555"/>
      <c r="Y184" s="1555">
        <v>1970</v>
      </c>
      <c r="Z184" s="1516">
        <f t="shared" si="42"/>
        <v>1970</v>
      </c>
      <c r="AA184" s="1516">
        <f t="shared" si="42"/>
        <v>1970</v>
      </c>
      <c r="AB184" s="1516">
        <f t="shared" si="45"/>
        <v>0</v>
      </c>
      <c r="AC184" s="1555"/>
      <c r="AD184" s="1555"/>
      <c r="AE184" s="1555"/>
      <c r="AF184" s="1516">
        <f t="shared" si="48"/>
        <v>0</v>
      </c>
      <c r="AG184" s="1516">
        <v>100</v>
      </c>
      <c r="AH184" s="1527" t="s">
        <v>425</v>
      </c>
      <c r="AI184" s="1509" t="s">
        <v>1971</v>
      </c>
    </row>
    <row r="185" spans="1:35" ht="22.5" x14ac:dyDescent="0.25">
      <c r="A185" s="1527">
        <v>78</v>
      </c>
      <c r="B185" s="1526" t="s">
        <v>2181</v>
      </c>
      <c r="C185" s="1527" t="s">
        <v>2182</v>
      </c>
      <c r="D185" s="1529">
        <v>16007</v>
      </c>
      <c r="E185" s="1528">
        <f>D185</f>
        <v>16007</v>
      </c>
      <c r="F185" s="1529">
        <v>6494</v>
      </c>
      <c r="G185" s="1529">
        <v>6494</v>
      </c>
      <c r="H185" s="1528"/>
      <c r="I185" s="1528"/>
      <c r="J185" s="1544"/>
      <c r="K185" s="1544"/>
      <c r="L185" s="1528">
        <v>2400</v>
      </c>
      <c r="M185" s="1528">
        <v>2400</v>
      </c>
      <c r="N185" s="1544"/>
      <c r="O185" s="1544">
        <v>2400</v>
      </c>
      <c r="P185" s="1555">
        <v>6392</v>
      </c>
      <c r="Q185" s="1555">
        <v>6392</v>
      </c>
      <c r="R185" s="1555"/>
      <c r="S185" s="1555">
        <v>6622</v>
      </c>
      <c r="T185" s="1516">
        <f t="shared" si="43"/>
        <v>15286</v>
      </c>
      <c r="U185" s="1516">
        <f t="shared" si="44"/>
        <v>15286</v>
      </c>
      <c r="V185" s="1528">
        <v>9022</v>
      </c>
      <c r="W185" s="1528">
        <v>9022</v>
      </c>
      <c r="X185" s="1555"/>
      <c r="Y185" s="1555">
        <v>9022</v>
      </c>
      <c r="Z185" s="1516">
        <f t="shared" si="42"/>
        <v>8792</v>
      </c>
      <c r="AA185" s="1516">
        <f t="shared" si="42"/>
        <v>8792</v>
      </c>
      <c r="AB185" s="1516">
        <f t="shared" si="45"/>
        <v>230</v>
      </c>
      <c r="AC185" s="1555"/>
      <c r="AD185" s="1555"/>
      <c r="AE185" s="1555"/>
      <c r="AF185" s="1516">
        <f t="shared" si="48"/>
        <v>0</v>
      </c>
      <c r="AG185" s="1516">
        <v>100</v>
      </c>
      <c r="AH185" s="1527" t="s">
        <v>427</v>
      </c>
      <c r="AI185" s="1509" t="s">
        <v>1971</v>
      </c>
    </row>
    <row r="186" spans="1:35" ht="33.75" x14ac:dyDescent="0.25">
      <c r="A186" s="1527">
        <v>79</v>
      </c>
      <c r="B186" s="1586" t="s">
        <v>2183</v>
      </c>
      <c r="C186" s="1527" t="s">
        <v>2184</v>
      </c>
      <c r="D186" s="1536">
        <v>7060</v>
      </c>
      <c r="E186" s="1528">
        <f>D186</f>
        <v>7060</v>
      </c>
      <c r="F186" s="1529">
        <v>1650</v>
      </c>
      <c r="G186" s="1529">
        <v>1650</v>
      </c>
      <c r="H186" s="1528"/>
      <c r="I186" s="1528"/>
      <c r="J186" s="1544"/>
      <c r="K186" s="1544"/>
      <c r="L186" s="1528">
        <v>1100</v>
      </c>
      <c r="M186" s="1528">
        <v>1100</v>
      </c>
      <c r="N186" s="1544"/>
      <c r="O186" s="1544">
        <v>1100</v>
      </c>
      <c r="P186" s="1555">
        <v>2966</v>
      </c>
      <c r="Q186" s="1555">
        <v>2966</v>
      </c>
      <c r="R186" s="1555"/>
      <c r="S186" s="1555">
        <v>2866</v>
      </c>
      <c r="T186" s="1516">
        <f t="shared" si="43"/>
        <v>5716</v>
      </c>
      <c r="U186" s="1516">
        <f t="shared" si="44"/>
        <v>5716</v>
      </c>
      <c r="V186" s="1528">
        <v>4066</v>
      </c>
      <c r="W186" s="1528">
        <v>4066</v>
      </c>
      <c r="X186" s="1555"/>
      <c r="Y186" s="1555">
        <v>3966</v>
      </c>
      <c r="Z186" s="1516">
        <f t="shared" si="42"/>
        <v>4066</v>
      </c>
      <c r="AA186" s="1516">
        <f t="shared" si="42"/>
        <v>4066</v>
      </c>
      <c r="AB186" s="1516">
        <f t="shared" si="45"/>
        <v>0</v>
      </c>
      <c r="AC186" s="1555"/>
      <c r="AD186" s="1555"/>
      <c r="AE186" s="1555"/>
      <c r="AF186" s="1516">
        <f t="shared" si="48"/>
        <v>0</v>
      </c>
      <c r="AG186" s="1516">
        <v>100</v>
      </c>
      <c r="AH186" s="1527" t="s">
        <v>954</v>
      </c>
      <c r="AI186" s="1509" t="s">
        <v>1971</v>
      </c>
    </row>
    <row r="187" spans="1:35" ht="33.75" x14ac:dyDescent="0.25">
      <c r="A187" s="1527">
        <v>80</v>
      </c>
      <c r="B187" s="1526" t="s">
        <v>2185</v>
      </c>
      <c r="C187" s="1509" t="s">
        <v>2186</v>
      </c>
      <c r="D187" s="1528">
        <f>F187+V187</f>
        <v>1100</v>
      </c>
      <c r="E187" s="1528">
        <f>G187+W187</f>
        <v>500</v>
      </c>
      <c r="F187" s="1529">
        <v>600</v>
      </c>
      <c r="G187" s="1529"/>
      <c r="H187" s="1528"/>
      <c r="I187" s="1528"/>
      <c r="J187" s="1544"/>
      <c r="K187" s="1544"/>
      <c r="L187" s="1528">
        <v>500</v>
      </c>
      <c r="M187" s="1528">
        <v>500</v>
      </c>
      <c r="N187" s="1544"/>
      <c r="O187" s="1544"/>
      <c r="P187" s="1555"/>
      <c r="Q187" s="1555"/>
      <c r="R187" s="1555"/>
      <c r="S187" s="1555">
        <v>0</v>
      </c>
      <c r="T187" s="1516">
        <f t="shared" si="43"/>
        <v>1100</v>
      </c>
      <c r="U187" s="1516">
        <f t="shared" si="44"/>
        <v>500</v>
      </c>
      <c r="V187" s="1528">
        <v>500</v>
      </c>
      <c r="W187" s="1528">
        <v>500</v>
      </c>
      <c r="X187" s="1555"/>
      <c r="Y187" s="1555"/>
      <c r="Z187" s="1516">
        <f t="shared" si="42"/>
        <v>500</v>
      </c>
      <c r="AA187" s="1516">
        <f t="shared" si="42"/>
        <v>500</v>
      </c>
      <c r="AB187" s="1516">
        <f t="shared" si="45"/>
        <v>0</v>
      </c>
      <c r="AC187" s="1555"/>
      <c r="AD187" s="1555"/>
      <c r="AE187" s="1555"/>
      <c r="AF187" s="1555"/>
      <c r="AG187" s="1516">
        <v>100</v>
      </c>
      <c r="AH187" s="1509" t="s">
        <v>608</v>
      </c>
      <c r="AI187" s="1509" t="s">
        <v>1971</v>
      </c>
    </row>
    <row r="188" spans="1:35" ht="22.5" x14ac:dyDescent="0.25">
      <c r="A188" s="1527">
        <v>81</v>
      </c>
      <c r="B188" s="1526" t="s">
        <v>2187</v>
      </c>
      <c r="C188" s="1509" t="s">
        <v>2188</v>
      </c>
      <c r="D188" s="1528">
        <v>5033</v>
      </c>
      <c r="E188" s="1528">
        <v>5033</v>
      </c>
      <c r="F188" s="1529">
        <f>1050+372</f>
        <v>1422</v>
      </c>
      <c r="G188" s="1529">
        <f>1050+372</f>
        <v>1422</v>
      </c>
      <c r="H188" s="1528">
        <v>2715</v>
      </c>
      <c r="I188" s="1528">
        <v>2715</v>
      </c>
      <c r="J188" s="1544"/>
      <c r="K188" s="1555">
        <v>2715</v>
      </c>
      <c r="L188" s="1528">
        <v>230</v>
      </c>
      <c r="M188" s="1528">
        <v>230</v>
      </c>
      <c r="N188" s="1544"/>
      <c r="O188" s="1544"/>
      <c r="P188" s="1555">
        <v>543</v>
      </c>
      <c r="Q188" s="1555">
        <v>543</v>
      </c>
      <c r="R188" s="1555"/>
      <c r="S188" s="1555">
        <v>0</v>
      </c>
      <c r="T188" s="1516">
        <f t="shared" si="43"/>
        <v>4910</v>
      </c>
      <c r="U188" s="1516">
        <f t="shared" si="44"/>
        <v>4910</v>
      </c>
      <c r="V188" s="1528">
        <v>3488</v>
      </c>
      <c r="W188" s="1528">
        <v>3488</v>
      </c>
      <c r="X188" s="1555"/>
      <c r="Y188" s="1555">
        <v>2715</v>
      </c>
      <c r="Z188" s="1516">
        <f t="shared" si="42"/>
        <v>3488</v>
      </c>
      <c r="AA188" s="1516">
        <f t="shared" si="42"/>
        <v>3488</v>
      </c>
      <c r="AB188" s="1516">
        <f t="shared" si="45"/>
        <v>0</v>
      </c>
      <c r="AC188" s="1555"/>
      <c r="AD188" s="1555"/>
      <c r="AE188" s="1555"/>
      <c r="AF188" s="1516">
        <f>Y188-K188-O188-S188</f>
        <v>0</v>
      </c>
      <c r="AG188" s="1516">
        <v>100</v>
      </c>
      <c r="AH188" s="1527" t="s">
        <v>2077</v>
      </c>
      <c r="AI188" s="1509" t="s">
        <v>1971</v>
      </c>
    </row>
    <row r="189" spans="1:35" ht="22.5" x14ac:dyDescent="0.25">
      <c r="A189" s="1527">
        <v>82</v>
      </c>
      <c r="B189" s="1526" t="s">
        <v>2189</v>
      </c>
      <c r="C189" s="1509" t="s">
        <v>2190</v>
      </c>
      <c r="D189" s="1536">
        <v>22979</v>
      </c>
      <c r="E189" s="1528">
        <f>D189-20681.1</f>
        <v>2297.9000000000015</v>
      </c>
      <c r="F189" s="1529">
        <v>20418</v>
      </c>
      <c r="G189" s="1529"/>
      <c r="H189" s="1528"/>
      <c r="I189" s="1528"/>
      <c r="J189" s="1544"/>
      <c r="K189" s="1544"/>
      <c r="L189" s="1528">
        <v>100</v>
      </c>
      <c r="M189" s="1528">
        <v>100</v>
      </c>
      <c r="N189" s="1544"/>
      <c r="O189" s="1544"/>
      <c r="P189" s="1555">
        <v>426</v>
      </c>
      <c r="Q189" s="1555">
        <v>426</v>
      </c>
      <c r="R189" s="1555"/>
      <c r="S189" s="1555">
        <v>0</v>
      </c>
      <c r="T189" s="1516">
        <f t="shared" si="43"/>
        <v>20944</v>
      </c>
      <c r="U189" s="1516">
        <f t="shared" si="44"/>
        <v>526</v>
      </c>
      <c r="V189" s="1528">
        <v>526</v>
      </c>
      <c r="W189" s="1528">
        <v>526</v>
      </c>
      <c r="X189" s="1555"/>
      <c r="Y189" s="1555"/>
      <c r="Z189" s="1516">
        <f t="shared" si="42"/>
        <v>526</v>
      </c>
      <c r="AA189" s="1516">
        <f t="shared" si="42"/>
        <v>526</v>
      </c>
      <c r="AB189" s="1516">
        <f t="shared" si="45"/>
        <v>0</v>
      </c>
      <c r="AC189" s="1555"/>
      <c r="AD189" s="1555"/>
      <c r="AE189" s="1555"/>
      <c r="AF189" s="1555"/>
      <c r="AG189" s="1516">
        <v>100</v>
      </c>
      <c r="AH189" s="1509" t="s">
        <v>423</v>
      </c>
      <c r="AI189" s="1509" t="s">
        <v>1971</v>
      </c>
    </row>
    <row r="190" spans="1:35" ht="22.5" x14ac:dyDescent="0.25">
      <c r="A190" s="1527">
        <v>83</v>
      </c>
      <c r="B190" s="1526" t="s">
        <v>2191</v>
      </c>
      <c r="C190" s="1509" t="s">
        <v>2192</v>
      </c>
      <c r="D190" s="1528">
        <v>40751</v>
      </c>
      <c r="E190" s="1528">
        <v>7718</v>
      </c>
      <c r="F190" s="1529">
        <v>30916</v>
      </c>
      <c r="G190" s="1529">
        <v>6846</v>
      </c>
      <c r="H190" s="1528"/>
      <c r="I190" s="1528"/>
      <c r="J190" s="1544"/>
      <c r="K190" s="1544"/>
      <c r="L190" s="1528">
        <v>300</v>
      </c>
      <c r="M190" s="1528">
        <v>300</v>
      </c>
      <c r="N190" s="1544"/>
      <c r="O190" s="1544">
        <v>300</v>
      </c>
      <c r="P190" s="1555">
        <v>1294</v>
      </c>
      <c r="Q190" s="1555">
        <v>1294</v>
      </c>
      <c r="R190" s="1555"/>
      <c r="S190" s="1555">
        <v>572</v>
      </c>
      <c r="T190" s="1516">
        <f t="shared" si="43"/>
        <v>32510</v>
      </c>
      <c r="U190" s="1516">
        <f t="shared" si="44"/>
        <v>8440</v>
      </c>
      <c r="V190" s="1528">
        <v>1594</v>
      </c>
      <c r="W190" s="1528">
        <v>1594</v>
      </c>
      <c r="X190" s="1555"/>
      <c r="Y190" s="1555">
        <v>872</v>
      </c>
      <c r="Z190" s="1516">
        <f t="shared" si="42"/>
        <v>1594</v>
      </c>
      <c r="AA190" s="1516">
        <f t="shared" si="42"/>
        <v>1594</v>
      </c>
      <c r="AB190" s="1516">
        <f t="shared" si="45"/>
        <v>0</v>
      </c>
      <c r="AC190" s="1555"/>
      <c r="AD190" s="1555"/>
      <c r="AE190" s="1555"/>
      <c r="AF190" s="1516">
        <f t="shared" ref="AF190:AF191" si="49">Y190-K190-O190-S190</f>
        <v>0</v>
      </c>
      <c r="AG190" s="1516">
        <v>100</v>
      </c>
      <c r="AH190" s="1527" t="s">
        <v>427</v>
      </c>
      <c r="AI190" s="1509" t="s">
        <v>1971</v>
      </c>
    </row>
    <row r="191" spans="1:35" ht="22.5" x14ac:dyDescent="0.25">
      <c r="A191" s="1527">
        <v>84</v>
      </c>
      <c r="B191" s="1544" t="s">
        <v>2193</v>
      </c>
      <c r="C191" s="1527" t="s">
        <v>2194</v>
      </c>
      <c r="D191" s="1536">
        <v>6404.7</v>
      </c>
      <c r="E191" s="1536">
        <f>D191-5250</f>
        <v>1154.6999999999998</v>
      </c>
      <c r="F191" s="1529">
        <v>5250</v>
      </c>
      <c r="G191" s="1529">
        <v>5250</v>
      </c>
      <c r="H191" s="1528"/>
      <c r="I191" s="1528"/>
      <c r="J191" s="1544"/>
      <c r="K191" s="1544"/>
      <c r="L191" s="1528">
        <v>115</v>
      </c>
      <c r="M191" s="1528">
        <v>115</v>
      </c>
      <c r="N191" s="1544"/>
      <c r="O191" s="1544">
        <v>115</v>
      </c>
      <c r="P191" s="1555">
        <v>459</v>
      </c>
      <c r="Q191" s="1555">
        <v>459</v>
      </c>
      <c r="R191" s="1555"/>
      <c r="S191" s="1555">
        <v>459</v>
      </c>
      <c r="T191" s="1516">
        <f t="shared" si="43"/>
        <v>5824</v>
      </c>
      <c r="U191" s="1516">
        <f t="shared" si="44"/>
        <v>5824</v>
      </c>
      <c r="V191" s="1528">
        <v>574</v>
      </c>
      <c r="W191" s="1528">
        <v>574</v>
      </c>
      <c r="X191" s="1555"/>
      <c r="Y191" s="1555">
        <v>574</v>
      </c>
      <c r="Z191" s="1516">
        <f t="shared" si="42"/>
        <v>574</v>
      </c>
      <c r="AA191" s="1516">
        <f t="shared" si="42"/>
        <v>574</v>
      </c>
      <c r="AB191" s="1516">
        <f t="shared" si="45"/>
        <v>0</v>
      </c>
      <c r="AC191" s="1555"/>
      <c r="AD191" s="1555"/>
      <c r="AE191" s="1555"/>
      <c r="AF191" s="1516">
        <f t="shared" si="49"/>
        <v>0</v>
      </c>
      <c r="AG191" s="1516">
        <v>100</v>
      </c>
      <c r="AH191" s="1509" t="s">
        <v>420</v>
      </c>
      <c r="AI191" s="1509" t="s">
        <v>1971</v>
      </c>
    </row>
    <row r="192" spans="1:35" ht="33.75" x14ac:dyDescent="0.25">
      <c r="A192" s="1527">
        <v>85</v>
      </c>
      <c r="B192" s="1544" t="s">
        <v>2195</v>
      </c>
      <c r="C192" s="1509" t="s">
        <v>2196</v>
      </c>
      <c r="D192" s="1528">
        <v>2099</v>
      </c>
      <c r="E192" s="1528">
        <v>2099</v>
      </c>
      <c r="F192" s="1529">
        <v>550</v>
      </c>
      <c r="G192" s="1529">
        <v>550</v>
      </c>
      <c r="H192" s="1528"/>
      <c r="I192" s="1528"/>
      <c r="J192" s="1544"/>
      <c r="K192" s="1544"/>
      <c r="L192" s="1528">
        <v>300</v>
      </c>
      <c r="M192" s="1528">
        <v>300</v>
      </c>
      <c r="N192" s="1544"/>
      <c r="O192" s="1544"/>
      <c r="P192" s="1555">
        <v>1087</v>
      </c>
      <c r="Q192" s="1555">
        <v>1087</v>
      </c>
      <c r="R192" s="1555"/>
      <c r="S192" s="1555">
        <v>0</v>
      </c>
      <c r="T192" s="1516">
        <f t="shared" si="43"/>
        <v>1937</v>
      </c>
      <c r="U192" s="1516">
        <f t="shared" si="44"/>
        <v>1937</v>
      </c>
      <c r="V192" s="1528">
        <v>1387</v>
      </c>
      <c r="W192" s="1528">
        <v>1387</v>
      </c>
      <c r="X192" s="1555"/>
      <c r="Y192" s="1555"/>
      <c r="Z192" s="1516">
        <f t="shared" si="42"/>
        <v>1387</v>
      </c>
      <c r="AA192" s="1516">
        <f t="shared" si="42"/>
        <v>1387</v>
      </c>
      <c r="AB192" s="1516">
        <f t="shared" si="45"/>
        <v>0</v>
      </c>
      <c r="AC192" s="1555"/>
      <c r="AD192" s="1555"/>
      <c r="AE192" s="1555"/>
      <c r="AF192" s="1555"/>
      <c r="AG192" s="1516">
        <v>100</v>
      </c>
      <c r="AH192" s="1509" t="s">
        <v>1007</v>
      </c>
      <c r="AI192" s="1509" t="s">
        <v>1971</v>
      </c>
    </row>
    <row r="193" spans="1:36" ht="22.5" x14ac:dyDescent="0.25">
      <c r="A193" s="1527">
        <v>86</v>
      </c>
      <c r="B193" s="1601" t="s">
        <v>2197</v>
      </c>
      <c r="C193" s="1527" t="s">
        <v>2198</v>
      </c>
      <c r="D193" s="1527">
        <v>39900</v>
      </c>
      <c r="E193" s="1527">
        <v>39900</v>
      </c>
      <c r="F193" s="1527">
        <v>33660</v>
      </c>
      <c r="G193" s="1527">
        <v>33660</v>
      </c>
      <c r="H193" s="1602"/>
      <c r="I193" s="1602"/>
      <c r="J193" s="1544"/>
      <c r="K193" s="1544"/>
      <c r="L193" s="1602">
        <v>1000</v>
      </c>
      <c r="M193" s="1602">
        <v>1000</v>
      </c>
      <c r="N193" s="1544"/>
      <c r="O193" s="1544"/>
      <c r="P193" s="1555">
        <v>4938</v>
      </c>
      <c r="Q193" s="1555">
        <v>4938</v>
      </c>
      <c r="R193" s="1555"/>
      <c r="S193" s="1555">
        <v>0</v>
      </c>
      <c r="T193" s="1516">
        <f t="shared" si="43"/>
        <v>39598</v>
      </c>
      <c r="U193" s="1516">
        <f t="shared" si="44"/>
        <v>39598</v>
      </c>
      <c r="V193" s="1528">
        <v>6134</v>
      </c>
      <c r="W193" s="1528">
        <v>6134</v>
      </c>
      <c r="X193" s="1555"/>
      <c r="Y193" s="1555"/>
      <c r="Z193" s="1516">
        <f t="shared" si="42"/>
        <v>5938</v>
      </c>
      <c r="AA193" s="1516">
        <f t="shared" si="42"/>
        <v>5938</v>
      </c>
      <c r="AB193" s="1516">
        <f t="shared" si="45"/>
        <v>196</v>
      </c>
      <c r="AC193" s="1555"/>
      <c r="AD193" s="1555"/>
      <c r="AE193" s="1555"/>
      <c r="AF193" s="1555"/>
      <c r="AG193" s="1516">
        <v>100</v>
      </c>
      <c r="AH193" s="1509" t="s">
        <v>1929</v>
      </c>
      <c r="AI193" s="1509" t="s">
        <v>1971</v>
      </c>
    </row>
    <row r="194" spans="1:36" ht="22.5" x14ac:dyDescent="0.25">
      <c r="A194" s="1527">
        <v>87</v>
      </c>
      <c r="B194" s="1526" t="s">
        <v>2199</v>
      </c>
      <c r="C194" s="1542" t="s">
        <v>2200</v>
      </c>
      <c r="D194" s="1516">
        <v>32585</v>
      </c>
      <c r="E194" s="1516">
        <v>7991</v>
      </c>
      <c r="F194" s="1529">
        <v>30315</v>
      </c>
      <c r="G194" s="1529">
        <v>7200</v>
      </c>
      <c r="H194" s="1528"/>
      <c r="I194" s="1528"/>
      <c r="J194" s="1544"/>
      <c r="K194" s="1544"/>
      <c r="L194" s="1528">
        <v>200</v>
      </c>
      <c r="M194" s="1528">
        <v>200</v>
      </c>
      <c r="N194" s="1544"/>
      <c r="O194" s="1544"/>
      <c r="P194" s="1555">
        <v>215</v>
      </c>
      <c r="Q194" s="1555">
        <v>215</v>
      </c>
      <c r="R194" s="1555"/>
      <c r="S194" s="1555">
        <v>0</v>
      </c>
      <c r="T194" s="1516">
        <f t="shared" si="43"/>
        <v>30730</v>
      </c>
      <c r="U194" s="1516">
        <f t="shared" si="44"/>
        <v>7615</v>
      </c>
      <c r="V194" s="1528">
        <v>605</v>
      </c>
      <c r="W194" s="1528">
        <v>605</v>
      </c>
      <c r="X194" s="1555"/>
      <c r="Y194" s="1555"/>
      <c r="Z194" s="1516">
        <f t="shared" si="42"/>
        <v>415</v>
      </c>
      <c r="AA194" s="1516">
        <f t="shared" si="42"/>
        <v>415</v>
      </c>
      <c r="AB194" s="1516">
        <f t="shared" si="45"/>
        <v>190</v>
      </c>
      <c r="AC194" s="1555"/>
      <c r="AD194" s="1555"/>
      <c r="AE194" s="1555"/>
      <c r="AF194" s="1555"/>
      <c r="AG194" s="1516">
        <v>100</v>
      </c>
      <c r="AH194" s="1527" t="s">
        <v>425</v>
      </c>
      <c r="AI194" s="1509" t="s">
        <v>1971</v>
      </c>
    </row>
    <row r="195" spans="1:36" ht="22.5" x14ac:dyDescent="0.25">
      <c r="A195" s="1527">
        <v>88</v>
      </c>
      <c r="B195" s="1526" t="s">
        <v>2201</v>
      </c>
      <c r="C195" s="1527" t="s">
        <v>2202</v>
      </c>
      <c r="D195" s="1529">
        <v>31183</v>
      </c>
      <c r="E195" s="1528">
        <f>D195</f>
        <v>31183</v>
      </c>
      <c r="F195" s="1529">
        <v>20814</v>
      </c>
      <c r="G195" s="1529">
        <v>20814</v>
      </c>
      <c r="H195" s="1528"/>
      <c r="I195" s="1528"/>
      <c r="J195" s="1544"/>
      <c r="K195" s="1544"/>
      <c r="L195" s="1528">
        <v>1500</v>
      </c>
      <c r="M195" s="1528">
        <v>1500</v>
      </c>
      <c r="N195" s="1544"/>
      <c r="O195" s="1544">
        <v>1500</v>
      </c>
      <c r="P195" s="1555">
        <v>6040</v>
      </c>
      <c r="Q195" s="1555">
        <v>6040</v>
      </c>
      <c r="R195" s="1555"/>
      <c r="S195" s="1555">
        <v>6689</v>
      </c>
      <c r="T195" s="1516">
        <f t="shared" si="43"/>
        <v>28354</v>
      </c>
      <c r="U195" s="1516">
        <f t="shared" si="44"/>
        <v>28354</v>
      </c>
      <c r="V195" s="1528">
        <v>8189</v>
      </c>
      <c r="W195" s="1528">
        <v>8189</v>
      </c>
      <c r="X195" s="1555"/>
      <c r="Y195" s="1555">
        <v>8189</v>
      </c>
      <c r="Z195" s="1516">
        <f t="shared" si="42"/>
        <v>7540</v>
      </c>
      <c r="AA195" s="1516">
        <f t="shared" si="42"/>
        <v>7540</v>
      </c>
      <c r="AB195" s="1516">
        <f t="shared" si="45"/>
        <v>649</v>
      </c>
      <c r="AC195" s="1555"/>
      <c r="AD195" s="1555"/>
      <c r="AE195" s="1555"/>
      <c r="AF195" s="1516">
        <f>Y195-K195-O195-S195</f>
        <v>0</v>
      </c>
      <c r="AG195" s="1516">
        <v>100</v>
      </c>
      <c r="AH195" s="1509" t="s">
        <v>423</v>
      </c>
      <c r="AI195" s="1509" t="s">
        <v>1971</v>
      </c>
    </row>
    <row r="196" spans="1:36" ht="22.5" x14ac:dyDescent="0.25">
      <c r="A196" s="1527">
        <v>89</v>
      </c>
      <c r="B196" s="1526" t="s">
        <v>2203</v>
      </c>
      <c r="C196" s="1509" t="s">
        <v>2204</v>
      </c>
      <c r="D196" s="1528">
        <v>3996</v>
      </c>
      <c r="E196" s="1528">
        <f>D196-1800</f>
        <v>2196</v>
      </c>
      <c r="F196" s="1529">
        <f>1800+1770</f>
        <v>3570</v>
      </c>
      <c r="G196" s="1529">
        <v>1770</v>
      </c>
      <c r="H196" s="1528"/>
      <c r="I196" s="1528"/>
      <c r="J196" s="1544"/>
      <c r="K196" s="1544"/>
      <c r="L196" s="1528">
        <v>275</v>
      </c>
      <c r="M196" s="1528">
        <v>275</v>
      </c>
      <c r="N196" s="1544"/>
      <c r="O196" s="1544"/>
      <c r="P196" s="1555"/>
      <c r="Q196" s="1555"/>
      <c r="R196" s="1555"/>
      <c r="S196" s="1555"/>
      <c r="T196" s="1516">
        <f t="shared" si="43"/>
        <v>3845</v>
      </c>
      <c r="U196" s="1516">
        <f t="shared" si="44"/>
        <v>2045</v>
      </c>
      <c r="V196" s="1528">
        <v>275</v>
      </c>
      <c r="W196" s="1528">
        <v>275</v>
      </c>
      <c r="X196" s="1555"/>
      <c r="Y196" s="1555"/>
      <c r="Z196" s="1516">
        <f t="shared" si="42"/>
        <v>275</v>
      </c>
      <c r="AA196" s="1516">
        <f t="shared" si="42"/>
        <v>275</v>
      </c>
      <c r="AB196" s="1516">
        <f t="shared" si="45"/>
        <v>0</v>
      </c>
      <c r="AC196" s="1555"/>
      <c r="AD196" s="1555"/>
      <c r="AE196" s="1555"/>
      <c r="AF196" s="1555"/>
      <c r="AG196" s="1516">
        <v>100</v>
      </c>
      <c r="AH196" s="1509" t="s">
        <v>1007</v>
      </c>
      <c r="AI196" s="1509" t="s">
        <v>1971</v>
      </c>
    </row>
    <row r="197" spans="1:36" ht="22.5" x14ac:dyDescent="0.25">
      <c r="A197" s="1527">
        <v>90</v>
      </c>
      <c r="B197" s="1526" t="s">
        <v>2205</v>
      </c>
      <c r="C197" s="1509" t="s">
        <v>2206</v>
      </c>
      <c r="D197" s="1528">
        <v>42414</v>
      </c>
      <c r="E197" s="1528">
        <v>1118</v>
      </c>
      <c r="F197" s="1529">
        <v>40844</v>
      </c>
      <c r="G197" s="1529"/>
      <c r="H197" s="1528"/>
      <c r="I197" s="1528"/>
      <c r="J197" s="1544"/>
      <c r="K197" s="1544"/>
      <c r="L197" s="1528">
        <v>220</v>
      </c>
      <c r="M197" s="1528">
        <v>220</v>
      </c>
      <c r="N197" s="1544"/>
      <c r="O197" s="1544"/>
      <c r="P197" s="1555">
        <v>898</v>
      </c>
      <c r="Q197" s="1555">
        <v>898</v>
      </c>
      <c r="R197" s="1555"/>
      <c r="S197" s="1555">
        <v>0</v>
      </c>
      <c r="T197" s="1516">
        <f t="shared" si="43"/>
        <v>41962</v>
      </c>
      <c r="U197" s="1516">
        <f t="shared" si="44"/>
        <v>1118</v>
      </c>
      <c r="V197" s="1528">
        <v>1118</v>
      </c>
      <c r="W197" s="1528">
        <v>1118</v>
      </c>
      <c r="X197" s="1555"/>
      <c r="Y197" s="1555"/>
      <c r="Z197" s="1516">
        <f t="shared" si="42"/>
        <v>1118</v>
      </c>
      <c r="AA197" s="1516">
        <f t="shared" si="42"/>
        <v>1118</v>
      </c>
      <c r="AB197" s="1516">
        <f t="shared" si="45"/>
        <v>0</v>
      </c>
      <c r="AC197" s="1555"/>
      <c r="AD197" s="1555"/>
      <c r="AE197" s="1555"/>
      <c r="AF197" s="1555"/>
      <c r="AG197" s="1516">
        <v>100</v>
      </c>
      <c r="AH197" s="1509" t="s">
        <v>423</v>
      </c>
      <c r="AI197" s="1509" t="s">
        <v>1971</v>
      </c>
    </row>
    <row r="198" spans="1:36" ht="22.5" x14ac:dyDescent="0.25">
      <c r="A198" s="1527">
        <v>91</v>
      </c>
      <c r="B198" s="1526" t="s">
        <v>2207</v>
      </c>
      <c r="C198" s="1527" t="s">
        <v>2208</v>
      </c>
      <c r="D198" s="1536">
        <v>11254.3</v>
      </c>
      <c r="E198" s="1536">
        <f>11254.3-5387</f>
        <v>5867.2999999999993</v>
      </c>
      <c r="F198" s="1529">
        <v>5387</v>
      </c>
      <c r="G198" s="1529"/>
      <c r="H198" s="1528"/>
      <c r="I198" s="1528"/>
      <c r="J198" s="1544"/>
      <c r="K198" s="1544"/>
      <c r="L198" s="1528">
        <v>500</v>
      </c>
      <c r="M198" s="1528">
        <v>500</v>
      </c>
      <c r="N198" s="1544"/>
      <c r="O198" s="1544">
        <v>500</v>
      </c>
      <c r="P198" s="1555">
        <v>2508</v>
      </c>
      <c r="Q198" s="1555">
        <v>2508</v>
      </c>
      <c r="R198" s="1555"/>
      <c r="S198" s="1555">
        <v>2508</v>
      </c>
      <c r="T198" s="1516">
        <f t="shared" si="43"/>
        <v>8395</v>
      </c>
      <c r="U198" s="1516">
        <f t="shared" si="44"/>
        <v>3008</v>
      </c>
      <c r="V198" s="1528">
        <v>3008</v>
      </c>
      <c r="W198" s="1528">
        <v>3008</v>
      </c>
      <c r="X198" s="1555"/>
      <c r="Y198" s="1555">
        <v>3008</v>
      </c>
      <c r="Z198" s="1516">
        <f t="shared" si="42"/>
        <v>3008</v>
      </c>
      <c r="AA198" s="1516">
        <f t="shared" si="42"/>
        <v>3008</v>
      </c>
      <c r="AB198" s="1516">
        <f t="shared" si="45"/>
        <v>0</v>
      </c>
      <c r="AC198" s="1555"/>
      <c r="AD198" s="1555"/>
      <c r="AE198" s="1555"/>
      <c r="AF198" s="1516">
        <f t="shared" ref="AF198:AF199" si="50">Y198-K198-O198-S198</f>
        <v>0</v>
      </c>
      <c r="AG198" s="1516">
        <v>100</v>
      </c>
      <c r="AH198" s="1509" t="s">
        <v>420</v>
      </c>
      <c r="AI198" s="1509" t="s">
        <v>1971</v>
      </c>
    </row>
    <row r="199" spans="1:36" ht="22.5" x14ac:dyDescent="0.25">
      <c r="A199" s="1527">
        <v>92</v>
      </c>
      <c r="B199" s="1548" t="s">
        <v>2209</v>
      </c>
      <c r="C199" s="1527" t="s">
        <v>2210</v>
      </c>
      <c r="D199" s="1536">
        <v>9681</v>
      </c>
      <c r="E199" s="1536">
        <v>9681</v>
      </c>
      <c r="F199" s="1529">
        <v>7799</v>
      </c>
      <c r="G199" s="1529">
        <v>7799</v>
      </c>
      <c r="H199" s="1528"/>
      <c r="I199" s="1528"/>
      <c r="J199" s="1544"/>
      <c r="K199" s="1544"/>
      <c r="L199" s="1528">
        <v>200</v>
      </c>
      <c r="M199" s="1528">
        <v>200</v>
      </c>
      <c r="N199" s="1544"/>
      <c r="O199" s="1544">
        <v>200</v>
      </c>
      <c r="P199" s="1555">
        <v>880</v>
      </c>
      <c r="Q199" s="1555">
        <v>880</v>
      </c>
      <c r="R199" s="1555"/>
      <c r="S199" s="1555">
        <v>898</v>
      </c>
      <c r="T199" s="1516">
        <f t="shared" si="43"/>
        <v>8879</v>
      </c>
      <c r="U199" s="1516">
        <f t="shared" si="44"/>
        <v>8879</v>
      </c>
      <c r="V199" s="1528">
        <v>1098</v>
      </c>
      <c r="W199" s="1528">
        <v>1098</v>
      </c>
      <c r="X199" s="1555"/>
      <c r="Y199" s="1555">
        <v>1098</v>
      </c>
      <c r="Z199" s="1516">
        <f t="shared" si="42"/>
        <v>1080</v>
      </c>
      <c r="AA199" s="1516">
        <f t="shared" si="42"/>
        <v>1080</v>
      </c>
      <c r="AB199" s="1516">
        <f t="shared" si="45"/>
        <v>18</v>
      </c>
      <c r="AC199" s="1555"/>
      <c r="AD199" s="1555"/>
      <c r="AE199" s="1555"/>
      <c r="AF199" s="1516">
        <f t="shared" si="50"/>
        <v>0</v>
      </c>
      <c r="AG199" s="1516">
        <v>100</v>
      </c>
      <c r="AH199" s="1527" t="s">
        <v>425</v>
      </c>
      <c r="AI199" s="1509" t="s">
        <v>1971</v>
      </c>
    </row>
    <row r="200" spans="1:36" ht="33.75" x14ac:dyDescent="0.25">
      <c r="A200" s="1527">
        <v>93</v>
      </c>
      <c r="B200" s="1526" t="s">
        <v>2211</v>
      </c>
      <c r="C200" s="1527" t="s">
        <v>2212</v>
      </c>
      <c r="D200" s="1528">
        <v>3701</v>
      </c>
      <c r="E200" s="1528">
        <v>3701</v>
      </c>
      <c r="F200" s="1529">
        <v>1600</v>
      </c>
      <c r="G200" s="1529">
        <v>1600</v>
      </c>
      <c r="H200" s="1528"/>
      <c r="I200" s="1528"/>
      <c r="J200" s="1544"/>
      <c r="K200" s="1544"/>
      <c r="L200" s="1528">
        <v>200</v>
      </c>
      <c r="M200" s="1528">
        <v>200</v>
      </c>
      <c r="N200" s="1544"/>
      <c r="O200" s="1544"/>
      <c r="P200" s="1555">
        <v>920</v>
      </c>
      <c r="Q200" s="1555">
        <v>920</v>
      </c>
      <c r="R200" s="1555"/>
      <c r="S200" s="1555">
        <v>0</v>
      </c>
      <c r="T200" s="1516">
        <f t="shared" si="43"/>
        <v>2720</v>
      </c>
      <c r="U200" s="1516">
        <f t="shared" si="44"/>
        <v>2720</v>
      </c>
      <c r="V200" s="1528">
        <v>1120</v>
      </c>
      <c r="W200" s="1528">
        <v>1120</v>
      </c>
      <c r="X200" s="1555"/>
      <c r="Y200" s="1555"/>
      <c r="Z200" s="1516">
        <f t="shared" si="42"/>
        <v>1120</v>
      </c>
      <c r="AA200" s="1516">
        <f t="shared" si="42"/>
        <v>1120</v>
      </c>
      <c r="AB200" s="1516">
        <f t="shared" si="45"/>
        <v>0</v>
      </c>
      <c r="AC200" s="1555"/>
      <c r="AD200" s="1555"/>
      <c r="AE200" s="1555"/>
      <c r="AF200" s="1555"/>
      <c r="AG200" s="1516">
        <v>100</v>
      </c>
      <c r="AH200" s="1509" t="s">
        <v>2077</v>
      </c>
      <c r="AI200" s="1509" t="s">
        <v>1971</v>
      </c>
    </row>
    <row r="201" spans="1:36" ht="33.75" x14ac:dyDescent="0.25">
      <c r="A201" s="1527">
        <v>94</v>
      </c>
      <c r="B201" s="1526" t="s">
        <v>2213</v>
      </c>
      <c r="C201" s="1509" t="s">
        <v>2214</v>
      </c>
      <c r="D201" s="1529">
        <v>55465</v>
      </c>
      <c r="E201" s="1529"/>
      <c r="F201" s="1529">
        <v>15400</v>
      </c>
      <c r="G201" s="1529"/>
      <c r="H201" s="1528"/>
      <c r="I201" s="1528"/>
      <c r="J201" s="1544"/>
      <c r="K201" s="1544"/>
      <c r="L201" s="1528"/>
      <c r="M201" s="1528"/>
      <c r="N201" s="1544"/>
      <c r="O201" s="1544"/>
      <c r="P201" s="1555"/>
      <c r="Q201" s="1555"/>
      <c r="R201" s="1555"/>
      <c r="S201" s="1555">
        <v>0</v>
      </c>
      <c r="T201" s="1516">
        <f t="shared" si="43"/>
        <v>15400</v>
      </c>
      <c r="U201" s="1516">
        <f t="shared" si="44"/>
        <v>0</v>
      </c>
      <c r="V201" s="1528">
        <v>2338</v>
      </c>
      <c r="W201" s="1528">
        <v>2338</v>
      </c>
      <c r="X201" s="1555"/>
      <c r="Y201" s="1555"/>
      <c r="Z201" s="1516">
        <f t="shared" si="42"/>
        <v>0</v>
      </c>
      <c r="AA201" s="1516">
        <f t="shared" si="42"/>
        <v>0</v>
      </c>
      <c r="AB201" s="1516">
        <f t="shared" si="45"/>
        <v>2338</v>
      </c>
      <c r="AC201" s="1555"/>
      <c r="AD201" s="1555"/>
      <c r="AE201" s="1555"/>
      <c r="AF201" s="1555"/>
      <c r="AG201" s="1516">
        <v>100</v>
      </c>
      <c r="AH201" s="1509" t="s">
        <v>608</v>
      </c>
      <c r="AI201" s="1509" t="s">
        <v>1971</v>
      </c>
    </row>
    <row r="202" spans="1:36" ht="33.75" x14ac:dyDescent="0.25">
      <c r="A202" s="1527">
        <v>95</v>
      </c>
      <c r="B202" s="1526" t="s">
        <v>2215</v>
      </c>
      <c r="C202" s="1527"/>
      <c r="D202" s="1528">
        <v>7680</v>
      </c>
      <c r="E202" s="1528">
        <v>7680</v>
      </c>
      <c r="F202" s="1529">
        <v>7403</v>
      </c>
      <c r="G202" s="1529">
        <v>7403</v>
      </c>
      <c r="H202" s="1528"/>
      <c r="I202" s="1528"/>
      <c r="J202" s="1544"/>
      <c r="K202" s="1544"/>
      <c r="L202" s="1528"/>
      <c r="M202" s="1528"/>
      <c r="N202" s="1544"/>
      <c r="O202" s="1544"/>
      <c r="P202" s="1555">
        <v>288</v>
      </c>
      <c r="Q202" s="1555">
        <v>288</v>
      </c>
      <c r="R202" s="1555"/>
      <c r="S202" s="1555">
        <v>0</v>
      </c>
      <c r="T202" s="1516">
        <f t="shared" si="43"/>
        <v>7691</v>
      </c>
      <c r="U202" s="1516">
        <f t="shared" si="44"/>
        <v>7691</v>
      </c>
      <c r="V202" s="1528">
        <v>331.3</v>
      </c>
      <c r="W202" s="1528">
        <v>331.3</v>
      </c>
      <c r="X202" s="1555"/>
      <c r="Y202" s="1555"/>
      <c r="Z202" s="1516">
        <f t="shared" si="42"/>
        <v>288</v>
      </c>
      <c r="AA202" s="1516">
        <f t="shared" si="42"/>
        <v>288</v>
      </c>
      <c r="AB202" s="1516">
        <f t="shared" si="45"/>
        <v>43.300000000000011</v>
      </c>
      <c r="AC202" s="1555"/>
      <c r="AD202" s="1555"/>
      <c r="AE202" s="1555"/>
      <c r="AF202" s="1555"/>
      <c r="AG202" s="1516">
        <v>100</v>
      </c>
      <c r="AH202" s="1527" t="s">
        <v>418</v>
      </c>
      <c r="AI202" s="1509" t="s">
        <v>1971</v>
      </c>
    </row>
    <row r="203" spans="1:36" ht="33.75" x14ac:dyDescent="0.25">
      <c r="A203" s="1527">
        <v>96</v>
      </c>
      <c r="B203" s="1526" t="s">
        <v>2216</v>
      </c>
      <c r="C203" s="1527" t="s">
        <v>2217</v>
      </c>
      <c r="D203" s="1529">
        <v>52162</v>
      </c>
      <c r="E203" s="1529">
        <v>14519</v>
      </c>
      <c r="F203" s="1529">
        <v>43361</v>
      </c>
      <c r="G203" s="1529"/>
      <c r="H203" s="1528"/>
      <c r="I203" s="1528"/>
      <c r="J203" s="1544"/>
      <c r="K203" s="1544"/>
      <c r="L203" s="1528"/>
      <c r="M203" s="1528"/>
      <c r="N203" s="1544"/>
      <c r="O203" s="1544"/>
      <c r="P203" s="1555">
        <v>2274</v>
      </c>
      <c r="Q203" s="1555">
        <v>2274</v>
      </c>
      <c r="R203" s="1555"/>
      <c r="S203" s="1555">
        <v>2274</v>
      </c>
      <c r="T203" s="1516">
        <f t="shared" si="43"/>
        <v>45635</v>
      </c>
      <c r="U203" s="1516">
        <f t="shared" si="44"/>
        <v>2274</v>
      </c>
      <c r="V203" s="1528">
        <v>2274</v>
      </c>
      <c r="W203" s="1528">
        <v>2274</v>
      </c>
      <c r="X203" s="1555"/>
      <c r="Y203" s="1555">
        <v>2274</v>
      </c>
      <c r="Z203" s="1516">
        <f t="shared" si="42"/>
        <v>2274</v>
      </c>
      <c r="AA203" s="1516">
        <f t="shared" si="42"/>
        <v>2274</v>
      </c>
      <c r="AB203" s="1516">
        <f t="shared" si="45"/>
        <v>0</v>
      </c>
      <c r="AC203" s="1555"/>
      <c r="AD203" s="1555"/>
      <c r="AE203" s="1555"/>
      <c r="AF203" s="1516">
        <f>Y203-K203-O203-S203</f>
        <v>0</v>
      </c>
      <c r="AG203" s="1516">
        <v>100</v>
      </c>
      <c r="AH203" s="1527" t="s">
        <v>424</v>
      </c>
      <c r="AI203" s="1509" t="s">
        <v>1971</v>
      </c>
    </row>
    <row r="204" spans="1:36" ht="33.75" x14ac:dyDescent="0.25">
      <c r="A204" s="1527">
        <v>97</v>
      </c>
      <c r="B204" s="1526" t="s">
        <v>2218</v>
      </c>
      <c r="C204" s="1509" t="s">
        <v>2219</v>
      </c>
      <c r="D204" s="1528">
        <v>8616</v>
      </c>
      <c r="E204" s="1528">
        <v>5416</v>
      </c>
      <c r="F204" s="1529">
        <v>3015</v>
      </c>
      <c r="G204" s="1529"/>
      <c r="H204" s="1528"/>
      <c r="I204" s="1528"/>
      <c r="J204" s="1544"/>
      <c r="K204" s="1544"/>
      <c r="L204" s="1528">
        <v>3000</v>
      </c>
      <c r="M204" s="1528">
        <v>3000</v>
      </c>
      <c r="N204" s="1544"/>
      <c r="O204" s="1544"/>
      <c r="P204" s="1555">
        <v>524</v>
      </c>
      <c r="Q204" s="1555">
        <v>524</v>
      </c>
      <c r="R204" s="1555"/>
      <c r="S204" s="1555">
        <v>0</v>
      </c>
      <c r="T204" s="1516">
        <f t="shared" si="43"/>
        <v>6539</v>
      </c>
      <c r="U204" s="1516">
        <f t="shared" si="44"/>
        <v>3524</v>
      </c>
      <c r="V204" s="1528">
        <v>3985</v>
      </c>
      <c r="W204" s="1528">
        <v>3800</v>
      </c>
      <c r="X204" s="1555"/>
      <c r="Y204" s="1555"/>
      <c r="Z204" s="1516">
        <f t="shared" si="42"/>
        <v>3524</v>
      </c>
      <c r="AA204" s="1516">
        <f t="shared" si="42"/>
        <v>3524</v>
      </c>
      <c r="AB204" s="1516">
        <f t="shared" si="45"/>
        <v>276</v>
      </c>
      <c r="AC204" s="1555"/>
      <c r="AD204" s="1555"/>
      <c r="AE204" s="1555"/>
      <c r="AF204" s="1555"/>
      <c r="AG204" s="1516">
        <v>100</v>
      </c>
      <c r="AH204" s="1509" t="s">
        <v>423</v>
      </c>
      <c r="AI204" s="1509" t="s">
        <v>1971</v>
      </c>
      <c r="AJ204" s="1509" t="s">
        <v>2220</v>
      </c>
    </row>
    <row r="205" spans="1:36" ht="33.75" x14ac:dyDescent="0.25">
      <c r="A205" s="1527">
        <v>98</v>
      </c>
      <c r="B205" s="1586" t="s">
        <v>2221</v>
      </c>
      <c r="C205" s="1527"/>
      <c r="D205" s="1529">
        <v>31655</v>
      </c>
      <c r="E205" s="1529">
        <v>3413</v>
      </c>
      <c r="F205" s="1529">
        <v>25243</v>
      </c>
      <c r="G205" s="1529"/>
      <c r="H205" s="1528"/>
      <c r="I205" s="1528"/>
      <c r="J205" s="1544"/>
      <c r="K205" s="1544"/>
      <c r="L205" s="1528"/>
      <c r="M205" s="1528"/>
      <c r="N205" s="1544"/>
      <c r="O205" s="1544"/>
      <c r="P205" s="1555">
        <v>1051</v>
      </c>
      <c r="Q205" s="1555">
        <v>1051</v>
      </c>
      <c r="R205" s="1555">
        <v>0</v>
      </c>
      <c r="S205" s="1555">
        <v>1277</v>
      </c>
      <c r="T205" s="1516">
        <f t="shared" si="43"/>
        <v>26294</v>
      </c>
      <c r="U205" s="1516">
        <f t="shared" si="44"/>
        <v>1051</v>
      </c>
      <c r="V205" s="1528">
        <v>1277</v>
      </c>
      <c r="W205" s="1528">
        <v>1277</v>
      </c>
      <c r="X205" s="1555"/>
      <c r="Y205" s="1555">
        <v>1277</v>
      </c>
      <c r="Z205" s="1516">
        <f t="shared" si="42"/>
        <v>1051</v>
      </c>
      <c r="AA205" s="1516">
        <f t="shared" si="42"/>
        <v>1051</v>
      </c>
      <c r="AB205" s="1516">
        <f t="shared" si="45"/>
        <v>226</v>
      </c>
      <c r="AC205" s="1555"/>
      <c r="AD205" s="1555"/>
      <c r="AE205" s="1555"/>
      <c r="AF205" s="1516">
        <f>Y205-K205-O205-S205</f>
        <v>0</v>
      </c>
      <c r="AG205" s="1516">
        <v>100</v>
      </c>
      <c r="AH205" s="1527" t="s">
        <v>425</v>
      </c>
      <c r="AI205" s="1509" t="s">
        <v>1971</v>
      </c>
      <c r="AJ205" s="1509" t="s">
        <v>2222</v>
      </c>
    </row>
    <row r="206" spans="1:36" ht="33.75" x14ac:dyDescent="0.25">
      <c r="A206" s="1527">
        <v>99</v>
      </c>
      <c r="B206" s="1584" t="s">
        <v>2223</v>
      </c>
      <c r="C206" s="1509" t="s">
        <v>2224</v>
      </c>
      <c r="D206" s="1528">
        <v>5346</v>
      </c>
      <c r="E206" s="1528">
        <v>5346</v>
      </c>
      <c r="F206" s="1529"/>
      <c r="G206" s="1529"/>
      <c r="H206" s="1528">
        <v>5000</v>
      </c>
      <c r="I206" s="1528">
        <v>5000</v>
      </c>
      <c r="J206" s="1544"/>
      <c r="K206" s="1544"/>
      <c r="L206" s="1528"/>
      <c r="M206" s="1528"/>
      <c r="N206" s="1544"/>
      <c r="O206" s="1544"/>
      <c r="P206" s="1555">
        <v>300</v>
      </c>
      <c r="Q206" s="1555">
        <v>300</v>
      </c>
      <c r="R206" s="1555"/>
      <c r="S206" s="1555">
        <v>0</v>
      </c>
      <c r="T206" s="1516">
        <f t="shared" si="43"/>
        <v>5300</v>
      </c>
      <c r="U206" s="1516">
        <f t="shared" si="44"/>
        <v>5300</v>
      </c>
      <c r="V206" s="1528">
        <v>5300</v>
      </c>
      <c r="W206" s="1528">
        <v>5300</v>
      </c>
      <c r="X206" s="1555"/>
      <c r="Y206" s="1555"/>
      <c r="Z206" s="1516">
        <f t="shared" si="42"/>
        <v>5300</v>
      </c>
      <c r="AA206" s="1516">
        <f t="shared" si="42"/>
        <v>5300</v>
      </c>
      <c r="AB206" s="1516">
        <f t="shared" si="45"/>
        <v>0</v>
      </c>
      <c r="AC206" s="1555"/>
      <c r="AD206" s="1555"/>
      <c r="AE206" s="1555"/>
      <c r="AF206" s="1555"/>
      <c r="AG206" s="1516">
        <v>100</v>
      </c>
      <c r="AH206" s="1527" t="s">
        <v>608</v>
      </c>
      <c r="AI206" s="1509" t="s">
        <v>1971</v>
      </c>
      <c r="AJ206" s="1509" t="s">
        <v>2225</v>
      </c>
    </row>
    <row r="207" spans="1:36" ht="33.75" x14ac:dyDescent="0.25">
      <c r="A207" s="1527">
        <v>100</v>
      </c>
      <c r="B207" s="1544" t="s">
        <v>2226</v>
      </c>
      <c r="C207" s="1509" t="s">
        <v>2227</v>
      </c>
      <c r="D207" s="1536">
        <v>12115</v>
      </c>
      <c r="E207" s="1536">
        <f>D207-10094</f>
        <v>2021</v>
      </c>
      <c r="F207" s="1528">
        <v>8556</v>
      </c>
      <c r="G207" s="1529"/>
      <c r="H207" s="1528"/>
      <c r="I207" s="1528"/>
      <c r="J207" s="1544"/>
      <c r="K207" s="1544"/>
      <c r="L207" s="1528"/>
      <c r="M207" s="1528"/>
      <c r="N207" s="1544"/>
      <c r="O207" s="1544"/>
      <c r="P207" s="1555">
        <v>809.5</v>
      </c>
      <c r="Q207" s="1555">
        <v>809.5</v>
      </c>
      <c r="R207" s="1555"/>
      <c r="S207" s="1555">
        <v>0</v>
      </c>
      <c r="T207" s="1516">
        <f t="shared" si="43"/>
        <v>9365.5</v>
      </c>
      <c r="U207" s="1516">
        <f t="shared" si="44"/>
        <v>809.5</v>
      </c>
      <c r="V207" s="1528">
        <v>2347.5</v>
      </c>
      <c r="W207" s="1528">
        <v>809.5</v>
      </c>
      <c r="X207" s="1555"/>
      <c r="Y207" s="1555"/>
      <c r="Z207" s="1516">
        <f t="shared" si="42"/>
        <v>809.5</v>
      </c>
      <c r="AA207" s="1516">
        <f t="shared" si="42"/>
        <v>809.5</v>
      </c>
      <c r="AB207" s="1516">
        <f t="shared" si="45"/>
        <v>0</v>
      </c>
      <c r="AC207" s="1555"/>
      <c r="AD207" s="1555"/>
      <c r="AE207" s="1555"/>
      <c r="AF207" s="1555"/>
      <c r="AG207" s="1516">
        <v>100</v>
      </c>
      <c r="AH207" s="1509" t="s">
        <v>1031</v>
      </c>
      <c r="AI207" s="1509" t="s">
        <v>1803</v>
      </c>
      <c r="AJ207" s="1509" t="s">
        <v>2228</v>
      </c>
    </row>
    <row r="208" spans="1:36" ht="33.75" x14ac:dyDescent="0.25">
      <c r="A208" s="1527">
        <v>101</v>
      </c>
      <c r="B208" s="1526" t="s">
        <v>2229</v>
      </c>
      <c r="C208" s="1527" t="s">
        <v>2230</v>
      </c>
      <c r="D208" s="1528">
        <v>14712</v>
      </c>
      <c r="E208" s="1529">
        <v>1712</v>
      </c>
      <c r="F208" s="1529">
        <v>13000</v>
      </c>
      <c r="G208" s="1529"/>
      <c r="H208" s="1549"/>
      <c r="I208" s="1549"/>
      <c r="J208" s="1544"/>
      <c r="K208" s="1544"/>
      <c r="L208" s="1549"/>
      <c r="M208" s="1549"/>
      <c r="N208" s="1544"/>
      <c r="O208" s="1544"/>
      <c r="P208" s="1555">
        <v>181</v>
      </c>
      <c r="Q208" s="1555">
        <v>181</v>
      </c>
      <c r="R208" s="1555">
        <v>0</v>
      </c>
      <c r="S208" s="1555">
        <v>181</v>
      </c>
      <c r="T208" s="1516">
        <f t="shared" si="43"/>
        <v>13181</v>
      </c>
      <c r="U208" s="1516">
        <f t="shared" si="44"/>
        <v>181</v>
      </c>
      <c r="V208" s="1528">
        <v>181</v>
      </c>
      <c r="W208" s="1528">
        <v>181</v>
      </c>
      <c r="X208" s="1555"/>
      <c r="Y208" s="1555">
        <v>181</v>
      </c>
      <c r="Z208" s="1516">
        <f t="shared" ref="Z208:AA280" si="51">H208+L208+P208</f>
        <v>181</v>
      </c>
      <c r="AA208" s="1516">
        <f t="shared" si="51"/>
        <v>181</v>
      </c>
      <c r="AB208" s="1516">
        <f t="shared" si="45"/>
        <v>0</v>
      </c>
      <c r="AC208" s="1555"/>
      <c r="AD208" s="1555"/>
      <c r="AE208" s="1555"/>
      <c r="AF208" s="1516">
        <f t="shared" ref="AF208:AF209" si="52">Y208-K208-O208-S208</f>
        <v>0</v>
      </c>
      <c r="AG208" s="1516">
        <v>100</v>
      </c>
      <c r="AH208" s="1527" t="s">
        <v>427</v>
      </c>
      <c r="AI208" s="1509" t="s">
        <v>1971</v>
      </c>
      <c r="AJ208" s="1509" t="s">
        <v>2231</v>
      </c>
    </row>
    <row r="209" spans="1:36" ht="33.75" x14ac:dyDescent="0.25">
      <c r="A209" s="1527">
        <v>102</v>
      </c>
      <c r="B209" s="1544" t="s">
        <v>2232</v>
      </c>
      <c r="C209" s="1509" t="s">
        <v>2233</v>
      </c>
      <c r="D209" s="1549">
        <v>10635</v>
      </c>
      <c r="E209" s="1549">
        <f>D209-F209</f>
        <v>8635</v>
      </c>
      <c r="F209" s="1529">
        <v>2000</v>
      </c>
      <c r="G209" s="1529"/>
      <c r="H209" s="1528"/>
      <c r="I209" s="1528"/>
      <c r="J209" s="1544"/>
      <c r="K209" s="1544"/>
      <c r="L209" s="1528"/>
      <c r="M209" s="1528"/>
      <c r="N209" s="1544"/>
      <c r="O209" s="1544"/>
      <c r="P209" s="1555">
        <v>6648</v>
      </c>
      <c r="Q209" s="1555">
        <v>6648</v>
      </c>
      <c r="R209" s="1555"/>
      <c r="S209" s="1555">
        <v>1836</v>
      </c>
      <c r="T209" s="1516">
        <f t="shared" si="43"/>
        <v>8648</v>
      </c>
      <c r="U209" s="1516">
        <f t="shared" si="44"/>
        <v>6648</v>
      </c>
      <c r="V209" s="1528">
        <v>6760</v>
      </c>
      <c r="W209" s="1528">
        <v>6760</v>
      </c>
      <c r="X209" s="1555"/>
      <c r="Y209" s="1555">
        <v>1836</v>
      </c>
      <c r="Z209" s="1516">
        <f t="shared" si="51"/>
        <v>6648</v>
      </c>
      <c r="AA209" s="1516">
        <f t="shared" si="51"/>
        <v>6648</v>
      </c>
      <c r="AB209" s="1516">
        <f t="shared" si="45"/>
        <v>112</v>
      </c>
      <c r="AC209" s="1555"/>
      <c r="AD209" s="1555"/>
      <c r="AE209" s="1555"/>
      <c r="AF209" s="1516">
        <f t="shared" si="52"/>
        <v>0</v>
      </c>
      <c r="AG209" s="1516">
        <v>100</v>
      </c>
      <c r="AH209" s="1527" t="s">
        <v>427</v>
      </c>
      <c r="AI209" s="1509" t="s">
        <v>1971</v>
      </c>
      <c r="AJ209" s="1509" t="s">
        <v>2234</v>
      </c>
    </row>
    <row r="210" spans="1:36" ht="29.25" customHeight="1" x14ac:dyDescent="0.25">
      <c r="A210" s="1527">
        <v>103</v>
      </c>
      <c r="B210" s="1554" t="s">
        <v>2235</v>
      </c>
      <c r="C210" s="1509"/>
      <c r="D210" s="1528">
        <v>1500</v>
      </c>
      <c r="E210" s="1528">
        <v>1000</v>
      </c>
      <c r="F210" s="1528"/>
      <c r="G210" s="1528"/>
      <c r="H210" s="1528">
        <v>726</v>
      </c>
      <c r="I210" s="1528">
        <v>726</v>
      </c>
      <c r="J210" s="1544"/>
      <c r="K210" s="1544"/>
      <c r="L210" s="1528"/>
      <c r="M210" s="1528"/>
      <c r="N210" s="1544"/>
      <c r="O210" s="1544"/>
      <c r="P210" s="1555">
        <v>174</v>
      </c>
      <c r="Q210" s="1555">
        <v>174</v>
      </c>
      <c r="R210" s="1555"/>
      <c r="S210" s="1555">
        <v>0</v>
      </c>
      <c r="T210" s="1516">
        <f t="shared" si="43"/>
        <v>900</v>
      </c>
      <c r="U210" s="1516">
        <f t="shared" si="44"/>
        <v>900</v>
      </c>
      <c r="V210" s="1528">
        <v>1350</v>
      </c>
      <c r="W210" s="1528">
        <v>900</v>
      </c>
      <c r="X210" s="1555"/>
      <c r="Y210" s="1555"/>
      <c r="Z210" s="1516">
        <f t="shared" si="51"/>
        <v>900</v>
      </c>
      <c r="AA210" s="1516">
        <f t="shared" si="51"/>
        <v>900</v>
      </c>
      <c r="AB210" s="1516">
        <f t="shared" si="45"/>
        <v>0</v>
      </c>
      <c r="AC210" s="1555"/>
      <c r="AD210" s="1555"/>
      <c r="AE210" s="1555"/>
      <c r="AF210" s="1555"/>
      <c r="AG210" s="1516">
        <v>100</v>
      </c>
      <c r="AH210" s="1509" t="s">
        <v>1929</v>
      </c>
      <c r="AI210" s="1509" t="s">
        <v>1971</v>
      </c>
      <c r="AJ210" s="1509" t="s">
        <v>2228</v>
      </c>
    </row>
    <row r="211" spans="1:36" ht="27" customHeight="1" x14ac:dyDescent="0.25">
      <c r="A211" s="1527">
        <v>104</v>
      </c>
      <c r="B211" s="1544" t="s">
        <v>2236</v>
      </c>
      <c r="C211" s="1509" t="s">
        <v>2237</v>
      </c>
      <c r="D211" s="1603">
        <v>5100</v>
      </c>
      <c r="E211" s="1603">
        <f>5100-3500</f>
        <v>1600</v>
      </c>
      <c r="F211" s="1529">
        <v>4050</v>
      </c>
      <c r="G211" s="1529">
        <f>528+50</f>
        <v>578</v>
      </c>
      <c r="H211" s="1528"/>
      <c r="I211" s="1528"/>
      <c r="J211" s="1544"/>
      <c r="K211" s="1544"/>
      <c r="L211" s="1528"/>
      <c r="M211" s="1528"/>
      <c r="N211" s="1544"/>
      <c r="O211" s="1544"/>
      <c r="P211" s="1555">
        <v>336</v>
      </c>
      <c r="Q211" s="1555">
        <v>336</v>
      </c>
      <c r="R211" s="1555"/>
      <c r="S211" s="1555">
        <v>0</v>
      </c>
      <c r="T211" s="1516">
        <f t="shared" si="43"/>
        <v>4386</v>
      </c>
      <c r="U211" s="1516">
        <f t="shared" si="44"/>
        <v>914</v>
      </c>
      <c r="V211" s="1528">
        <v>336</v>
      </c>
      <c r="W211" s="1528">
        <v>336</v>
      </c>
      <c r="X211" s="1555"/>
      <c r="Y211" s="1555"/>
      <c r="Z211" s="1516">
        <f t="shared" si="51"/>
        <v>336</v>
      </c>
      <c r="AA211" s="1516">
        <f t="shared" si="51"/>
        <v>336</v>
      </c>
      <c r="AB211" s="1516">
        <f t="shared" si="45"/>
        <v>0</v>
      </c>
      <c r="AC211" s="1555"/>
      <c r="AD211" s="1555"/>
      <c r="AE211" s="1555"/>
      <c r="AF211" s="1555"/>
      <c r="AG211" s="1516">
        <v>100</v>
      </c>
      <c r="AH211" s="1527" t="s">
        <v>172</v>
      </c>
      <c r="AI211" s="1509" t="s">
        <v>1971</v>
      </c>
      <c r="AJ211" s="1509" t="s">
        <v>2238</v>
      </c>
    </row>
    <row r="212" spans="1:36" ht="22.5" x14ac:dyDescent="0.25">
      <c r="A212" s="1527">
        <v>105</v>
      </c>
      <c r="B212" s="1584" t="s">
        <v>2239</v>
      </c>
      <c r="C212" s="1509" t="s">
        <v>2240</v>
      </c>
      <c r="D212" s="1528">
        <v>2407.758362</v>
      </c>
      <c r="E212" s="1528">
        <f>D212</f>
        <v>2407.758362</v>
      </c>
      <c r="F212" s="1529">
        <v>1758</v>
      </c>
      <c r="G212" s="1529">
        <v>1758</v>
      </c>
      <c r="H212" s="1528"/>
      <c r="I212" s="1528"/>
      <c r="J212" s="1544"/>
      <c r="K212" s="1544"/>
      <c r="L212" s="1528"/>
      <c r="M212" s="1528"/>
      <c r="N212" s="1544"/>
      <c r="O212" s="1544"/>
      <c r="P212" s="1544">
        <v>317</v>
      </c>
      <c r="Q212" s="1544">
        <v>317</v>
      </c>
      <c r="R212" s="1555"/>
      <c r="S212" s="1555"/>
      <c r="T212" s="1516">
        <f t="shared" si="43"/>
        <v>2075</v>
      </c>
      <c r="U212" s="1516">
        <f t="shared" si="44"/>
        <v>2075</v>
      </c>
      <c r="V212" s="1544">
        <v>317</v>
      </c>
      <c r="W212" s="1544">
        <v>317</v>
      </c>
      <c r="X212" s="1555"/>
      <c r="Y212" s="1555"/>
      <c r="Z212" s="1516">
        <f t="shared" si="51"/>
        <v>317</v>
      </c>
      <c r="AA212" s="1516">
        <f t="shared" si="51"/>
        <v>317</v>
      </c>
      <c r="AB212" s="1516">
        <f t="shared" si="45"/>
        <v>0</v>
      </c>
      <c r="AC212" s="1555"/>
      <c r="AD212" s="1555"/>
      <c r="AE212" s="1555"/>
      <c r="AF212" s="1555"/>
      <c r="AG212" s="1516">
        <v>100</v>
      </c>
      <c r="AH212" s="1527" t="s">
        <v>427</v>
      </c>
      <c r="AI212" s="1509" t="s">
        <v>1971</v>
      </c>
    </row>
    <row r="213" spans="1:36" ht="22.5" x14ac:dyDescent="0.25">
      <c r="A213" s="1527">
        <v>106</v>
      </c>
      <c r="B213" s="1584" t="s">
        <v>2241</v>
      </c>
      <c r="C213" s="1509" t="s">
        <v>2242</v>
      </c>
      <c r="D213" s="1528">
        <v>8079.6</v>
      </c>
      <c r="E213" s="1528">
        <f>D213</f>
        <v>8079.6</v>
      </c>
      <c r="F213" s="1529">
        <v>7851</v>
      </c>
      <c r="G213" s="1529">
        <v>7851</v>
      </c>
      <c r="H213" s="1528"/>
      <c r="I213" s="1528"/>
      <c r="J213" s="1544"/>
      <c r="K213" s="1544"/>
      <c r="L213" s="1528"/>
      <c r="M213" s="1528"/>
      <c r="N213" s="1544"/>
      <c r="O213" s="1544"/>
      <c r="P213" s="1544">
        <v>65</v>
      </c>
      <c r="Q213" s="1544">
        <v>65</v>
      </c>
      <c r="R213" s="1555"/>
      <c r="S213" s="1555"/>
      <c r="T213" s="1516">
        <f t="shared" si="43"/>
        <v>7916</v>
      </c>
      <c r="U213" s="1516">
        <f t="shared" si="44"/>
        <v>7916</v>
      </c>
      <c r="V213" s="1544">
        <v>65</v>
      </c>
      <c r="W213" s="1544">
        <v>65</v>
      </c>
      <c r="X213" s="1555"/>
      <c r="Y213" s="1555"/>
      <c r="Z213" s="1516">
        <f t="shared" si="51"/>
        <v>65</v>
      </c>
      <c r="AA213" s="1516">
        <f t="shared" si="51"/>
        <v>65</v>
      </c>
      <c r="AB213" s="1516">
        <f t="shared" si="45"/>
        <v>0</v>
      </c>
      <c r="AC213" s="1555"/>
      <c r="AD213" s="1555"/>
      <c r="AE213" s="1555"/>
      <c r="AF213" s="1555"/>
      <c r="AG213" s="1516">
        <v>100</v>
      </c>
      <c r="AH213" s="1527" t="s">
        <v>604</v>
      </c>
      <c r="AI213" s="1509" t="s">
        <v>1971</v>
      </c>
    </row>
    <row r="214" spans="1:36" ht="22.5" x14ac:dyDescent="0.25">
      <c r="A214" s="1527">
        <v>107</v>
      </c>
      <c r="B214" s="1526" t="s">
        <v>2243</v>
      </c>
      <c r="C214" s="1509" t="s">
        <v>2244</v>
      </c>
      <c r="D214" s="1548">
        <v>3798</v>
      </c>
      <c r="E214" s="1528">
        <v>39</v>
      </c>
      <c r="F214" s="1528">
        <v>50</v>
      </c>
      <c r="G214" s="1528">
        <v>50</v>
      </c>
      <c r="H214" s="1528"/>
      <c r="I214" s="1528"/>
      <c r="J214" s="1544"/>
      <c r="K214" s="1544"/>
      <c r="L214" s="1528"/>
      <c r="M214" s="1528"/>
      <c r="N214" s="1544"/>
      <c r="O214" s="1544"/>
      <c r="P214" s="1548">
        <v>39</v>
      </c>
      <c r="Q214" s="1548">
        <v>39</v>
      </c>
      <c r="R214" s="1555"/>
      <c r="S214" s="1555"/>
      <c r="T214" s="1516">
        <f t="shared" ref="T214:T286" si="53">F214+H214+L214+P214</f>
        <v>89</v>
      </c>
      <c r="U214" s="1516">
        <f t="shared" ref="U214:U286" si="54">G214+I214+M214+Q214+R214</f>
        <v>89</v>
      </c>
      <c r="V214" s="1548">
        <v>39</v>
      </c>
      <c r="W214" s="1548">
        <v>39</v>
      </c>
      <c r="X214" s="1555"/>
      <c r="Y214" s="1555"/>
      <c r="Z214" s="1516">
        <f t="shared" si="51"/>
        <v>39</v>
      </c>
      <c r="AA214" s="1516">
        <f t="shared" si="51"/>
        <v>39</v>
      </c>
      <c r="AB214" s="1516">
        <f t="shared" ref="AB214:AB286" si="55">W214-AA214</f>
        <v>0</v>
      </c>
      <c r="AC214" s="1555"/>
      <c r="AD214" s="1555"/>
      <c r="AE214" s="1555"/>
      <c r="AF214" s="1555"/>
      <c r="AG214" s="1516">
        <v>100</v>
      </c>
      <c r="AH214" s="1527" t="s">
        <v>2245</v>
      </c>
      <c r="AI214" s="1509" t="s">
        <v>1971</v>
      </c>
    </row>
    <row r="215" spans="1:36" ht="22.5" x14ac:dyDescent="0.25">
      <c r="A215" s="1527">
        <v>108</v>
      </c>
      <c r="B215" s="1526" t="s">
        <v>2246</v>
      </c>
      <c r="C215" s="1509" t="s">
        <v>2247</v>
      </c>
      <c r="D215" s="1548">
        <v>6976</v>
      </c>
      <c r="E215" s="1528">
        <v>13.998999999999796</v>
      </c>
      <c r="F215" s="1528">
        <v>5063</v>
      </c>
      <c r="G215" s="1528"/>
      <c r="H215" s="1528"/>
      <c r="I215" s="1528"/>
      <c r="J215" s="1544"/>
      <c r="K215" s="1544"/>
      <c r="L215" s="1528"/>
      <c r="M215" s="1528"/>
      <c r="N215" s="1544"/>
      <c r="O215" s="1544"/>
      <c r="P215" s="1548">
        <v>13.998999999999796</v>
      </c>
      <c r="Q215" s="1548">
        <v>13.998999999999796</v>
      </c>
      <c r="R215" s="1555"/>
      <c r="S215" s="1555"/>
      <c r="T215" s="1516">
        <f t="shared" si="53"/>
        <v>5076.9989999999998</v>
      </c>
      <c r="U215" s="1516">
        <f t="shared" si="54"/>
        <v>13.998999999999796</v>
      </c>
      <c r="V215" s="1548">
        <v>13.998999999999796</v>
      </c>
      <c r="W215" s="1548">
        <v>13.998999999999796</v>
      </c>
      <c r="X215" s="1555"/>
      <c r="Y215" s="1555"/>
      <c r="Z215" s="1516">
        <f t="shared" si="51"/>
        <v>13.998999999999796</v>
      </c>
      <c r="AA215" s="1516">
        <f t="shared" si="51"/>
        <v>13.998999999999796</v>
      </c>
      <c r="AB215" s="1516">
        <f t="shared" si="55"/>
        <v>0</v>
      </c>
      <c r="AC215" s="1555"/>
      <c r="AD215" s="1555"/>
      <c r="AE215" s="1555"/>
      <c r="AF215" s="1555"/>
      <c r="AG215" s="1516">
        <v>100</v>
      </c>
      <c r="AH215" s="1527" t="s">
        <v>2248</v>
      </c>
      <c r="AI215" s="1509" t="s">
        <v>1971</v>
      </c>
    </row>
    <row r="216" spans="1:36" ht="22.5" x14ac:dyDescent="0.25">
      <c r="A216" s="1527">
        <v>109</v>
      </c>
      <c r="B216" s="1526" t="s">
        <v>2249</v>
      </c>
      <c r="C216" s="1509" t="s">
        <v>2250</v>
      </c>
      <c r="D216" s="1548">
        <v>31984.446</v>
      </c>
      <c r="E216" s="1528">
        <v>129.62599999999657</v>
      </c>
      <c r="F216" s="1528">
        <v>27965.346000000001</v>
      </c>
      <c r="G216" s="1528"/>
      <c r="H216" s="1528"/>
      <c r="I216" s="1528"/>
      <c r="J216" s="1544"/>
      <c r="K216" s="1544"/>
      <c r="L216" s="1528"/>
      <c r="M216" s="1528"/>
      <c r="N216" s="1544"/>
      <c r="O216" s="1544"/>
      <c r="P216" s="1604">
        <v>130</v>
      </c>
      <c r="Q216" s="1604">
        <v>130</v>
      </c>
      <c r="R216" s="1605"/>
      <c r="S216" s="1605"/>
      <c r="T216" s="1516">
        <f t="shared" si="53"/>
        <v>28095.346000000001</v>
      </c>
      <c r="U216" s="1516">
        <f t="shared" si="54"/>
        <v>130</v>
      </c>
      <c r="V216" s="1548">
        <v>3130</v>
      </c>
      <c r="W216" s="1548">
        <v>130</v>
      </c>
      <c r="X216" s="1555"/>
      <c r="Y216" s="1555"/>
      <c r="Z216" s="1516">
        <f t="shared" si="51"/>
        <v>130</v>
      </c>
      <c r="AA216" s="1516">
        <f t="shared" si="51"/>
        <v>130</v>
      </c>
      <c r="AB216" s="1516">
        <f t="shared" si="55"/>
        <v>0</v>
      </c>
      <c r="AC216" s="1555"/>
      <c r="AD216" s="1555"/>
      <c r="AE216" s="1555"/>
      <c r="AF216" s="1555"/>
      <c r="AG216" s="1516">
        <v>100</v>
      </c>
      <c r="AH216" s="1527" t="s">
        <v>423</v>
      </c>
      <c r="AI216" s="1509" t="s">
        <v>1971</v>
      </c>
    </row>
    <row r="217" spans="1:36" ht="36.75" customHeight="1" x14ac:dyDescent="0.25">
      <c r="A217" s="1527">
        <v>110</v>
      </c>
      <c r="B217" s="1606" t="s">
        <v>2251</v>
      </c>
      <c r="C217" s="1509" t="s">
        <v>2252</v>
      </c>
      <c r="D217" s="1607">
        <v>7504.4269999999997</v>
      </c>
      <c r="E217" s="1528">
        <v>12.003000000000611</v>
      </c>
      <c r="F217" s="1528">
        <v>7380.9849999999997</v>
      </c>
      <c r="G217" s="1528"/>
      <c r="H217" s="1528"/>
      <c r="I217" s="1528"/>
      <c r="J217" s="1544"/>
      <c r="K217" s="1544"/>
      <c r="L217" s="1528"/>
      <c r="M217" s="1528"/>
      <c r="N217" s="1544"/>
      <c r="O217" s="1544"/>
      <c r="P217" s="1604">
        <v>12.003000000000611</v>
      </c>
      <c r="Q217" s="1604">
        <v>12.003000000000611</v>
      </c>
      <c r="R217" s="1605"/>
      <c r="S217" s="1605"/>
      <c r="T217" s="1516">
        <f t="shared" si="53"/>
        <v>7392.9880000000003</v>
      </c>
      <c r="U217" s="1516">
        <f t="shared" si="54"/>
        <v>12.003000000000611</v>
      </c>
      <c r="V217" s="1548">
        <v>12.003000000000611</v>
      </c>
      <c r="W217" s="1548">
        <v>12.003000000000611</v>
      </c>
      <c r="X217" s="1555"/>
      <c r="Y217" s="1555"/>
      <c r="Z217" s="1516">
        <f t="shared" si="51"/>
        <v>12.003000000000611</v>
      </c>
      <c r="AA217" s="1516">
        <f t="shared" si="51"/>
        <v>12.003000000000611</v>
      </c>
      <c r="AB217" s="1516">
        <f t="shared" si="55"/>
        <v>0</v>
      </c>
      <c r="AC217" s="1555"/>
      <c r="AD217" s="1555"/>
      <c r="AE217" s="1555"/>
      <c r="AF217" s="1555"/>
      <c r="AG217" s="1516">
        <v>100</v>
      </c>
      <c r="AH217" s="1608" t="s">
        <v>2356</v>
      </c>
      <c r="AI217" s="1509" t="s">
        <v>1971</v>
      </c>
    </row>
    <row r="218" spans="1:36" ht="33.75" x14ac:dyDescent="0.25">
      <c r="A218" s="1527">
        <v>111</v>
      </c>
      <c r="B218" s="1606" t="s">
        <v>2253</v>
      </c>
      <c r="C218" s="1509" t="s">
        <v>2254</v>
      </c>
      <c r="D218" s="1548">
        <v>357.8</v>
      </c>
      <c r="E218" s="1528">
        <v>69.800000000000011</v>
      </c>
      <c r="F218" s="1528">
        <v>260</v>
      </c>
      <c r="G218" s="1528"/>
      <c r="H218" s="1528"/>
      <c r="I218" s="1528"/>
      <c r="J218" s="1544"/>
      <c r="K218" s="1544"/>
      <c r="L218" s="1528"/>
      <c r="M218" s="1528"/>
      <c r="N218" s="1544"/>
      <c r="O218" s="1544"/>
      <c r="P218" s="1548">
        <v>70</v>
      </c>
      <c r="Q218" s="1548">
        <v>70</v>
      </c>
      <c r="R218" s="1555"/>
      <c r="S218" s="1555"/>
      <c r="T218" s="1516">
        <f t="shared" si="53"/>
        <v>330</v>
      </c>
      <c r="U218" s="1516">
        <f t="shared" si="54"/>
        <v>70</v>
      </c>
      <c r="V218" s="1548">
        <v>70</v>
      </c>
      <c r="W218" s="1548">
        <v>70</v>
      </c>
      <c r="X218" s="1555"/>
      <c r="Y218" s="1555"/>
      <c r="Z218" s="1516">
        <f t="shared" si="51"/>
        <v>70</v>
      </c>
      <c r="AA218" s="1516">
        <f t="shared" si="51"/>
        <v>70</v>
      </c>
      <c r="AB218" s="1516">
        <f t="shared" si="55"/>
        <v>0</v>
      </c>
      <c r="AC218" s="1555"/>
      <c r="AD218" s="1555"/>
      <c r="AE218" s="1555"/>
      <c r="AF218" s="1555"/>
      <c r="AG218" s="1516">
        <v>100</v>
      </c>
      <c r="AH218" s="1608" t="s">
        <v>1840</v>
      </c>
      <c r="AI218" s="1509" t="s">
        <v>1971</v>
      </c>
    </row>
    <row r="219" spans="1:36" ht="22.5" x14ac:dyDescent="0.25">
      <c r="A219" s="1527">
        <v>112</v>
      </c>
      <c r="B219" s="1606" t="s">
        <v>2255</v>
      </c>
      <c r="C219" s="1509" t="s">
        <v>2256</v>
      </c>
      <c r="D219" s="1607">
        <v>10440.1</v>
      </c>
      <c r="E219" s="1528">
        <v>206.92600000000039</v>
      </c>
      <c r="F219" s="1528">
        <v>7281.8</v>
      </c>
      <c r="G219" s="1528"/>
      <c r="H219" s="1528"/>
      <c r="I219" s="1528"/>
      <c r="J219" s="1544"/>
      <c r="K219" s="1544"/>
      <c r="L219" s="1528"/>
      <c r="M219" s="1528"/>
      <c r="N219" s="1544"/>
      <c r="O219" s="1544"/>
      <c r="P219" s="1604">
        <v>207</v>
      </c>
      <c r="Q219" s="1604">
        <v>207</v>
      </c>
      <c r="R219" s="1605"/>
      <c r="S219" s="1605"/>
      <c r="T219" s="1516">
        <f t="shared" si="53"/>
        <v>7488.8</v>
      </c>
      <c r="U219" s="1516">
        <f t="shared" si="54"/>
        <v>207</v>
      </c>
      <c r="V219" s="1548">
        <v>207</v>
      </c>
      <c r="W219" s="1548">
        <v>207</v>
      </c>
      <c r="X219" s="1555"/>
      <c r="Y219" s="1555"/>
      <c r="Z219" s="1516">
        <f t="shared" si="51"/>
        <v>207</v>
      </c>
      <c r="AA219" s="1516">
        <f t="shared" si="51"/>
        <v>207</v>
      </c>
      <c r="AB219" s="1516">
        <f t="shared" si="55"/>
        <v>0</v>
      </c>
      <c r="AC219" s="1555"/>
      <c r="AD219" s="1555"/>
      <c r="AE219" s="1555"/>
      <c r="AF219" s="1555"/>
      <c r="AG219" s="1516">
        <v>100</v>
      </c>
      <c r="AH219" s="1608" t="s">
        <v>425</v>
      </c>
      <c r="AI219" s="1509" t="s">
        <v>1971</v>
      </c>
    </row>
    <row r="220" spans="1:36" ht="33.75" x14ac:dyDescent="0.25">
      <c r="A220" s="1527">
        <v>113</v>
      </c>
      <c r="B220" s="1606" t="s">
        <v>2257</v>
      </c>
      <c r="C220" s="1509" t="s">
        <v>2258</v>
      </c>
      <c r="D220" s="1548">
        <v>882.56</v>
      </c>
      <c r="E220" s="1528">
        <v>125.27999999999997</v>
      </c>
      <c r="F220" s="1528">
        <v>696.08100000000002</v>
      </c>
      <c r="G220" s="1528"/>
      <c r="H220" s="1528"/>
      <c r="I220" s="1528"/>
      <c r="J220" s="1544"/>
      <c r="K220" s="1544"/>
      <c r="L220" s="1528"/>
      <c r="M220" s="1528"/>
      <c r="N220" s="1544"/>
      <c r="O220" s="1544"/>
      <c r="P220" s="1604">
        <v>125</v>
      </c>
      <c r="Q220" s="1604">
        <v>125</v>
      </c>
      <c r="R220" s="1605"/>
      <c r="S220" s="1605"/>
      <c r="T220" s="1516">
        <f t="shared" si="53"/>
        <v>821.08100000000002</v>
      </c>
      <c r="U220" s="1516">
        <f t="shared" si="54"/>
        <v>125</v>
      </c>
      <c r="V220" s="1548">
        <v>129.19899999999998</v>
      </c>
      <c r="W220" s="1548">
        <v>125.27999999999997</v>
      </c>
      <c r="X220" s="1555"/>
      <c r="Y220" s="1555"/>
      <c r="Z220" s="1516">
        <f t="shared" si="51"/>
        <v>125</v>
      </c>
      <c r="AA220" s="1516">
        <f t="shared" si="51"/>
        <v>125</v>
      </c>
      <c r="AB220" s="1516">
        <f t="shared" si="55"/>
        <v>0.27999999999997272</v>
      </c>
      <c r="AC220" s="1555"/>
      <c r="AD220" s="1555"/>
      <c r="AE220" s="1555"/>
      <c r="AF220" s="1555"/>
      <c r="AG220" s="1516">
        <v>100</v>
      </c>
      <c r="AH220" s="1608" t="s">
        <v>423</v>
      </c>
      <c r="AI220" s="1509" t="s">
        <v>1971</v>
      </c>
    </row>
    <row r="221" spans="1:36" ht="22.5" x14ac:dyDescent="0.25">
      <c r="A221" s="1527">
        <v>114</v>
      </c>
      <c r="B221" s="1606" t="s">
        <v>2259</v>
      </c>
      <c r="C221" s="1509" t="s">
        <v>2260</v>
      </c>
      <c r="D221" s="1548">
        <v>242</v>
      </c>
      <c r="E221" s="1528">
        <v>13.689999999999969</v>
      </c>
      <c r="F221" s="1528">
        <v>225.3</v>
      </c>
      <c r="G221" s="1528">
        <v>225</v>
      </c>
      <c r="H221" s="1528"/>
      <c r="I221" s="1528"/>
      <c r="J221" s="1544"/>
      <c r="K221" s="1544"/>
      <c r="L221" s="1528"/>
      <c r="M221" s="1528"/>
      <c r="N221" s="1544"/>
      <c r="O221" s="1544"/>
      <c r="P221" s="1548">
        <v>13.689999999999969</v>
      </c>
      <c r="Q221" s="1548">
        <v>13.689999999999969</v>
      </c>
      <c r="R221" s="1555"/>
      <c r="S221" s="1555"/>
      <c r="T221" s="1516">
        <f t="shared" si="53"/>
        <v>238.98999999999998</v>
      </c>
      <c r="U221" s="1516">
        <f t="shared" si="54"/>
        <v>238.68999999999997</v>
      </c>
      <c r="V221" s="1548">
        <v>13.689999999999969</v>
      </c>
      <c r="W221" s="1548">
        <v>13.689999999999969</v>
      </c>
      <c r="X221" s="1555"/>
      <c r="Y221" s="1555"/>
      <c r="Z221" s="1516">
        <f t="shared" si="51"/>
        <v>13.689999999999969</v>
      </c>
      <c r="AA221" s="1516">
        <f t="shared" si="51"/>
        <v>13.689999999999969</v>
      </c>
      <c r="AB221" s="1516">
        <f t="shared" si="55"/>
        <v>0</v>
      </c>
      <c r="AC221" s="1555"/>
      <c r="AD221" s="1555"/>
      <c r="AE221" s="1555"/>
      <c r="AF221" s="1555"/>
      <c r="AG221" s="1516">
        <v>100</v>
      </c>
      <c r="AH221" s="1608" t="s">
        <v>1840</v>
      </c>
      <c r="AI221" s="1509" t="s">
        <v>1971</v>
      </c>
    </row>
    <row r="222" spans="1:36" ht="22.5" x14ac:dyDescent="0.25">
      <c r="A222" s="1527">
        <v>115</v>
      </c>
      <c r="B222" s="1606" t="s">
        <v>2261</v>
      </c>
      <c r="C222" s="1509" t="s">
        <v>2262</v>
      </c>
      <c r="D222" s="1548">
        <v>1122.2965099999999</v>
      </c>
      <c r="E222" s="1528">
        <v>56.087999999999965</v>
      </c>
      <c r="F222" s="1528">
        <v>906</v>
      </c>
      <c r="G222" s="1528">
        <v>906</v>
      </c>
      <c r="H222" s="1528"/>
      <c r="I222" s="1528"/>
      <c r="J222" s="1544"/>
      <c r="K222" s="1544"/>
      <c r="L222" s="1528"/>
      <c r="M222" s="1528"/>
      <c r="N222" s="1544"/>
      <c r="O222" s="1544"/>
      <c r="P222" s="1548">
        <v>56.087999999999965</v>
      </c>
      <c r="Q222" s="1548">
        <v>56.087999999999965</v>
      </c>
      <c r="R222" s="1555"/>
      <c r="S222" s="1555"/>
      <c r="T222" s="1516">
        <f t="shared" si="53"/>
        <v>962.08799999999997</v>
      </c>
      <c r="U222" s="1516">
        <f t="shared" si="54"/>
        <v>962.08799999999997</v>
      </c>
      <c r="V222" s="1548">
        <v>56.087999999999965</v>
      </c>
      <c r="W222" s="1548">
        <v>56.087999999999965</v>
      </c>
      <c r="X222" s="1555"/>
      <c r="Y222" s="1555"/>
      <c r="Z222" s="1516">
        <f t="shared" si="51"/>
        <v>56.087999999999965</v>
      </c>
      <c r="AA222" s="1516">
        <f t="shared" si="51"/>
        <v>56.087999999999965</v>
      </c>
      <c r="AB222" s="1516">
        <f t="shared" si="55"/>
        <v>0</v>
      </c>
      <c r="AC222" s="1555"/>
      <c r="AD222" s="1555"/>
      <c r="AE222" s="1555"/>
      <c r="AF222" s="1555"/>
      <c r="AG222" s="1516">
        <v>100</v>
      </c>
      <c r="AH222" s="1608" t="s">
        <v>420</v>
      </c>
      <c r="AI222" s="1509" t="s">
        <v>1971</v>
      </c>
    </row>
    <row r="223" spans="1:36" ht="22.5" x14ac:dyDescent="0.25">
      <c r="A223" s="1527">
        <v>116</v>
      </c>
      <c r="B223" s="1606" t="s">
        <v>2263</v>
      </c>
      <c r="C223" s="1509" t="s">
        <v>2264</v>
      </c>
      <c r="D223" s="1607">
        <v>5640</v>
      </c>
      <c r="E223" s="1528">
        <v>192.96900000000005</v>
      </c>
      <c r="F223" s="1528">
        <f>4814</f>
        <v>4814</v>
      </c>
      <c r="G223" s="1528"/>
      <c r="H223" s="1528"/>
      <c r="I223" s="1528"/>
      <c r="J223" s="1544"/>
      <c r="K223" s="1544"/>
      <c r="L223" s="1528"/>
      <c r="M223" s="1528"/>
      <c r="N223" s="1544"/>
      <c r="O223" s="1544"/>
      <c r="P223" s="1548">
        <v>192.96900000000005</v>
      </c>
      <c r="Q223" s="1548">
        <v>192.96900000000005</v>
      </c>
      <c r="R223" s="1555"/>
      <c r="S223" s="1555"/>
      <c r="T223" s="1516">
        <f t="shared" si="53"/>
        <v>5006.9690000000001</v>
      </c>
      <c r="U223" s="1516">
        <f t="shared" si="54"/>
        <v>192.96900000000005</v>
      </c>
      <c r="V223" s="1548">
        <v>192.96900000000005</v>
      </c>
      <c r="W223" s="1548">
        <v>192.96900000000005</v>
      </c>
      <c r="X223" s="1555"/>
      <c r="Y223" s="1555"/>
      <c r="Z223" s="1516">
        <f t="shared" si="51"/>
        <v>192.96900000000005</v>
      </c>
      <c r="AA223" s="1516">
        <f t="shared" si="51"/>
        <v>192.96900000000005</v>
      </c>
      <c r="AB223" s="1516">
        <f t="shared" si="55"/>
        <v>0</v>
      </c>
      <c r="AC223" s="1555"/>
      <c r="AD223" s="1555"/>
      <c r="AE223" s="1555"/>
      <c r="AF223" s="1555"/>
      <c r="AG223" s="1516">
        <v>100</v>
      </c>
      <c r="AH223" s="1608" t="s">
        <v>424</v>
      </c>
      <c r="AI223" s="1509" t="s">
        <v>1971</v>
      </c>
    </row>
    <row r="224" spans="1:36" ht="22.5" x14ac:dyDescent="0.25">
      <c r="A224" s="1527">
        <v>117</v>
      </c>
      <c r="B224" s="1606" t="s">
        <v>2265</v>
      </c>
      <c r="C224" s="1509" t="s">
        <v>2266</v>
      </c>
      <c r="D224" s="1607">
        <v>5156</v>
      </c>
      <c r="E224" s="1528">
        <v>52</v>
      </c>
      <c r="F224" s="1528">
        <f>4598</f>
        <v>4598</v>
      </c>
      <c r="G224" s="1528"/>
      <c r="H224" s="1528"/>
      <c r="I224" s="1528"/>
      <c r="J224" s="1544"/>
      <c r="K224" s="1544"/>
      <c r="L224" s="1528"/>
      <c r="M224" s="1528"/>
      <c r="N224" s="1544"/>
      <c r="O224" s="1544"/>
      <c r="P224" s="1548">
        <v>52</v>
      </c>
      <c r="Q224" s="1548">
        <v>52</v>
      </c>
      <c r="R224" s="1555"/>
      <c r="S224" s="1555"/>
      <c r="T224" s="1516">
        <f t="shared" si="53"/>
        <v>4650</v>
      </c>
      <c r="U224" s="1516">
        <f t="shared" si="54"/>
        <v>52</v>
      </c>
      <c r="V224" s="1548">
        <v>52</v>
      </c>
      <c r="W224" s="1548">
        <v>52</v>
      </c>
      <c r="X224" s="1555"/>
      <c r="Y224" s="1555"/>
      <c r="Z224" s="1516">
        <f t="shared" si="51"/>
        <v>52</v>
      </c>
      <c r="AA224" s="1516">
        <f t="shared" si="51"/>
        <v>52</v>
      </c>
      <c r="AB224" s="1516">
        <f t="shared" si="55"/>
        <v>0</v>
      </c>
      <c r="AC224" s="1555"/>
      <c r="AD224" s="1555"/>
      <c r="AE224" s="1555"/>
      <c r="AF224" s="1555"/>
      <c r="AG224" s="1516">
        <v>100</v>
      </c>
      <c r="AH224" s="1608" t="s">
        <v>424</v>
      </c>
      <c r="AI224" s="1509" t="s">
        <v>1971</v>
      </c>
    </row>
    <row r="225" spans="1:36" ht="22.5" x14ac:dyDescent="0.25">
      <c r="A225" s="1527">
        <v>118</v>
      </c>
      <c r="B225" s="1606" t="s">
        <v>2267</v>
      </c>
      <c r="C225" s="1509" t="s">
        <v>2268</v>
      </c>
      <c r="D225" s="1607">
        <v>26551</v>
      </c>
      <c r="E225" s="1528">
        <v>110</v>
      </c>
      <c r="F225" s="1528">
        <f>22677</f>
        <v>22677</v>
      </c>
      <c r="G225" s="1528"/>
      <c r="H225" s="1528"/>
      <c r="I225" s="1528"/>
      <c r="J225" s="1544"/>
      <c r="K225" s="1544"/>
      <c r="L225" s="1528"/>
      <c r="M225" s="1528"/>
      <c r="N225" s="1544"/>
      <c r="O225" s="1544"/>
      <c r="P225" s="1548">
        <v>110</v>
      </c>
      <c r="Q225" s="1548">
        <v>110</v>
      </c>
      <c r="R225" s="1555"/>
      <c r="S225" s="1555"/>
      <c r="T225" s="1516">
        <f t="shared" si="53"/>
        <v>22787</v>
      </c>
      <c r="U225" s="1516">
        <f t="shared" si="54"/>
        <v>110</v>
      </c>
      <c r="V225" s="1548">
        <v>110</v>
      </c>
      <c r="W225" s="1548">
        <v>110</v>
      </c>
      <c r="X225" s="1555"/>
      <c r="Y225" s="1555"/>
      <c r="Z225" s="1516">
        <f t="shared" si="51"/>
        <v>110</v>
      </c>
      <c r="AA225" s="1516">
        <f t="shared" si="51"/>
        <v>110</v>
      </c>
      <c r="AB225" s="1516">
        <f t="shared" si="55"/>
        <v>0</v>
      </c>
      <c r="AC225" s="1555"/>
      <c r="AD225" s="1555"/>
      <c r="AE225" s="1555"/>
      <c r="AF225" s="1555"/>
      <c r="AG225" s="1516">
        <v>100</v>
      </c>
      <c r="AH225" s="1608" t="s">
        <v>424</v>
      </c>
      <c r="AI225" s="1509" t="s">
        <v>1971</v>
      </c>
    </row>
    <row r="226" spans="1:36" ht="22.5" x14ac:dyDescent="0.25">
      <c r="A226" s="1527">
        <v>119</v>
      </c>
      <c r="B226" s="1526" t="s">
        <v>2269</v>
      </c>
      <c r="C226" s="1509" t="s">
        <v>2270</v>
      </c>
      <c r="D226" s="1548">
        <v>18124</v>
      </c>
      <c r="E226" s="1528">
        <v>15.805000000000291</v>
      </c>
      <c r="F226" s="1528">
        <v>15819</v>
      </c>
      <c r="G226" s="1528"/>
      <c r="H226" s="1528"/>
      <c r="I226" s="1528"/>
      <c r="J226" s="1544"/>
      <c r="K226" s="1544"/>
      <c r="L226" s="1528"/>
      <c r="M226" s="1528"/>
      <c r="N226" s="1544"/>
      <c r="O226" s="1544"/>
      <c r="P226" s="1548">
        <v>15.805000000000291</v>
      </c>
      <c r="Q226" s="1548">
        <v>15.805000000000291</v>
      </c>
      <c r="R226" s="1555"/>
      <c r="S226" s="1555"/>
      <c r="T226" s="1516">
        <f t="shared" si="53"/>
        <v>15834.805</v>
      </c>
      <c r="U226" s="1516">
        <f t="shared" si="54"/>
        <v>15.805000000000291</v>
      </c>
      <c r="V226" s="1548">
        <v>2015.8050000000003</v>
      </c>
      <c r="W226" s="1548">
        <v>15.805000000000291</v>
      </c>
      <c r="X226" s="1555"/>
      <c r="Y226" s="1555"/>
      <c r="Z226" s="1516">
        <f t="shared" si="51"/>
        <v>15.805000000000291</v>
      </c>
      <c r="AA226" s="1516">
        <f t="shared" si="51"/>
        <v>15.805000000000291</v>
      </c>
      <c r="AB226" s="1516">
        <f t="shared" si="55"/>
        <v>0</v>
      </c>
      <c r="AC226" s="1555"/>
      <c r="AD226" s="1555"/>
      <c r="AE226" s="1555"/>
      <c r="AF226" s="1555"/>
      <c r="AG226" s="1516">
        <v>100</v>
      </c>
      <c r="AH226" s="1527" t="s">
        <v>1929</v>
      </c>
      <c r="AI226" s="1509" t="s">
        <v>1971</v>
      </c>
    </row>
    <row r="227" spans="1:36" ht="67.5" x14ac:dyDescent="0.25">
      <c r="A227" s="1527">
        <v>120</v>
      </c>
      <c r="B227" s="1526" t="s">
        <v>2271</v>
      </c>
      <c r="C227" s="1509" t="s">
        <v>2272</v>
      </c>
      <c r="D227" s="1548">
        <v>9100</v>
      </c>
      <c r="E227" s="1528">
        <v>25.483999999998559</v>
      </c>
      <c r="F227" s="1528">
        <v>8878.5130000000008</v>
      </c>
      <c r="G227" s="1528"/>
      <c r="H227" s="1528"/>
      <c r="I227" s="1528"/>
      <c r="J227" s="1544"/>
      <c r="K227" s="1544"/>
      <c r="L227" s="1528"/>
      <c r="M227" s="1528"/>
      <c r="N227" s="1544"/>
      <c r="O227" s="1544"/>
      <c r="P227" s="1548">
        <v>25.483999999998559</v>
      </c>
      <c r="Q227" s="1548">
        <v>25.483999999998559</v>
      </c>
      <c r="R227" s="1555"/>
      <c r="S227" s="1555"/>
      <c r="T227" s="1516">
        <f t="shared" si="53"/>
        <v>8903.9969999999994</v>
      </c>
      <c r="U227" s="1516">
        <f t="shared" si="54"/>
        <v>25.483999999998559</v>
      </c>
      <c r="V227" s="1548">
        <v>25.483999999998559</v>
      </c>
      <c r="W227" s="1548">
        <v>25.483999999998559</v>
      </c>
      <c r="X227" s="1555"/>
      <c r="Y227" s="1555"/>
      <c r="Z227" s="1516">
        <f t="shared" si="51"/>
        <v>25.483999999998559</v>
      </c>
      <c r="AA227" s="1516">
        <f t="shared" si="51"/>
        <v>25.483999999998559</v>
      </c>
      <c r="AB227" s="1516">
        <f t="shared" si="55"/>
        <v>0</v>
      </c>
      <c r="AC227" s="1555"/>
      <c r="AD227" s="1555"/>
      <c r="AE227" s="1555"/>
      <c r="AF227" s="1555"/>
      <c r="AG227" s="1516">
        <v>100</v>
      </c>
      <c r="AH227" s="1527" t="s">
        <v>1929</v>
      </c>
      <c r="AI227" s="1509" t="s">
        <v>1971</v>
      </c>
    </row>
    <row r="228" spans="1:36" ht="33.75" x14ac:dyDescent="0.25">
      <c r="A228" s="1527">
        <v>121</v>
      </c>
      <c r="B228" s="1548" t="s">
        <v>2273</v>
      </c>
      <c r="C228" s="1509" t="s">
        <v>2274</v>
      </c>
      <c r="D228" s="1548">
        <v>18083.748</v>
      </c>
      <c r="E228" s="1528">
        <v>13.432183000000805</v>
      </c>
      <c r="F228" s="1528">
        <v>6918.9359999999997</v>
      </c>
      <c r="G228" s="1528"/>
      <c r="H228" s="1528"/>
      <c r="I228" s="1528"/>
      <c r="J228" s="1544"/>
      <c r="K228" s="1544"/>
      <c r="L228" s="1528"/>
      <c r="M228" s="1528"/>
      <c r="N228" s="1544"/>
      <c r="O228" s="1544"/>
      <c r="P228" s="1548">
        <v>13.432183000000805</v>
      </c>
      <c r="Q228" s="1548">
        <v>13.432183000000805</v>
      </c>
      <c r="R228" s="1555"/>
      <c r="S228" s="1555"/>
      <c r="T228" s="1516">
        <f t="shared" si="53"/>
        <v>6932.3681830000005</v>
      </c>
      <c r="U228" s="1516">
        <f t="shared" si="54"/>
        <v>13.432183000000805</v>
      </c>
      <c r="V228" s="1548">
        <v>88.432183000000805</v>
      </c>
      <c r="W228" s="1548">
        <v>13</v>
      </c>
      <c r="X228" s="1555"/>
      <c r="Y228" s="1555"/>
      <c r="Z228" s="1516">
        <f t="shared" si="51"/>
        <v>13.432183000000805</v>
      </c>
      <c r="AA228" s="1516">
        <f t="shared" si="51"/>
        <v>13.432183000000805</v>
      </c>
      <c r="AB228" s="1516">
        <f t="shared" si="55"/>
        <v>-0.4321830000008049</v>
      </c>
      <c r="AC228" s="1555"/>
      <c r="AD228" s="1555"/>
      <c r="AE228" s="1555"/>
      <c r="AF228" s="1555"/>
      <c r="AG228" s="1516">
        <v>100</v>
      </c>
      <c r="AH228" s="1527" t="s">
        <v>1929</v>
      </c>
      <c r="AI228" s="1509" t="s">
        <v>1971</v>
      </c>
    </row>
    <row r="229" spans="1:36" ht="22.5" x14ac:dyDescent="0.25">
      <c r="A229" s="1527">
        <v>122</v>
      </c>
      <c r="B229" s="1606" t="s">
        <v>2275</v>
      </c>
      <c r="C229" s="1509" t="s">
        <v>2276</v>
      </c>
      <c r="D229" s="1607">
        <v>10306</v>
      </c>
      <c r="E229" s="1528">
        <v>390</v>
      </c>
      <c r="F229" s="1528">
        <v>9170</v>
      </c>
      <c r="G229" s="1528"/>
      <c r="H229" s="1528"/>
      <c r="I229" s="1528"/>
      <c r="J229" s="1544"/>
      <c r="K229" s="1544"/>
      <c r="L229" s="1528"/>
      <c r="M229" s="1528"/>
      <c r="N229" s="1544"/>
      <c r="O229" s="1544"/>
      <c r="P229" s="1555">
        <v>390</v>
      </c>
      <c r="Q229" s="1555">
        <v>390</v>
      </c>
      <c r="R229" s="1555"/>
      <c r="S229" s="1555"/>
      <c r="T229" s="1516">
        <f t="shared" si="53"/>
        <v>9560</v>
      </c>
      <c r="U229" s="1516">
        <f t="shared" si="54"/>
        <v>390</v>
      </c>
      <c r="V229" s="1548">
        <v>390</v>
      </c>
      <c r="W229" s="1548">
        <v>390</v>
      </c>
      <c r="X229" s="1555"/>
      <c r="Y229" s="1555"/>
      <c r="Z229" s="1516">
        <f t="shared" si="51"/>
        <v>390</v>
      </c>
      <c r="AA229" s="1516">
        <f t="shared" si="51"/>
        <v>390</v>
      </c>
      <c r="AB229" s="1516">
        <f t="shared" si="55"/>
        <v>0</v>
      </c>
      <c r="AC229" s="1555"/>
      <c r="AD229" s="1555"/>
      <c r="AE229" s="1555"/>
      <c r="AF229" s="1555"/>
      <c r="AG229" s="1516">
        <v>100</v>
      </c>
      <c r="AH229" s="1608" t="s">
        <v>426</v>
      </c>
      <c r="AI229" s="1509" t="s">
        <v>1971</v>
      </c>
    </row>
    <row r="230" spans="1:36" ht="22.5" x14ac:dyDescent="0.25">
      <c r="A230" s="1527">
        <v>123</v>
      </c>
      <c r="B230" s="1606" t="s">
        <v>2277</v>
      </c>
      <c r="C230" s="1509" t="s">
        <v>2278</v>
      </c>
      <c r="D230" s="1607">
        <v>30547</v>
      </c>
      <c r="E230" s="1528">
        <v>105.00500000000102</v>
      </c>
      <c r="F230" s="1528">
        <v>28169.316999999999</v>
      </c>
      <c r="G230" s="1528"/>
      <c r="H230" s="1528"/>
      <c r="I230" s="1528"/>
      <c r="J230" s="1544"/>
      <c r="K230" s="1544"/>
      <c r="L230" s="1528"/>
      <c r="M230" s="1528"/>
      <c r="N230" s="1544"/>
      <c r="O230" s="1544"/>
      <c r="P230" s="1548">
        <v>89</v>
      </c>
      <c r="Q230" s="1548">
        <v>89</v>
      </c>
      <c r="R230" s="1555"/>
      <c r="S230" s="1555"/>
      <c r="T230" s="1516">
        <f t="shared" si="53"/>
        <v>28258.316999999999</v>
      </c>
      <c r="U230" s="1516">
        <f t="shared" si="54"/>
        <v>89</v>
      </c>
      <c r="V230" s="1548">
        <v>105.00500000000102</v>
      </c>
      <c r="W230" s="1548">
        <v>105.00500000000102</v>
      </c>
      <c r="X230" s="1555"/>
      <c r="Y230" s="1555"/>
      <c r="Z230" s="1516">
        <f t="shared" si="51"/>
        <v>89</v>
      </c>
      <c r="AA230" s="1516">
        <f t="shared" si="51"/>
        <v>89</v>
      </c>
      <c r="AB230" s="1516">
        <f t="shared" si="55"/>
        <v>16.005000000001019</v>
      </c>
      <c r="AC230" s="1555"/>
      <c r="AD230" s="1555"/>
      <c r="AE230" s="1555"/>
      <c r="AF230" s="1555"/>
      <c r="AG230" s="1516">
        <v>100</v>
      </c>
      <c r="AH230" s="1608" t="s">
        <v>422</v>
      </c>
      <c r="AI230" s="1509" t="s">
        <v>1971</v>
      </c>
    </row>
    <row r="231" spans="1:36" ht="22.5" x14ac:dyDescent="0.25">
      <c r="A231" s="1527">
        <v>124</v>
      </c>
      <c r="B231" s="1606" t="s">
        <v>2279</v>
      </c>
      <c r="C231" s="1509"/>
      <c r="D231" s="1607">
        <v>19962.04</v>
      </c>
      <c r="E231" s="1528">
        <v>843.1239999999998</v>
      </c>
      <c r="F231" s="1528">
        <v>17147</v>
      </c>
      <c r="G231" s="1528"/>
      <c r="H231" s="1528"/>
      <c r="I231" s="1528"/>
      <c r="J231" s="1544"/>
      <c r="K231" s="1544"/>
      <c r="L231" s="1528"/>
      <c r="M231" s="1528"/>
      <c r="N231" s="1544"/>
      <c r="O231" s="1544"/>
      <c r="P231" s="1555">
        <v>36</v>
      </c>
      <c r="Q231" s="1555">
        <v>36</v>
      </c>
      <c r="R231" s="1555"/>
      <c r="S231" s="1555"/>
      <c r="T231" s="1516">
        <f t="shared" si="53"/>
        <v>17183</v>
      </c>
      <c r="U231" s="1516">
        <f t="shared" si="54"/>
        <v>36</v>
      </c>
      <c r="V231" s="1548">
        <v>843.1239999999998</v>
      </c>
      <c r="W231" s="1548">
        <v>843.1239999999998</v>
      </c>
      <c r="X231" s="1555"/>
      <c r="Y231" s="1555"/>
      <c r="Z231" s="1516">
        <f t="shared" si="51"/>
        <v>36</v>
      </c>
      <c r="AA231" s="1516">
        <f t="shared" si="51"/>
        <v>36</v>
      </c>
      <c r="AB231" s="1516">
        <f t="shared" si="55"/>
        <v>807.1239999999998</v>
      </c>
      <c r="AC231" s="1555"/>
      <c r="AD231" s="1555"/>
      <c r="AE231" s="1555"/>
      <c r="AF231" s="1555"/>
      <c r="AG231" s="1516">
        <v>100</v>
      </c>
      <c r="AH231" s="1608" t="str">
        <f>AH259</f>
        <v>UBND huyện Pác Nặm</v>
      </c>
      <c r="AI231" s="1509" t="s">
        <v>1971</v>
      </c>
    </row>
    <row r="232" spans="1:36" ht="22.5" x14ac:dyDescent="0.25">
      <c r="A232" s="1527">
        <v>125</v>
      </c>
      <c r="B232" s="1526" t="s">
        <v>2280</v>
      </c>
      <c r="C232" s="1509"/>
      <c r="D232" s="1548">
        <v>1217</v>
      </c>
      <c r="E232" s="1528">
        <v>215</v>
      </c>
      <c r="F232" s="1528">
        <v>900</v>
      </c>
      <c r="G232" s="1528"/>
      <c r="H232" s="1528"/>
      <c r="I232" s="1528"/>
      <c r="J232" s="1544"/>
      <c r="K232" s="1544"/>
      <c r="L232" s="1528"/>
      <c r="M232" s="1528"/>
      <c r="N232" s="1544"/>
      <c r="O232" s="1544"/>
      <c r="P232" s="1548">
        <v>215</v>
      </c>
      <c r="Q232" s="1548">
        <v>215</v>
      </c>
      <c r="R232" s="1555"/>
      <c r="S232" s="1555"/>
      <c r="T232" s="1516">
        <f t="shared" si="53"/>
        <v>1115</v>
      </c>
      <c r="U232" s="1516">
        <f t="shared" si="54"/>
        <v>215</v>
      </c>
      <c r="V232" s="1548">
        <v>215</v>
      </c>
      <c r="W232" s="1548">
        <v>215</v>
      </c>
      <c r="X232" s="1555"/>
      <c r="Y232" s="1555"/>
      <c r="Z232" s="1516">
        <f t="shared" si="51"/>
        <v>215</v>
      </c>
      <c r="AA232" s="1516">
        <f t="shared" si="51"/>
        <v>215</v>
      </c>
      <c r="AB232" s="1516">
        <f t="shared" si="55"/>
        <v>0</v>
      </c>
      <c r="AC232" s="1555"/>
      <c r="AD232" s="1555"/>
      <c r="AE232" s="1555"/>
      <c r="AF232" s="1555"/>
      <c r="AG232" s="1516">
        <v>100</v>
      </c>
      <c r="AH232" s="1527" t="s">
        <v>426</v>
      </c>
      <c r="AI232" s="1509" t="s">
        <v>1971</v>
      </c>
    </row>
    <row r="233" spans="1:36" ht="22.5" x14ac:dyDescent="0.25">
      <c r="A233" s="1527">
        <v>126</v>
      </c>
      <c r="B233" s="1526" t="s">
        <v>2281</v>
      </c>
      <c r="C233" s="1509"/>
      <c r="D233" s="1548">
        <v>10306</v>
      </c>
      <c r="E233" s="1528">
        <v>390</v>
      </c>
      <c r="F233" s="1528">
        <v>9170</v>
      </c>
      <c r="G233" s="1528"/>
      <c r="H233" s="1528"/>
      <c r="I233" s="1528"/>
      <c r="J233" s="1544"/>
      <c r="K233" s="1544"/>
      <c r="L233" s="1528"/>
      <c r="M233" s="1528"/>
      <c r="N233" s="1544"/>
      <c r="O233" s="1544"/>
      <c r="P233" s="1555">
        <v>390</v>
      </c>
      <c r="Q233" s="1555">
        <v>390</v>
      </c>
      <c r="R233" s="1555"/>
      <c r="S233" s="1555"/>
      <c r="T233" s="1516">
        <f t="shared" si="53"/>
        <v>9560</v>
      </c>
      <c r="U233" s="1516">
        <f t="shared" si="54"/>
        <v>390</v>
      </c>
      <c r="V233" s="1548">
        <v>390</v>
      </c>
      <c r="W233" s="1548">
        <v>390</v>
      </c>
      <c r="X233" s="1555"/>
      <c r="Y233" s="1555"/>
      <c r="Z233" s="1516">
        <f t="shared" si="51"/>
        <v>390</v>
      </c>
      <c r="AA233" s="1516">
        <f t="shared" si="51"/>
        <v>390</v>
      </c>
      <c r="AB233" s="1516">
        <f t="shared" si="55"/>
        <v>0</v>
      </c>
      <c r="AC233" s="1555"/>
      <c r="AD233" s="1555"/>
      <c r="AE233" s="1555"/>
      <c r="AF233" s="1555"/>
      <c r="AG233" s="1516">
        <v>100</v>
      </c>
      <c r="AH233" s="1527" t="s">
        <v>426</v>
      </c>
      <c r="AI233" s="1509" t="s">
        <v>1971</v>
      </c>
    </row>
    <row r="234" spans="1:36" ht="33.75" x14ac:dyDescent="0.25">
      <c r="A234" s="1527">
        <v>127</v>
      </c>
      <c r="B234" s="1606" t="s">
        <v>2282</v>
      </c>
      <c r="C234" s="1509" t="s">
        <v>1846</v>
      </c>
      <c r="D234" s="1607">
        <v>9870</v>
      </c>
      <c r="E234" s="1528">
        <v>58.299999999999272</v>
      </c>
      <c r="F234" s="1528">
        <v>7624.6</v>
      </c>
      <c r="G234" s="1528"/>
      <c r="H234" s="1528"/>
      <c r="I234" s="1528"/>
      <c r="J234" s="1544"/>
      <c r="K234" s="1544"/>
      <c r="L234" s="1528"/>
      <c r="M234" s="1528"/>
      <c r="N234" s="1544"/>
      <c r="O234" s="1544"/>
      <c r="P234" s="1555"/>
      <c r="Q234" s="1555"/>
      <c r="R234" s="1555"/>
      <c r="S234" s="1555"/>
      <c r="T234" s="1516">
        <f>F234+H234+L234+P234</f>
        <v>7624.6</v>
      </c>
      <c r="U234" s="1516">
        <f>G234+I234+M234+Q234+R234</f>
        <v>0</v>
      </c>
      <c r="V234" s="1548">
        <v>58.299999999999272</v>
      </c>
      <c r="W234" s="1548">
        <v>58.299999999999272</v>
      </c>
      <c r="X234" s="1555"/>
      <c r="Y234" s="1555"/>
      <c r="Z234" s="1516">
        <f>H234+L234+P234</f>
        <v>0</v>
      </c>
      <c r="AA234" s="1516">
        <f>I234+M234+Q234</f>
        <v>0</v>
      </c>
      <c r="AB234" s="1516">
        <f>W234-AA234</f>
        <v>58.299999999999272</v>
      </c>
      <c r="AC234" s="1555"/>
      <c r="AD234" s="1555"/>
      <c r="AE234" s="1555"/>
      <c r="AF234" s="1555"/>
      <c r="AG234" s="1516">
        <v>100</v>
      </c>
      <c r="AH234" s="1608" t="s">
        <v>1847</v>
      </c>
      <c r="AI234" s="1509" t="s">
        <v>1971</v>
      </c>
    </row>
    <row r="235" spans="1:36" ht="22.5" x14ac:dyDescent="0.25">
      <c r="A235" s="1527">
        <v>128</v>
      </c>
      <c r="B235" s="1596" t="s">
        <v>1720</v>
      </c>
      <c r="C235" s="1527" t="s">
        <v>1820</v>
      </c>
      <c r="D235" s="1528">
        <v>1216</v>
      </c>
      <c r="E235" s="1528">
        <v>1216</v>
      </c>
      <c r="F235" s="1529">
        <v>871</v>
      </c>
      <c r="G235" s="1529">
        <v>871</v>
      </c>
      <c r="H235" s="1528"/>
      <c r="I235" s="1528"/>
      <c r="J235" s="1544"/>
      <c r="K235" s="1544"/>
      <c r="L235" s="1528">
        <v>322</v>
      </c>
      <c r="M235" s="1528">
        <v>322</v>
      </c>
      <c r="N235" s="1544"/>
      <c r="O235" s="1544"/>
      <c r="P235" s="1555"/>
      <c r="Q235" s="1555"/>
      <c r="R235" s="1555"/>
      <c r="S235" s="1555"/>
      <c r="T235" s="1516">
        <f t="shared" si="53"/>
        <v>1193</v>
      </c>
      <c r="U235" s="1516">
        <f t="shared" si="54"/>
        <v>1193</v>
      </c>
      <c r="V235" s="1528">
        <v>346</v>
      </c>
      <c r="W235" s="1528">
        <v>346</v>
      </c>
      <c r="X235" s="1555"/>
      <c r="Y235" s="1555"/>
      <c r="Z235" s="1516">
        <f t="shared" si="51"/>
        <v>322</v>
      </c>
      <c r="AA235" s="1516">
        <f t="shared" si="51"/>
        <v>322</v>
      </c>
      <c r="AB235" s="1516">
        <f t="shared" si="55"/>
        <v>24</v>
      </c>
      <c r="AC235" s="1555"/>
      <c r="AD235" s="1555"/>
      <c r="AE235" s="1555"/>
      <c r="AF235" s="1555"/>
      <c r="AG235" s="1516">
        <v>100</v>
      </c>
      <c r="AH235" s="1527" t="s">
        <v>423</v>
      </c>
      <c r="AI235" s="1509" t="s">
        <v>1971</v>
      </c>
    </row>
    <row r="236" spans="1:36" ht="22.5" x14ac:dyDescent="0.25">
      <c r="A236" s="1527">
        <v>129</v>
      </c>
      <c r="B236" s="1526" t="s">
        <v>1771</v>
      </c>
      <c r="C236" s="1509" t="s">
        <v>1821</v>
      </c>
      <c r="D236" s="1529">
        <v>33841</v>
      </c>
      <c r="E236" s="1529"/>
      <c r="F236" s="1529">
        <v>31526</v>
      </c>
      <c r="G236" s="1529"/>
      <c r="H236" s="1528"/>
      <c r="I236" s="1528"/>
      <c r="J236" s="1544"/>
      <c r="K236" s="1544"/>
      <c r="L236" s="1528">
        <v>0</v>
      </c>
      <c r="M236" s="1528">
        <v>0</v>
      </c>
      <c r="N236" s="1544"/>
      <c r="O236" s="1544"/>
      <c r="P236" s="1555"/>
      <c r="Q236" s="1555"/>
      <c r="R236" s="1555"/>
      <c r="S236" s="1555"/>
      <c r="T236" s="1516">
        <f t="shared" si="53"/>
        <v>31526</v>
      </c>
      <c r="U236" s="1516">
        <f t="shared" si="54"/>
        <v>0</v>
      </c>
      <c r="V236" s="1528">
        <v>196</v>
      </c>
      <c r="W236" s="1528">
        <v>196</v>
      </c>
      <c r="X236" s="1555"/>
      <c r="Y236" s="1555"/>
      <c r="Z236" s="1516">
        <f t="shared" si="51"/>
        <v>0</v>
      </c>
      <c r="AA236" s="1516">
        <f t="shared" si="51"/>
        <v>0</v>
      </c>
      <c r="AB236" s="1516">
        <f t="shared" si="55"/>
        <v>196</v>
      </c>
      <c r="AC236" s="1555"/>
      <c r="AD236" s="1555"/>
      <c r="AE236" s="1555"/>
      <c r="AF236" s="1555"/>
      <c r="AG236" s="1516">
        <v>100</v>
      </c>
      <c r="AH236" s="1527" t="s">
        <v>420</v>
      </c>
      <c r="AI236" s="1509" t="s">
        <v>1971</v>
      </c>
    </row>
    <row r="237" spans="1:36" ht="22.5" x14ac:dyDescent="0.25">
      <c r="A237" s="1527">
        <v>130</v>
      </c>
      <c r="B237" s="1606" t="s">
        <v>1774</v>
      </c>
      <c r="C237" s="1509" t="s">
        <v>1835</v>
      </c>
      <c r="D237" s="1607">
        <v>610.6</v>
      </c>
      <c r="E237" s="1528">
        <v>343.4</v>
      </c>
      <c r="F237" s="1528">
        <v>906</v>
      </c>
      <c r="G237" s="1528"/>
      <c r="H237" s="1528"/>
      <c r="I237" s="1528"/>
      <c r="J237" s="1544"/>
      <c r="K237" s="1544"/>
      <c r="L237" s="1528"/>
      <c r="M237" s="1528"/>
      <c r="N237" s="1544"/>
      <c r="O237" s="1544"/>
      <c r="P237" s="1555"/>
      <c r="Q237" s="1555"/>
      <c r="R237" s="1555"/>
      <c r="S237" s="1555"/>
      <c r="T237" s="1516">
        <f>F237+H237+L237+P237</f>
        <v>906</v>
      </c>
      <c r="U237" s="1516">
        <f>G237+I237+M237+Q237+R237</f>
        <v>0</v>
      </c>
      <c r="V237" s="1548">
        <v>343.4</v>
      </c>
      <c r="W237" s="1548">
        <v>343.4</v>
      </c>
      <c r="X237" s="1555"/>
      <c r="Y237" s="1555"/>
      <c r="Z237" s="1516">
        <f t="shared" si="51"/>
        <v>0</v>
      </c>
      <c r="AA237" s="1516">
        <f t="shared" si="51"/>
        <v>0</v>
      </c>
      <c r="AB237" s="1516">
        <f>W237-AA237</f>
        <v>343.4</v>
      </c>
      <c r="AC237" s="1555"/>
      <c r="AD237" s="1555"/>
      <c r="AE237" s="1555"/>
      <c r="AF237" s="1555"/>
      <c r="AG237" s="1516">
        <v>100</v>
      </c>
      <c r="AH237" s="1608" t="s">
        <v>423</v>
      </c>
      <c r="AI237" s="1509" t="s">
        <v>1971</v>
      </c>
    </row>
    <row r="238" spans="1:36" ht="33.75" x14ac:dyDescent="0.25">
      <c r="A238" s="1527">
        <v>131</v>
      </c>
      <c r="B238" s="1526" t="s">
        <v>1951</v>
      </c>
      <c r="C238" s="1509" t="s">
        <v>2283</v>
      </c>
      <c r="D238" s="1516">
        <v>40237</v>
      </c>
      <c r="E238" s="1516">
        <f>D238-19024-5561</f>
        <v>15652</v>
      </c>
      <c r="F238" s="1529">
        <v>25925</v>
      </c>
      <c r="G238" s="1529">
        <v>6901</v>
      </c>
      <c r="H238" s="1528"/>
      <c r="I238" s="1528"/>
      <c r="J238" s="1544"/>
      <c r="K238" s="1544"/>
      <c r="L238" s="1528"/>
      <c r="M238" s="1528"/>
      <c r="N238" s="1544"/>
      <c r="O238" s="1544"/>
      <c r="P238" s="1555">
        <v>3108</v>
      </c>
      <c r="Q238" s="1555">
        <v>3108</v>
      </c>
      <c r="R238" s="1555"/>
      <c r="S238" s="1555">
        <v>0</v>
      </c>
      <c r="T238" s="1516">
        <f>F238+H238+L238+P238</f>
        <v>29033</v>
      </c>
      <c r="U238" s="1516">
        <f>G238+I238+M238+Q238</f>
        <v>10009</v>
      </c>
      <c r="V238" s="1528">
        <v>8774</v>
      </c>
      <c r="W238" s="1528">
        <v>3213</v>
      </c>
      <c r="X238" s="1555"/>
      <c r="Y238" s="1555"/>
      <c r="Z238" s="1516">
        <f t="shared" si="51"/>
        <v>3108</v>
      </c>
      <c r="AA238" s="1516">
        <f t="shared" si="51"/>
        <v>3108</v>
      </c>
      <c r="AB238" s="1516">
        <f>W238-AA238</f>
        <v>105</v>
      </c>
      <c r="AC238" s="1555">
        <v>105</v>
      </c>
      <c r="AD238" s="1555">
        <v>105</v>
      </c>
      <c r="AE238" s="1555"/>
      <c r="AF238" s="1555"/>
      <c r="AG238" s="1516">
        <v>100</v>
      </c>
      <c r="AH238" s="1527" t="s">
        <v>424</v>
      </c>
      <c r="AI238" s="1509"/>
      <c r="AJ238" s="1509" t="s">
        <v>2284</v>
      </c>
    </row>
    <row r="239" spans="1:36" ht="22.5" x14ac:dyDescent="0.25">
      <c r="A239" s="1527">
        <v>132</v>
      </c>
      <c r="B239" s="1548" t="s">
        <v>1950</v>
      </c>
      <c r="C239" s="1527" t="s">
        <v>2285</v>
      </c>
      <c r="D239" s="1536">
        <v>21127</v>
      </c>
      <c r="E239" s="1536">
        <v>330</v>
      </c>
      <c r="F239" s="1528">
        <v>18074</v>
      </c>
      <c r="G239" s="1528"/>
      <c r="H239" s="1528"/>
      <c r="I239" s="1528"/>
      <c r="J239" s="1544"/>
      <c r="K239" s="1544"/>
      <c r="L239" s="1528"/>
      <c r="M239" s="1528"/>
      <c r="N239" s="1544"/>
      <c r="O239" s="1544"/>
      <c r="P239" s="1555">
        <v>301</v>
      </c>
      <c r="Q239" s="1555">
        <v>301</v>
      </c>
      <c r="R239" s="1555"/>
      <c r="S239" s="1555">
        <v>0</v>
      </c>
      <c r="T239" s="1516">
        <f>F239+H239+L239+P239</f>
        <v>18375</v>
      </c>
      <c r="U239" s="1516">
        <f>G239+I239+M239+Q239+R239</f>
        <v>301</v>
      </c>
      <c r="V239" s="1528">
        <v>330</v>
      </c>
      <c r="W239" s="1528">
        <v>330</v>
      </c>
      <c r="X239" s="1555"/>
      <c r="Y239" s="1555"/>
      <c r="Z239" s="1516">
        <f t="shared" si="51"/>
        <v>301</v>
      </c>
      <c r="AA239" s="1516">
        <f t="shared" si="51"/>
        <v>301</v>
      </c>
      <c r="AB239" s="1516">
        <f>W239-AA239</f>
        <v>29</v>
      </c>
      <c r="AC239" s="1555">
        <v>29</v>
      </c>
      <c r="AD239" s="1555">
        <v>29</v>
      </c>
      <c r="AE239" s="1555"/>
      <c r="AF239" s="1555"/>
      <c r="AG239" s="1516">
        <v>100</v>
      </c>
      <c r="AH239" s="1527" t="s">
        <v>425</v>
      </c>
      <c r="AI239" s="1509"/>
    </row>
    <row r="240" spans="1:36" ht="22.5" x14ac:dyDescent="0.25">
      <c r="A240" s="1527">
        <v>133</v>
      </c>
      <c r="B240" s="1526" t="s">
        <v>1955</v>
      </c>
      <c r="C240" s="1509" t="s">
        <v>2286</v>
      </c>
      <c r="D240" s="1528">
        <v>41399</v>
      </c>
      <c r="E240" s="1529">
        <f>D240-35356</f>
        <v>6043</v>
      </c>
      <c r="F240" s="1529">
        <v>35356</v>
      </c>
      <c r="G240" s="1529"/>
      <c r="H240" s="1528">
        <v>2844</v>
      </c>
      <c r="I240" s="1528">
        <v>2844</v>
      </c>
      <c r="J240" s="1544"/>
      <c r="K240" s="1555">
        <v>2844</v>
      </c>
      <c r="L240" s="1528">
        <v>0</v>
      </c>
      <c r="M240" s="1528">
        <v>0</v>
      </c>
      <c r="N240" s="1544"/>
      <c r="O240" s="1544"/>
      <c r="P240" s="1555"/>
      <c r="Q240" s="1555"/>
      <c r="R240" s="1555"/>
      <c r="S240" s="1555"/>
      <c r="T240" s="1516">
        <f>F240+H240+L240+P240</f>
        <v>38200</v>
      </c>
      <c r="U240" s="1516">
        <f>G240+I240+M240+Q240+R240</f>
        <v>2844</v>
      </c>
      <c r="V240" s="1528">
        <v>3009</v>
      </c>
      <c r="W240" s="1528">
        <v>3009</v>
      </c>
      <c r="X240" s="1555"/>
      <c r="Y240" s="1555">
        <v>3009</v>
      </c>
      <c r="Z240" s="1516">
        <f t="shared" si="51"/>
        <v>2844</v>
      </c>
      <c r="AA240" s="1516">
        <f t="shared" si="51"/>
        <v>2844</v>
      </c>
      <c r="AB240" s="1516">
        <f>W240-AA240</f>
        <v>165</v>
      </c>
      <c r="AC240" s="1555">
        <v>165</v>
      </c>
      <c r="AD240" s="1555">
        <v>165</v>
      </c>
      <c r="AE240" s="1555"/>
      <c r="AF240" s="1516"/>
      <c r="AG240" s="1516">
        <v>100</v>
      </c>
      <c r="AH240" s="1509" t="s">
        <v>608</v>
      </c>
      <c r="AI240" s="1509"/>
    </row>
    <row r="241" spans="1:35" ht="22.5" x14ac:dyDescent="0.25">
      <c r="A241" s="1527">
        <v>134</v>
      </c>
      <c r="B241" s="1526" t="s">
        <v>1757</v>
      </c>
      <c r="C241" s="1527" t="s">
        <v>1822</v>
      </c>
      <c r="D241" s="1528">
        <v>6533.3</v>
      </c>
      <c r="E241" s="1528">
        <v>3000</v>
      </c>
      <c r="F241" s="1529">
        <v>2971</v>
      </c>
      <c r="G241" s="1529">
        <v>2971</v>
      </c>
      <c r="H241" s="1528"/>
      <c r="I241" s="1528"/>
      <c r="J241" s="1544"/>
      <c r="K241" s="1544"/>
      <c r="L241" s="1528"/>
      <c r="M241" s="1528"/>
      <c r="N241" s="1544"/>
      <c r="O241" s="1544"/>
      <c r="P241" s="1555"/>
      <c r="Q241" s="1555"/>
      <c r="R241" s="1555"/>
      <c r="S241" s="1555"/>
      <c r="T241" s="1516">
        <f t="shared" si="53"/>
        <v>2971</v>
      </c>
      <c r="U241" s="1516">
        <f t="shared" si="54"/>
        <v>2971</v>
      </c>
      <c r="V241" s="1528">
        <v>20</v>
      </c>
      <c r="W241" s="1528">
        <v>20</v>
      </c>
      <c r="X241" s="1555"/>
      <c r="Y241" s="1555"/>
      <c r="Z241" s="1516">
        <f t="shared" si="51"/>
        <v>0</v>
      </c>
      <c r="AA241" s="1516">
        <f t="shared" si="51"/>
        <v>0</v>
      </c>
      <c r="AB241" s="1516">
        <f t="shared" si="55"/>
        <v>20</v>
      </c>
      <c r="AC241" s="1555">
        <v>20</v>
      </c>
      <c r="AD241" s="1555">
        <v>20</v>
      </c>
      <c r="AE241" s="1555"/>
      <c r="AF241" s="1555"/>
      <c r="AG241" s="1516">
        <v>100</v>
      </c>
      <c r="AH241" s="1527" t="s">
        <v>1009</v>
      </c>
      <c r="AI241" s="1509"/>
    </row>
    <row r="242" spans="1:35" ht="22.5" x14ac:dyDescent="0.25">
      <c r="A242" s="1527">
        <v>135</v>
      </c>
      <c r="B242" s="1544" t="s">
        <v>1755</v>
      </c>
      <c r="C242" s="1527" t="s">
        <v>1823</v>
      </c>
      <c r="D242" s="1536">
        <v>4721.3124520000001</v>
      </c>
      <c r="E242" s="1536">
        <f>D242</f>
        <v>4721.3124520000001</v>
      </c>
      <c r="F242" s="1529">
        <v>2518</v>
      </c>
      <c r="G242" s="1529">
        <v>2518</v>
      </c>
      <c r="H242" s="1528"/>
      <c r="I242" s="1528"/>
      <c r="J242" s="1544"/>
      <c r="K242" s="1544"/>
      <c r="L242" s="1528"/>
      <c r="M242" s="1528"/>
      <c r="N242" s="1544"/>
      <c r="O242" s="1544"/>
      <c r="P242" s="1555"/>
      <c r="Q242" s="1555"/>
      <c r="R242" s="1555"/>
      <c r="S242" s="1555"/>
      <c r="T242" s="1516">
        <f t="shared" si="53"/>
        <v>2518</v>
      </c>
      <c r="U242" s="1516">
        <f t="shared" si="54"/>
        <v>2518</v>
      </c>
      <c r="V242" s="1544">
        <v>156</v>
      </c>
      <c r="W242" s="1544">
        <v>156</v>
      </c>
      <c r="X242" s="1555"/>
      <c r="Y242" s="1555"/>
      <c r="Z242" s="1516">
        <f t="shared" si="51"/>
        <v>0</v>
      </c>
      <c r="AA242" s="1516">
        <f t="shared" si="51"/>
        <v>0</v>
      </c>
      <c r="AB242" s="1516">
        <f t="shared" si="55"/>
        <v>156</v>
      </c>
      <c r="AC242" s="1555">
        <v>156</v>
      </c>
      <c r="AD242" s="1555">
        <v>156</v>
      </c>
      <c r="AE242" s="1555"/>
      <c r="AF242" s="1555"/>
      <c r="AG242" s="1516">
        <v>100</v>
      </c>
      <c r="AH242" s="1509" t="s">
        <v>421</v>
      </c>
      <c r="AI242" s="1509"/>
    </row>
    <row r="243" spans="1:35" ht="22.5" x14ac:dyDescent="0.25">
      <c r="A243" s="1527">
        <v>136</v>
      </c>
      <c r="B243" s="1526" t="s">
        <v>1772</v>
      </c>
      <c r="C243" s="1509" t="s">
        <v>1824</v>
      </c>
      <c r="D243" s="1528">
        <v>34041</v>
      </c>
      <c r="E243" s="1528"/>
      <c r="F243" s="1529">
        <v>30352</v>
      </c>
      <c r="G243" s="1529">
        <v>30352</v>
      </c>
      <c r="H243" s="1528"/>
      <c r="I243" s="1528"/>
      <c r="J243" s="1544"/>
      <c r="K243" s="1544"/>
      <c r="L243" s="1528"/>
      <c r="M243" s="1528"/>
      <c r="N243" s="1544"/>
      <c r="O243" s="1544"/>
      <c r="P243" s="1555"/>
      <c r="Q243" s="1555"/>
      <c r="R243" s="1555"/>
      <c r="S243" s="1555"/>
      <c r="T243" s="1516">
        <f t="shared" si="53"/>
        <v>30352</v>
      </c>
      <c r="U243" s="1516">
        <f t="shared" si="54"/>
        <v>30352</v>
      </c>
      <c r="V243" s="1544">
        <v>439</v>
      </c>
      <c r="W243" s="1544">
        <v>439</v>
      </c>
      <c r="X243" s="1555"/>
      <c r="Y243" s="1555"/>
      <c r="Z243" s="1516">
        <f t="shared" si="51"/>
        <v>0</v>
      </c>
      <c r="AA243" s="1516">
        <f t="shared" si="51"/>
        <v>0</v>
      </c>
      <c r="AB243" s="1516">
        <f t="shared" si="55"/>
        <v>439</v>
      </c>
      <c r="AC243" s="1555">
        <v>439</v>
      </c>
      <c r="AD243" s="1555">
        <v>439</v>
      </c>
      <c r="AE243" s="1555"/>
      <c r="AF243" s="1555"/>
      <c r="AG243" s="1516">
        <v>100</v>
      </c>
      <c r="AH243" s="1527" t="s">
        <v>421</v>
      </c>
      <c r="AI243" s="1509"/>
    </row>
    <row r="244" spans="1:35" ht="33.75" x14ac:dyDescent="0.25">
      <c r="A244" s="1527">
        <v>137</v>
      </c>
      <c r="B244" s="1526" t="s">
        <v>1632</v>
      </c>
      <c r="C244" s="1527" t="s">
        <v>1825</v>
      </c>
      <c r="D244" s="1609">
        <v>31300</v>
      </c>
      <c r="E244" s="1609">
        <v>31300</v>
      </c>
      <c r="F244" s="1529">
        <f>18034+3050</f>
        <v>21084</v>
      </c>
      <c r="G244" s="1529">
        <f>18034+3050</f>
        <v>21084</v>
      </c>
      <c r="H244" s="1528"/>
      <c r="I244" s="1528"/>
      <c r="J244" s="1544"/>
      <c r="K244" s="1544"/>
      <c r="L244" s="1528"/>
      <c r="M244" s="1528"/>
      <c r="N244" s="1544"/>
      <c r="O244" s="1544"/>
      <c r="P244" s="1555"/>
      <c r="Q244" s="1555"/>
      <c r="R244" s="1555"/>
      <c r="S244" s="1555"/>
      <c r="T244" s="1516">
        <f t="shared" si="53"/>
        <v>21084</v>
      </c>
      <c r="U244" s="1516">
        <f t="shared" si="54"/>
        <v>21084</v>
      </c>
      <c r="V244" s="1528">
        <v>255</v>
      </c>
      <c r="W244" s="1528">
        <v>255</v>
      </c>
      <c r="X244" s="1555"/>
      <c r="Y244" s="1555"/>
      <c r="Z244" s="1516">
        <f t="shared" si="51"/>
        <v>0</v>
      </c>
      <c r="AA244" s="1516">
        <f t="shared" si="51"/>
        <v>0</v>
      </c>
      <c r="AB244" s="1516">
        <f t="shared" si="55"/>
        <v>255</v>
      </c>
      <c r="AC244" s="1555">
        <v>172</v>
      </c>
      <c r="AD244" s="1555">
        <v>172</v>
      </c>
      <c r="AE244" s="1555"/>
      <c r="AF244" s="1555"/>
      <c r="AG244" s="1516">
        <v>100</v>
      </c>
      <c r="AH244" s="1527" t="s">
        <v>418</v>
      </c>
      <c r="AI244" s="1509"/>
    </row>
    <row r="245" spans="1:35" ht="33.75" x14ac:dyDescent="0.25">
      <c r="A245" s="1527">
        <v>138</v>
      </c>
      <c r="B245" s="1526" t="s">
        <v>1633</v>
      </c>
      <c r="C245" s="1527" t="s">
        <v>1826</v>
      </c>
      <c r="D245" s="1609">
        <v>39607.699999999997</v>
      </c>
      <c r="E245" s="1609">
        <f>9187+8983</f>
        <v>18170</v>
      </c>
      <c r="F245" s="1529">
        <v>9832</v>
      </c>
      <c r="G245" s="1529">
        <v>9832</v>
      </c>
      <c r="H245" s="1528"/>
      <c r="I245" s="1528"/>
      <c r="J245" s="1544"/>
      <c r="K245" s="1544"/>
      <c r="L245" s="1528"/>
      <c r="M245" s="1528"/>
      <c r="N245" s="1544"/>
      <c r="O245" s="1544"/>
      <c r="P245" s="1555"/>
      <c r="Q245" s="1555"/>
      <c r="R245" s="1555"/>
      <c r="S245" s="1555"/>
      <c r="T245" s="1516">
        <f t="shared" si="53"/>
        <v>9832</v>
      </c>
      <c r="U245" s="1516">
        <f t="shared" si="54"/>
        <v>9832</v>
      </c>
      <c r="V245" s="1528">
        <v>231</v>
      </c>
      <c r="W245" s="1528">
        <v>231</v>
      </c>
      <c r="X245" s="1555"/>
      <c r="Y245" s="1555"/>
      <c r="Z245" s="1516">
        <f t="shared" si="51"/>
        <v>0</v>
      </c>
      <c r="AA245" s="1516">
        <f t="shared" si="51"/>
        <v>0</v>
      </c>
      <c r="AB245" s="1516">
        <f t="shared" si="55"/>
        <v>231</v>
      </c>
      <c r="AC245" s="1555">
        <v>231</v>
      </c>
      <c r="AD245" s="1555">
        <v>231</v>
      </c>
      <c r="AE245" s="1555"/>
      <c r="AF245" s="1555"/>
      <c r="AG245" s="1516">
        <v>100</v>
      </c>
      <c r="AH245" s="1527" t="s">
        <v>418</v>
      </c>
      <c r="AI245" s="1509"/>
    </row>
    <row r="246" spans="1:35" ht="33.75" x14ac:dyDescent="0.25">
      <c r="A246" s="1527">
        <v>139</v>
      </c>
      <c r="B246" s="1526" t="s">
        <v>1634</v>
      </c>
      <c r="C246" s="1509" t="s">
        <v>1827</v>
      </c>
      <c r="D246" s="1609">
        <v>28317</v>
      </c>
      <c r="E246" s="1609">
        <v>28317</v>
      </c>
      <c r="F246" s="1529">
        <v>23645</v>
      </c>
      <c r="G246" s="1529">
        <v>23645</v>
      </c>
      <c r="H246" s="1528"/>
      <c r="I246" s="1528"/>
      <c r="J246" s="1544"/>
      <c r="K246" s="1544"/>
      <c r="L246" s="1528"/>
      <c r="M246" s="1528"/>
      <c r="N246" s="1544"/>
      <c r="O246" s="1544"/>
      <c r="P246" s="1555"/>
      <c r="Q246" s="1555"/>
      <c r="R246" s="1555"/>
      <c r="S246" s="1555"/>
      <c r="T246" s="1516">
        <f t="shared" si="53"/>
        <v>23645</v>
      </c>
      <c r="U246" s="1516">
        <f t="shared" si="54"/>
        <v>23645</v>
      </c>
      <c r="V246" s="1528">
        <v>531</v>
      </c>
      <c r="W246" s="1528">
        <v>531</v>
      </c>
      <c r="X246" s="1555"/>
      <c r="Y246" s="1555"/>
      <c r="Z246" s="1516">
        <f t="shared" si="51"/>
        <v>0</v>
      </c>
      <c r="AA246" s="1516">
        <f t="shared" si="51"/>
        <v>0</v>
      </c>
      <c r="AB246" s="1516">
        <f t="shared" si="55"/>
        <v>531</v>
      </c>
      <c r="AC246" s="1555">
        <v>531</v>
      </c>
      <c r="AD246" s="1555">
        <v>531</v>
      </c>
      <c r="AE246" s="1555"/>
      <c r="AF246" s="1555"/>
      <c r="AG246" s="1516">
        <v>100</v>
      </c>
      <c r="AH246" s="1527" t="s">
        <v>418</v>
      </c>
      <c r="AI246" s="1509"/>
    </row>
    <row r="247" spans="1:35" ht="33.75" x14ac:dyDescent="0.25">
      <c r="A247" s="1527">
        <v>140</v>
      </c>
      <c r="B247" s="1548" t="s">
        <v>1670</v>
      </c>
      <c r="C247" s="1527" t="s">
        <v>1828</v>
      </c>
      <c r="D247" s="1528">
        <v>5420</v>
      </c>
      <c r="E247" s="1528">
        <v>64</v>
      </c>
      <c r="F247" s="1528">
        <v>4663</v>
      </c>
      <c r="G247" s="1529"/>
      <c r="H247" s="1528"/>
      <c r="I247" s="1528"/>
      <c r="J247" s="1544"/>
      <c r="K247" s="1544"/>
      <c r="L247" s="1528"/>
      <c r="M247" s="1528"/>
      <c r="N247" s="1544"/>
      <c r="O247" s="1544"/>
      <c r="P247" s="1555"/>
      <c r="Q247" s="1555"/>
      <c r="R247" s="1555"/>
      <c r="S247" s="1555"/>
      <c r="T247" s="1516">
        <f t="shared" si="53"/>
        <v>4663</v>
      </c>
      <c r="U247" s="1516">
        <f t="shared" si="54"/>
        <v>0</v>
      </c>
      <c r="V247" s="1544">
        <v>64</v>
      </c>
      <c r="W247" s="1544">
        <v>64</v>
      </c>
      <c r="X247" s="1555"/>
      <c r="Y247" s="1555"/>
      <c r="Z247" s="1516">
        <f t="shared" si="51"/>
        <v>0</v>
      </c>
      <c r="AA247" s="1516">
        <f t="shared" si="51"/>
        <v>0</v>
      </c>
      <c r="AB247" s="1516">
        <f t="shared" si="55"/>
        <v>64</v>
      </c>
      <c r="AC247" s="1555">
        <v>64</v>
      </c>
      <c r="AD247" s="1555">
        <v>64</v>
      </c>
      <c r="AE247" s="1555"/>
      <c r="AF247" s="1555"/>
      <c r="AG247" s="1516">
        <v>100</v>
      </c>
      <c r="AH247" s="1527" t="s">
        <v>418</v>
      </c>
      <c r="AI247" s="1509"/>
    </row>
    <row r="248" spans="1:35" ht="33.75" x14ac:dyDescent="0.25">
      <c r="A248" s="1527">
        <v>141</v>
      </c>
      <c r="B248" s="1598" t="s">
        <v>1671</v>
      </c>
      <c r="C248" s="1599" t="s">
        <v>1829</v>
      </c>
      <c r="D248" s="1600">
        <v>15040</v>
      </c>
      <c r="E248" s="1600">
        <v>94</v>
      </c>
      <c r="F248" s="1529">
        <v>14206</v>
      </c>
      <c r="G248" s="1529"/>
      <c r="H248" s="1528"/>
      <c r="I248" s="1528"/>
      <c r="J248" s="1544"/>
      <c r="K248" s="1544"/>
      <c r="L248" s="1528"/>
      <c r="M248" s="1528"/>
      <c r="N248" s="1544"/>
      <c r="O248" s="1544"/>
      <c r="P248" s="1555"/>
      <c r="Q248" s="1555"/>
      <c r="R248" s="1555"/>
      <c r="S248" s="1555"/>
      <c r="T248" s="1516">
        <f t="shared" si="53"/>
        <v>14206</v>
      </c>
      <c r="U248" s="1516">
        <f t="shared" si="54"/>
        <v>0</v>
      </c>
      <c r="V248" s="1544">
        <v>94</v>
      </c>
      <c r="W248" s="1544">
        <v>94</v>
      </c>
      <c r="X248" s="1555"/>
      <c r="Y248" s="1555"/>
      <c r="Z248" s="1516">
        <f t="shared" si="51"/>
        <v>0</v>
      </c>
      <c r="AA248" s="1516">
        <f t="shared" si="51"/>
        <v>0</v>
      </c>
      <c r="AB248" s="1516">
        <f t="shared" si="55"/>
        <v>94</v>
      </c>
      <c r="AC248" s="1555">
        <v>94</v>
      </c>
      <c r="AD248" s="1555">
        <v>94</v>
      </c>
      <c r="AE248" s="1555"/>
      <c r="AF248" s="1555"/>
      <c r="AG248" s="1516">
        <v>100</v>
      </c>
      <c r="AH248" s="1527" t="s">
        <v>418</v>
      </c>
      <c r="AI248" s="1509"/>
    </row>
    <row r="249" spans="1:35" ht="45" x14ac:dyDescent="0.25">
      <c r="A249" s="1527">
        <v>142</v>
      </c>
      <c r="B249" s="1544" t="s">
        <v>1705</v>
      </c>
      <c r="C249" s="1509" t="s">
        <v>1830</v>
      </c>
      <c r="D249" s="1603">
        <v>8748.1630000000005</v>
      </c>
      <c r="E249" s="1603">
        <v>8748.1630000000005</v>
      </c>
      <c r="F249" s="1529">
        <v>7873</v>
      </c>
      <c r="G249" s="1529">
        <v>7873</v>
      </c>
      <c r="H249" s="1528"/>
      <c r="I249" s="1528"/>
      <c r="J249" s="1544"/>
      <c r="K249" s="1544"/>
      <c r="L249" s="1528"/>
      <c r="M249" s="1528"/>
      <c r="N249" s="1544"/>
      <c r="O249" s="1544"/>
      <c r="P249" s="1555"/>
      <c r="Q249" s="1555"/>
      <c r="R249" s="1555"/>
      <c r="S249" s="1555"/>
      <c r="T249" s="1516">
        <f t="shared" si="53"/>
        <v>7873</v>
      </c>
      <c r="U249" s="1516">
        <f t="shared" si="54"/>
        <v>7873</v>
      </c>
      <c r="V249" s="1544">
        <v>706</v>
      </c>
      <c r="W249" s="1544">
        <v>706</v>
      </c>
      <c r="X249" s="1555"/>
      <c r="Y249" s="1555"/>
      <c r="Z249" s="1516">
        <f t="shared" si="51"/>
        <v>0</v>
      </c>
      <c r="AA249" s="1516">
        <f t="shared" si="51"/>
        <v>0</v>
      </c>
      <c r="AB249" s="1516">
        <f t="shared" si="55"/>
        <v>706</v>
      </c>
      <c r="AC249" s="1555">
        <v>706</v>
      </c>
      <c r="AD249" s="1555">
        <v>706</v>
      </c>
      <c r="AE249" s="1555"/>
      <c r="AF249" s="1555"/>
      <c r="AG249" s="1516">
        <v>100</v>
      </c>
      <c r="AH249" s="1527" t="s">
        <v>420</v>
      </c>
      <c r="AI249" s="1509" t="s">
        <v>2287</v>
      </c>
    </row>
    <row r="250" spans="1:35" ht="22.5" x14ac:dyDescent="0.25">
      <c r="A250" s="1527">
        <v>143</v>
      </c>
      <c r="B250" s="1544" t="s">
        <v>1706</v>
      </c>
      <c r="C250" s="1509" t="s">
        <v>1831</v>
      </c>
      <c r="D250" s="1603">
        <v>9322</v>
      </c>
      <c r="E250" s="1603">
        <v>9322</v>
      </c>
      <c r="F250" s="1529">
        <v>4903</v>
      </c>
      <c r="G250" s="1529">
        <v>4903</v>
      </c>
      <c r="H250" s="1528"/>
      <c r="I250" s="1528"/>
      <c r="J250" s="1544"/>
      <c r="K250" s="1544"/>
      <c r="L250" s="1528"/>
      <c r="M250" s="1528"/>
      <c r="N250" s="1544"/>
      <c r="O250" s="1544"/>
      <c r="P250" s="1555"/>
      <c r="Q250" s="1555"/>
      <c r="R250" s="1555"/>
      <c r="S250" s="1555"/>
      <c r="T250" s="1516">
        <f t="shared" si="53"/>
        <v>4903</v>
      </c>
      <c r="U250" s="1516">
        <f t="shared" si="54"/>
        <v>4903</v>
      </c>
      <c r="V250" s="1544">
        <v>1099</v>
      </c>
      <c r="W250" s="1544">
        <v>1099</v>
      </c>
      <c r="X250" s="1555"/>
      <c r="Y250" s="1555"/>
      <c r="Z250" s="1516">
        <f t="shared" si="51"/>
        <v>0</v>
      </c>
      <c r="AA250" s="1516">
        <f t="shared" si="51"/>
        <v>0</v>
      </c>
      <c r="AB250" s="1516">
        <f t="shared" si="55"/>
        <v>1099</v>
      </c>
      <c r="AC250" s="1555">
        <v>1099</v>
      </c>
      <c r="AD250" s="1555">
        <v>1099</v>
      </c>
      <c r="AE250" s="1555"/>
      <c r="AF250" s="1555"/>
      <c r="AG250" s="1516">
        <v>100</v>
      </c>
      <c r="AH250" s="1527" t="s">
        <v>420</v>
      </c>
      <c r="AI250" s="1509"/>
    </row>
    <row r="251" spans="1:35" ht="33.75" x14ac:dyDescent="0.25">
      <c r="A251" s="1527">
        <v>144</v>
      </c>
      <c r="B251" s="1544" t="s">
        <v>1707</v>
      </c>
      <c r="C251" s="1509" t="s">
        <v>1832</v>
      </c>
      <c r="D251" s="1603">
        <v>2001</v>
      </c>
      <c r="E251" s="1603">
        <v>88</v>
      </c>
      <c r="F251" s="1529">
        <v>761</v>
      </c>
      <c r="G251" s="1529"/>
      <c r="H251" s="1528"/>
      <c r="I251" s="1528"/>
      <c r="J251" s="1544"/>
      <c r="K251" s="1544"/>
      <c r="L251" s="1528"/>
      <c r="M251" s="1528"/>
      <c r="N251" s="1544"/>
      <c r="O251" s="1544"/>
      <c r="P251" s="1555"/>
      <c r="Q251" s="1555"/>
      <c r="R251" s="1555"/>
      <c r="S251" s="1555"/>
      <c r="T251" s="1516">
        <f t="shared" si="53"/>
        <v>761</v>
      </c>
      <c r="U251" s="1516">
        <f t="shared" si="54"/>
        <v>0</v>
      </c>
      <c r="V251" s="1544">
        <v>88</v>
      </c>
      <c r="W251" s="1544">
        <v>88</v>
      </c>
      <c r="X251" s="1555"/>
      <c r="Y251" s="1555"/>
      <c r="Z251" s="1516">
        <f t="shared" si="51"/>
        <v>0</v>
      </c>
      <c r="AA251" s="1516">
        <f t="shared" si="51"/>
        <v>0</v>
      </c>
      <c r="AB251" s="1516">
        <f t="shared" si="55"/>
        <v>88</v>
      </c>
      <c r="AC251" s="1555">
        <v>88</v>
      </c>
      <c r="AD251" s="1555">
        <v>88</v>
      </c>
      <c r="AE251" s="1555"/>
      <c r="AF251" s="1555"/>
      <c r="AG251" s="1516">
        <v>100</v>
      </c>
      <c r="AH251" s="1527" t="s">
        <v>420</v>
      </c>
      <c r="AI251" s="1509"/>
    </row>
    <row r="252" spans="1:35" ht="22.5" x14ac:dyDescent="0.25">
      <c r="A252" s="1527">
        <v>145</v>
      </c>
      <c r="B252" s="1544" t="s">
        <v>1750</v>
      </c>
      <c r="C252" s="1509" t="s">
        <v>1833</v>
      </c>
      <c r="D252" s="1603">
        <v>7022</v>
      </c>
      <c r="E252" s="1603">
        <v>7022</v>
      </c>
      <c r="F252" s="1529">
        <v>3285</v>
      </c>
      <c r="G252" s="1529">
        <v>3285</v>
      </c>
      <c r="H252" s="1528"/>
      <c r="I252" s="1528"/>
      <c r="J252" s="1544"/>
      <c r="K252" s="1544"/>
      <c r="L252" s="1528"/>
      <c r="M252" s="1528"/>
      <c r="N252" s="1544"/>
      <c r="O252" s="1544"/>
      <c r="P252" s="1555"/>
      <c r="Q252" s="1555"/>
      <c r="R252" s="1555"/>
      <c r="S252" s="1555"/>
      <c r="T252" s="1516">
        <f t="shared" si="53"/>
        <v>3285</v>
      </c>
      <c r="U252" s="1516">
        <f t="shared" si="54"/>
        <v>3285</v>
      </c>
      <c r="V252" s="1544">
        <v>1361</v>
      </c>
      <c r="W252" s="1544">
        <v>1361</v>
      </c>
      <c r="X252" s="1555"/>
      <c r="Y252" s="1555"/>
      <c r="Z252" s="1516">
        <f t="shared" si="51"/>
        <v>0</v>
      </c>
      <c r="AA252" s="1516">
        <f t="shared" si="51"/>
        <v>0</v>
      </c>
      <c r="AB252" s="1516">
        <f t="shared" si="55"/>
        <v>1361</v>
      </c>
      <c r="AC252" s="1555">
        <v>1361</v>
      </c>
      <c r="AD252" s="1555">
        <v>1361</v>
      </c>
      <c r="AE252" s="1555"/>
      <c r="AF252" s="1555"/>
      <c r="AG252" s="1516">
        <v>100</v>
      </c>
      <c r="AH252" s="1527" t="s">
        <v>420</v>
      </c>
      <c r="AI252" s="1509"/>
    </row>
    <row r="253" spans="1:35" ht="22.5" x14ac:dyDescent="0.25">
      <c r="A253" s="1527">
        <v>146</v>
      </c>
      <c r="B253" s="1548" t="s">
        <v>1773</v>
      </c>
      <c r="C253" s="1527" t="s">
        <v>1834</v>
      </c>
      <c r="D253" s="1603">
        <v>74313</v>
      </c>
      <c r="E253" s="1529">
        <v>21935</v>
      </c>
      <c r="F253" s="1528">
        <v>52378</v>
      </c>
      <c r="G253" s="1528"/>
      <c r="H253" s="1528"/>
      <c r="I253" s="1528"/>
      <c r="J253" s="1544"/>
      <c r="K253" s="1544"/>
      <c r="L253" s="1528"/>
      <c r="M253" s="1528"/>
      <c r="N253" s="1544"/>
      <c r="O253" s="1544"/>
      <c r="P253" s="1555"/>
      <c r="Q253" s="1555"/>
      <c r="R253" s="1555"/>
      <c r="S253" s="1555"/>
      <c r="T253" s="1516">
        <f t="shared" si="53"/>
        <v>52378</v>
      </c>
      <c r="U253" s="1516">
        <f t="shared" si="54"/>
        <v>0</v>
      </c>
      <c r="V253" s="1544">
        <v>8524</v>
      </c>
      <c r="W253" s="1544">
        <v>8524</v>
      </c>
      <c r="X253" s="1555"/>
      <c r="Y253" s="1555"/>
      <c r="Z253" s="1516">
        <f t="shared" si="51"/>
        <v>0</v>
      </c>
      <c r="AA253" s="1516">
        <f t="shared" si="51"/>
        <v>0</v>
      </c>
      <c r="AB253" s="1516">
        <f t="shared" si="55"/>
        <v>8524</v>
      </c>
      <c r="AC253" s="1555">
        <v>8524</v>
      </c>
      <c r="AD253" s="1555">
        <v>8524</v>
      </c>
      <c r="AE253" s="1555"/>
      <c r="AF253" s="1555"/>
      <c r="AG253" s="1516">
        <v>100</v>
      </c>
      <c r="AH253" s="1527" t="s">
        <v>426</v>
      </c>
      <c r="AI253" s="1509"/>
    </row>
    <row r="254" spans="1:35" ht="56.25" x14ac:dyDescent="0.25">
      <c r="A254" s="1527">
        <v>147</v>
      </c>
      <c r="B254" s="1606" t="s">
        <v>1686</v>
      </c>
      <c r="C254" s="1509" t="s">
        <v>1836</v>
      </c>
      <c r="D254" s="1607">
        <v>40713</v>
      </c>
      <c r="E254" s="1528">
        <v>310.85800000000745</v>
      </c>
      <c r="F254" s="1528">
        <v>36044.050999999999</v>
      </c>
      <c r="G254" s="1528"/>
      <c r="H254" s="1528"/>
      <c r="I254" s="1528"/>
      <c r="J254" s="1544"/>
      <c r="K254" s="1544"/>
      <c r="L254" s="1528"/>
      <c r="M254" s="1528"/>
      <c r="N254" s="1544"/>
      <c r="O254" s="1544"/>
      <c r="P254" s="1555"/>
      <c r="Q254" s="1555"/>
      <c r="R254" s="1555"/>
      <c r="S254" s="1555"/>
      <c r="T254" s="1516">
        <f t="shared" si="53"/>
        <v>36044.050999999999</v>
      </c>
      <c r="U254" s="1516">
        <f t="shared" si="54"/>
        <v>0</v>
      </c>
      <c r="V254" s="1548">
        <v>310.85800000000745</v>
      </c>
      <c r="W254" s="1548">
        <v>310.85800000000745</v>
      </c>
      <c r="X254" s="1555"/>
      <c r="Y254" s="1555"/>
      <c r="Z254" s="1516">
        <f t="shared" si="51"/>
        <v>0</v>
      </c>
      <c r="AA254" s="1516">
        <f t="shared" si="51"/>
        <v>0</v>
      </c>
      <c r="AB254" s="1516">
        <f t="shared" si="55"/>
        <v>310.85800000000745</v>
      </c>
      <c r="AC254" s="1555">
        <v>310.85800000000745</v>
      </c>
      <c r="AD254" s="1555">
        <v>310.85800000000745</v>
      </c>
      <c r="AE254" s="1555"/>
      <c r="AF254" s="1555"/>
      <c r="AG254" s="1516">
        <v>100</v>
      </c>
      <c r="AH254" s="1608" t="s">
        <v>1837</v>
      </c>
      <c r="AI254" s="1509"/>
    </row>
    <row r="255" spans="1:35" ht="22.5" x14ac:dyDescent="0.25">
      <c r="A255" s="1527">
        <v>148</v>
      </c>
      <c r="B255" s="1606" t="s">
        <v>1756</v>
      </c>
      <c r="C255" s="1509"/>
      <c r="D255" s="1607">
        <v>7341</v>
      </c>
      <c r="E255" s="1528">
        <v>169.5</v>
      </c>
      <c r="F255" s="1528">
        <v>6819.8</v>
      </c>
      <c r="G255" s="1528"/>
      <c r="H255" s="1528"/>
      <c r="I255" s="1528"/>
      <c r="J255" s="1544"/>
      <c r="K255" s="1544"/>
      <c r="L255" s="1528"/>
      <c r="M255" s="1528"/>
      <c r="N255" s="1544"/>
      <c r="O255" s="1544"/>
      <c r="P255" s="1555"/>
      <c r="Q255" s="1555"/>
      <c r="R255" s="1555"/>
      <c r="S255" s="1555"/>
      <c r="T255" s="1516">
        <f t="shared" si="53"/>
        <v>6819.8</v>
      </c>
      <c r="U255" s="1516">
        <f t="shared" si="54"/>
        <v>0</v>
      </c>
      <c r="V255" s="1548">
        <v>169.5</v>
      </c>
      <c r="W255" s="1548">
        <v>169.5</v>
      </c>
      <c r="X255" s="1555"/>
      <c r="Y255" s="1555"/>
      <c r="Z255" s="1516">
        <f t="shared" si="51"/>
        <v>0</v>
      </c>
      <c r="AA255" s="1516">
        <f t="shared" si="51"/>
        <v>0</v>
      </c>
      <c r="AB255" s="1516">
        <f t="shared" si="55"/>
        <v>169.5</v>
      </c>
      <c r="AC255" s="1555">
        <v>169</v>
      </c>
      <c r="AD255" s="1555">
        <v>169</v>
      </c>
      <c r="AE255" s="1555"/>
      <c r="AF255" s="1555"/>
      <c r="AG255" s="1516">
        <v>100</v>
      </c>
      <c r="AH255" s="1608" t="s">
        <v>426</v>
      </c>
      <c r="AI255" s="1509"/>
    </row>
    <row r="256" spans="1:35" ht="33.75" x14ac:dyDescent="0.25">
      <c r="A256" s="1527">
        <v>149</v>
      </c>
      <c r="B256" s="1606" t="s">
        <v>1708</v>
      </c>
      <c r="C256" s="1509" t="s">
        <v>1838</v>
      </c>
      <c r="D256" s="1607">
        <v>35638</v>
      </c>
      <c r="E256" s="1528">
        <v>2655.0999999999985</v>
      </c>
      <c r="F256" s="1528">
        <v>30766.418000000001</v>
      </c>
      <c r="G256" s="1528"/>
      <c r="H256" s="1528"/>
      <c r="I256" s="1528"/>
      <c r="J256" s="1544"/>
      <c r="K256" s="1544"/>
      <c r="L256" s="1528"/>
      <c r="M256" s="1528"/>
      <c r="N256" s="1544"/>
      <c r="O256" s="1544"/>
      <c r="P256" s="1555"/>
      <c r="Q256" s="1555"/>
      <c r="R256" s="1555"/>
      <c r="S256" s="1555"/>
      <c r="T256" s="1516">
        <f t="shared" si="53"/>
        <v>30766.418000000001</v>
      </c>
      <c r="U256" s="1516">
        <f t="shared" si="54"/>
        <v>0</v>
      </c>
      <c r="V256" s="1548">
        <v>2757.6999999999985</v>
      </c>
      <c r="W256" s="1548">
        <v>2655.0999999999985</v>
      </c>
      <c r="X256" s="1555"/>
      <c r="Y256" s="1555"/>
      <c r="Z256" s="1516">
        <f t="shared" si="51"/>
        <v>0</v>
      </c>
      <c r="AA256" s="1516">
        <f t="shared" si="51"/>
        <v>0</v>
      </c>
      <c r="AB256" s="1516">
        <f t="shared" si="55"/>
        <v>2655.0999999999985</v>
      </c>
      <c r="AC256" s="1555">
        <v>2655.0999999999985</v>
      </c>
      <c r="AD256" s="1555">
        <v>2655.0999999999985</v>
      </c>
      <c r="AE256" s="1555"/>
      <c r="AF256" s="1555"/>
      <c r="AG256" s="1516">
        <v>100</v>
      </c>
      <c r="AH256" s="1608" t="s">
        <v>420</v>
      </c>
      <c r="AI256" s="1509"/>
    </row>
    <row r="257" spans="1:35" ht="22.5" x14ac:dyDescent="0.25">
      <c r="A257" s="1527">
        <v>150</v>
      </c>
      <c r="B257" s="1606" t="s">
        <v>1733</v>
      </c>
      <c r="C257" s="1509" t="s">
        <v>1839</v>
      </c>
      <c r="D257" s="1607">
        <v>398</v>
      </c>
      <c r="E257" s="1528">
        <v>12.151999999999987</v>
      </c>
      <c r="F257" s="1528">
        <v>343.375</v>
      </c>
      <c r="G257" s="1528"/>
      <c r="H257" s="1528"/>
      <c r="I257" s="1528"/>
      <c r="J257" s="1544"/>
      <c r="K257" s="1544"/>
      <c r="L257" s="1528"/>
      <c r="M257" s="1528"/>
      <c r="N257" s="1544"/>
      <c r="O257" s="1544"/>
      <c r="P257" s="1555"/>
      <c r="Q257" s="1555"/>
      <c r="R257" s="1555"/>
      <c r="S257" s="1555"/>
      <c r="T257" s="1516">
        <f t="shared" si="53"/>
        <v>343.375</v>
      </c>
      <c r="U257" s="1516">
        <f t="shared" si="54"/>
        <v>0</v>
      </c>
      <c r="V257" s="1548">
        <v>12.151999999999987</v>
      </c>
      <c r="W257" s="1548">
        <v>12</v>
      </c>
      <c r="X257" s="1555"/>
      <c r="Y257" s="1555"/>
      <c r="Z257" s="1516">
        <f t="shared" si="51"/>
        <v>0</v>
      </c>
      <c r="AA257" s="1516">
        <f t="shared" si="51"/>
        <v>0</v>
      </c>
      <c r="AB257" s="1516">
        <f t="shared" si="55"/>
        <v>12</v>
      </c>
      <c r="AC257" s="1555">
        <v>12</v>
      </c>
      <c r="AD257" s="1555">
        <v>12</v>
      </c>
      <c r="AE257" s="1555"/>
      <c r="AF257" s="1555"/>
      <c r="AG257" s="1516">
        <v>100</v>
      </c>
      <c r="AH257" s="1608" t="s">
        <v>1840</v>
      </c>
      <c r="AI257" s="1509"/>
    </row>
    <row r="258" spans="1:35" ht="22.5" x14ac:dyDescent="0.25">
      <c r="A258" s="1527">
        <v>151</v>
      </c>
      <c r="B258" s="1606" t="s">
        <v>1728</v>
      </c>
      <c r="C258" s="1509" t="s">
        <v>1841</v>
      </c>
      <c r="D258" s="1607">
        <v>6641</v>
      </c>
      <c r="E258" s="1528">
        <v>119.12899999999991</v>
      </c>
      <c r="F258" s="1528">
        <v>5437.268</v>
      </c>
      <c r="G258" s="1528"/>
      <c r="H258" s="1528"/>
      <c r="I258" s="1528"/>
      <c r="J258" s="1544"/>
      <c r="K258" s="1544"/>
      <c r="L258" s="1528"/>
      <c r="M258" s="1528"/>
      <c r="N258" s="1544"/>
      <c r="O258" s="1544"/>
      <c r="P258" s="1555"/>
      <c r="Q258" s="1555"/>
      <c r="R258" s="1555"/>
      <c r="S258" s="1555"/>
      <c r="T258" s="1516">
        <f t="shared" si="53"/>
        <v>5437.268</v>
      </c>
      <c r="U258" s="1516">
        <f t="shared" si="54"/>
        <v>0</v>
      </c>
      <c r="V258" s="1548">
        <v>119.12899999999991</v>
      </c>
      <c r="W258" s="1548">
        <v>119.12899999999991</v>
      </c>
      <c r="X258" s="1555"/>
      <c r="Y258" s="1555"/>
      <c r="Z258" s="1516">
        <f t="shared" si="51"/>
        <v>0</v>
      </c>
      <c r="AA258" s="1516">
        <f t="shared" si="51"/>
        <v>0</v>
      </c>
      <c r="AB258" s="1516">
        <f t="shared" si="55"/>
        <v>119.12899999999991</v>
      </c>
      <c r="AC258" s="1555">
        <v>119.12899999999991</v>
      </c>
      <c r="AD258" s="1555">
        <v>119.12899999999991</v>
      </c>
      <c r="AE258" s="1555"/>
      <c r="AF258" s="1555"/>
      <c r="AG258" s="1516">
        <v>100</v>
      </c>
      <c r="AH258" s="1608" t="s">
        <v>1842</v>
      </c>
      <c r="AI258" s="1509"/>
    </row>
    <row r="259" spans="1:35" ht="22.5" x14ac:dyDescent="0.25">
      <c r="A259" s="1527">
        <v>152</v>
      </c>
      <c r="B259" s="1526" t="s">
        <v>1723</v>
      </c>
      <c r="C259" s="1509" t="s">
        <v>1843</v>
      </c>
      <c r="D259" s="1548">
        <v>22241</v>
      </c>
      <c r="E259" s="1528">
        <v>123.2510000000002</v>
      </c>
      <c r="F259" s="1528">
        <v>16849.263999999999</v>
      </c>
      <c r="G259" s="1528"/>
      <c r="H259" s="1528"/>
      <c r="I259" s="1528"/>
      <c r="J259" s="1544"/>
      <c r="K259" s="1544"/>
      <c r="L259" s="1528"/>
      <c r="M259" s="1528"/>
      <c r="N259" s="1544"/>
      <c r="O259" s="1544"/>
      <c r="P259" s="1555"/>
      <c r="Q259" s="1555"/>
      <c r="R259" s="1555"/>
      <c r="S259" s="1555"/>
      <c r="T259" s="1516">
        <f t="shared" si="53"/>
        <v>16849.263999999999</v>
      </c>
      <c r="U259" s="1516">
        <f t="shared" si="54"/>
        <v>0</v>
      </c>
      <c r="V259" s="1548">
        <v>123.2510000000002</v>
      </c>
      <c r="W259" s="1548">
        <v>123.2510000000002</v>
      </c>
      <c r="X259" s="1555"/>
      <c r="Y259" s="1555"/>
      <c r="Z259" s="1516">
        <f t="shared" si="51"/>
        <v>0</v>
      </c>
      <c r="AA259" s="1516">
        <f t="shared" si="51"/>
        <v>0</v>
      </c>
      <c r="AB259" s="1516">
        <f t="shared" si="55"/>
        <v>123.2510000000002</v>
      </c>
      <c r="AC259" s="1555">
        <v>123.2510000000002</v>
      </c>
      <c r="AD259" s="1555">
        <v>123.2510000000002</v>
      </c>
      <c r="AE259" s="1555"/>
      <c r="AF259" s="1555"/>
      <c r="AG259" s="1516">
        <v>100</v>
      </c>
      <c r="AH259" s="1527" t="s">
        <v>422</v>
      </c>
      <c r="AI259" s="1509"/>
    </row>
    <row r="260" spans="1:35" ht="33.75" x14ac:dyDescent="0.25">
      <c r="A260" s="1527">
        <v>153</v>
      </c>
      <c r="B260" s="1606" t="s">
        <v>1679</v>
      </c>
      <c r="C260" s="1509" t="s">
        <v>1844</v>
      </c>
      <c r="D260" s="1607">
        <v>2345</v>
      </c>
      <c r="E260" s="1528">
        <v>52.954885999999988</v>
      </c>
      <c r="F260" s="1528">
        <v>2052.4</v>
      </c>
      <c r="G260" s="1528"/>
      <c r="H260" s="1528"/>
      <c r="I260" s="1528"/>
      <c r="J260" s="1544"/>
      <c r="K260" s="1544"/>
      <c r="L260" s="1528"/>
      <c r="M260" s="1528"/>
      <c r="N260" s="1544"/>
      <c r="O260" s="1544"/>
      <c r="P260" s="1555"/>
      <c r="Q260" s="1555"/>
      <c r="R260" s="1555"/>
      <c r="S260" s="1555"/>
      <c r="T260" s="1516">
        <f t="shared" si="53"/>
        <v>2052.4</v>
      </c>
      <c r="U260" s="1516">
        <f t="shared" si="54"/>
        <v>0</v>
      </c>
      <c r="V260" s="1548">
        <v>52.954885999999988</v>
      </c>
      <c r="W260" s="1548">
        <v>52.954885999999988</v>
      </c>
      <c r="X260" s="1555"/>
      <c r="Y260" s="1555"/>
      <c r="Z260" s="1516">
        <f t="shared" si="51"/>
        <v>0</v>
      </c>
      <c r="AA260" s="1516">
        <f t="shared" si="51"/>
        <v>0</v>
      </c>
      <c r="AB260" s="1516">
        <f t="shared" si="55"/>
        <v>52.954885999999988</v>
      </c>
      <c r="AC260" s="1555">
        <v>52.954885999999988</v>
      </c>
      <c r="AD260" s="1555">
        <v>52.954885999999988</v>
      </c>
      <c r="AE260" s="1555"/>
      <c r="AF260" s="1555"/>
      <c r="AG260" s="1516">
        <v>100</v>
      </c>
      <c r="AH260" s="1608" t="s">
        <v>1597</v>
      </c>
      <c r="AI260" s="1509"/>
    </row>
    <row r="261" spans="1:35" ht="33.75" x14ac:dyDescent="0.25">
      <c r="A261" s="1527">
        <v>154</v>
      </c>
      <c r="B261" s="1526" t="s">
        <v>1709</v>
      </c>
      <c r="C261" s="1509" t="s">
        <v>1849</v>
      </c>
      <c r="D261" s="1528">
        <v>8757</v>
      </c>
      <c r="E261" s="1528">
        <v>1566</v>
      </c>
      <c r="F261" s="1529">
        <f>D261-I261</f>
        <v>8757</v>
      </c>
      <c r="G261" s="1529"/>
      <c r="H261" s="1528"/>
      <c r="I261" s="1528"/>
      <c r="J261" s="1544"/>
      <c r="K261" s="1544"/>
      <c r="L261" s="1528">
        <v>1566</v>
      </c>
      <c r="M261" s="1528">
        <v>1566</v>
      </c>
      <c r="N261" s="1544"/>
      <c r="O261" s="1544"/>
      <c r="P261" s="1555"/>
      <c r="Q261" s="1555"/>
      <c r="R261" s="1555"/>
      <c r="S261" s="1555"/>
      <c r="T261" s="1516">
        <f t="shared" si="53"/>
        <v>10323</v>
      </c>
      <c r="U261" s="1516">
        <f t="shared" si="54"/>
        <v>1566</v>
      </c>
      <c r="V261" s="1528">
        <v>1977</v>
      </c>
      <c r="W261" s="1528">
        <v>1977</v>
      </c>
      <c r="X261" s="1555"/>
      <c r="Y261" s="1555"/>
      <c r="Z261" s="1516">
        <f t="shared" si="51"/>
        <v>1566</v>
      </c>
      <c r="AA261" s="1516">
        <f t="shared" si="51"/>
        <v>1566</v>
      </c>
      <c r="AB261" s="1516">
        <f t="shared" si="55"/>
        <v>411</v>
      </c>
      <c r="AC261" s="1555">
        <v>411</v>
      </c>
      <c r="AD261" s="1555">
        <v>411</v>
      </c>
      <c r="AE261" s="1555"/>
      <c r="AF261" s="1555"/>
      <c r="AG261" s="1516">
        <v>100</v>
      </c>
      <c r="AH261" s="1527" t="s">
        <v>954</v>
      </c>
      <c r="AI261" s="1509"/>
    </row>
    <row r="262" spans="1:35" ht="33.75" x14ac:dyDescent="0.25">
      <c r="A262" s="1527">
        <v>155</v>
      </c>
      <c r="B262" s="1526" t="s">
        <v>1617</v>
      </c>
      <c r="C262" s="1527" t="s">
        <v>1850</v>
      </c>
      <c r="D262" s="1528">
        <v>14618</v>
      </c>
      <c r="E262" s="1528">
        <v>14618</v>
      </c>
      <c r="F262" s="1529">
        <v>12118</v>
      </c>
      <c r="G262" s="1529">
        <v>12118</v>
      </c>
      <c r="H262" s="1528"/>
      <c r="I262" s="1528"/>
      <c r="J262" s="1544"/>
      <c r="K262" s="1544"/>
      <c r="L262" s="1528"/>
      <c r="M262" s="1528"/>
      <c r="N262" s="1544"/>
      <c r="O262" s="1544"/>
      <c r="P262" s="1555"/>
      <c r="Q262" s="1555"/>
      <c r="R262" s="1555"/>
      <c r="S262" s="1555"/>
      <c r="T262" s="1516">
        <f t="shared" si="53"/>
        <v>12118</v>
      </c>
      <c r="U262" s="1516">
        <f t="shared" si="54"/>
        <v>12118</v>
      </c>
      <c r="V262" s="1528">
        <v>1005</v>
      </c>
      <c r="W262" s="1528">
        <v>1005</v>
      </c>
      <c r="X262" s="1555"/>
      <c r="Y262" s="1555">
        <v>359</v>
      </c>
      <c r="Z262" s="1516">
        <f t="shared" si="51"/>
        <v>0</v>
      </c>
      <c r="AA262" s="1516">
        <f t="shared" si="51"/>
        <v>0</v>
      </c>
      <c r="AB262" s="1516">
        <f t="shared" si="55"/>
        <v>1005</v>
      </c>
      <c r="AC262" s="1555">
        <v>1005</v>
      </c>
      <c r="AD262" s="1555">
        <v>1005</v>
      </c>
      <c r="AE262" s="1555"/>
      <c r="AF262" s="1516">
        <f>Y262-K262-O262-S262</f>
        <v>359</v>
      </c>
      <c r="AG262" s="1516">
        <v>100</v>
      </c>
      <c r="AH262" s="1527" t="s">
        <v>418</v>
      </c>
      <c r="AI262" s="1509"/>
    </row>
    <row r="263" spans="1:35" ht="33.75" x14ac:dyDescent="0.25">
      <c r="A263" s="1527">
        <v>156</v>
      </c>
      <c r="B263" s="1526" t="s">
        <v>1672</v>
      </c>
      <c r="C263" s="1527" t="s">
        <v>1851</v>
      </c>
      <c r="D263" s="1528">
        <v>12920</v>
      </c>
      <c r="E263" s="1528">
        <v>1020</v>
      </c>
      <c r="F263" s="1529">
        <v>11489</v>
      </c>
      <c r="G263" s="1529"/>
      <c r="H263" s="1528"/>
      <c r="I263" s="1528"/>
      <c r="J263" s="1544"/>
      <c r="K263" s="1544"/>
      <c r="L263" s="1528"/>
      <c r="M263" s="1528"/>
      <c r="N263" s="1544"/>
      <c r="O263" s="1544"/>
      <c r="P263" s="1555"/>
      <c r="Q263" s="1555"/>
      <c r="R263" s="1555"/>
      <c r="S263" s="1555">
        <v>0</v>
      </c>
      <c r="T263" s="1516">
        <f t="shared" si="53"/>
        <v>11489</v>
      </c>
      <c r="U263" s="1516">
        <f t="shared" si="54"/>
        <v>0</v>
      </c>
      <c r="V263" s="1528">
        <v>95</v>
      </c>
      <c r="W263" s="1528">
        <v>95</v>
      </c>
      <c r="X263" s="1555"/>
      <c r="Y263" s="1555"/>
      <c r="Z263" s="1516">
        <f t="shared" si="51"/>
        <v>0</v>
      </c>
      <c r="AA263" s="1516">
        <f t="shared" si="51"/>
        <v>0</v>
      </c>
      <c r="AB263" s="1516">
        <f t="shared" si="55"/>
        <v>95</v>
      </c>
      <c r="AC263" s="1555">
        <v>95</v>
      </c>
      <c r="AD263" s="1555">
        <v>95</v>
      </c>
      <c r="AE263" s="1555"/>
      <c r="AF263" s="1555"/>
      <c r="AG263" s="1516">
        <v>100</v>
      </c>
      <c r="AH263" s="1527" t="s">
        <v>418</v>
      </c>
      <c r="AI263" s="1509"/>
    </row>
    <row r="264" spans="1:35" ht="33.75" x14ac:dyDescent="0.25">
      <c r="A264" s="1527">
        <v>157</v>
      </c>
      <c r="B264" s="1548" t="s">
        <v>1762</v>
      </c>
      <c r="C264" s="1527" t="s">
        <v>1852</v>
      </c>
      <c r="D264" s="1603">
        <v>79998</v>
      </c>
      <c r="E264" s="1529">
        <f>1747+8000</f>
        <v>9747</v>
      </c>
      <c r="F264" s="1528">
        <v>69450</v>
      </c>
      <c r="G264" s="1528">
        <f>F264-61450</f>
        <v>8000</v>
      </c>
      <c r="H264" s="1528"/>
      <c r="I264" s="1528"/>
      <c r="J264" s="1544"/>
      <c r="K264" s="1544"/>
      <c r="L264" s="1528"/>
      <c r="M264" s="1528"/>
      <c r="N264" s="1544"/>
      <c r="O264" s="1544"/>
      <c r="P264" s="1555"/>
      <c r="Q264" s="1555"/>
      <c r="R264" s="1555">
        <v>0</v>
      </c>
      <c r="S264" s="1555"/>
      <c r="T264" s="1516">
        <f t="shared" si="53"/>
        <v>69450</v>
      </c>
      <c r="U264" s="1516">
        <f t="shared" si="54"/>
        <v>8000</v>
      </c>
      <c r="V264" s="1528">
        <v>2136</v>
      </c>
      <c r="W264" s="1528">
        <v>2136</v>
      </c>
      <c r="X264" s="1555"/>
      <c r="Y264" s="1555">
        <v>1747</v>
      </c>
      <c r="Z264" s="1516">
        <f t="shared" si="51"/>
        <v>0</v>
      </c>
      <c r="AA264" s="1516">
        <f t="shared" si="51"/>
        <v>0</v>
      </c>
      <c r="AB264" s="1516">
        <f t="shared" si="55"/>
        <v>2136</v>
      </c>
      <c r="AC264" s="1555">
        <v>2086</v>
      </c>
      <c r="AD264" s="1555">
        <v>2086</v>
      </c>
      <c r="AE264" s="1555"/>
      <c r="AF264" s="1516">
        <f>Y264-K264-O264-S264</f>
        <v>1747</v>
      </c>
      <c r="AG264" s="1516">
        <v>100</v>
      </c>
      <c r="AH264" s="1527" t="s">
        <v>418</v>
      </c>
      <c r="AI264" s="1509"/>
    </row>
    <row r="265" spans="1:35" ht="22.5" x14ac:dyDescent="0.25">
      <c r="A265" s="1527">
        <v>158</v>
      </c>
      <c r="B265" s="1526" t="s">
        <v>1751</v>
      </c>
      <c r="C265" s="1527" t="s">
        <v>1853</v>
      </c>
      <c r="D265" s="1528">
        <v>5303</v>
      </c>
      <c r="E265" s="1528">
        <v>989</v>
      </c>
      <c r="F265" s="1528">
        <v>4314</v>
      </c>
      <c r="G265" s="1528"/>
      <c r="H265" s="1528"/>
      <c r="I265" s="1528"/>
      <c r="J265" s="1544"/>
      <c r="K265" s="1544"/>
      <c r="L265" s="1528"/>
      <c r="M265" s="1528"/>
      <c r="N265" s="1544"/>
      <c r="O265" s="1544"/>
      <c r="P265" s="1555"/>
      <c r="Q265" s="1555"/>
      <c r="R265" s="1555"/>
      <c r="S265" s="1555"/>
      <c r="T265" s="1516">
        <f t="shared" si="53"/>
        <v>4314</v>
      </c>
      <c r="U265" s="1516">
        <f t="shared" si="54"/>
        <v>0</v>
      </c>
      <c r="V265" s="1528">
        <f>989+180</f>
        <v>1169</v>
      </c>
      <c r="W265" s="1528">
        <f>989+180</f>
        <v>1169</v>
      </c>
      <c r="X265" s="1555"/>
      <c r="Y265" s="1555"/>
      <c r="Z265" s="1516">
        <f t="shared" si="51"/>
        <v>0</v>
      </c>
      <c r="AA265" s="1516">
        <f t="shared" si="51"/>
        <v>0</v>
      </c>
      <c r="AB265" s="1516">
        <f t="shared" si="55"/>
        <v>1169</v>
      </c>
      <c r="AC265" s="1555">
        <v>180</v>
      </c>
      <c r="AD265" s="1555">
        <v>180</v>
      </c>
      <c r="AE265" s="1555"/>
      <c r="AF265" s="1555"/>
      <c r="AG265" s="1516">
        <v>100</v>
      </c>
      <c r="AH265" s="1509" t="s">
        <v>420</v>
      </c>
      <c r="AI265" s="1509"/>
    </row>
    <row r="266" spans="1:35" ht="33.75" x14ac:dyDescent="0.25">
      <c r="A266" s="1527">
        <v>159</v>
      </c>
      <c r="B266" s="1526" t="s">
        <v>1776</v>
      </c>
      <c r="C266" s="1509" t="s">
        <v>1854</v>
      </c>
      <c r="D266" s="1529">
        <v>7272</v>
      </c>
      <c r="E266" s="1528">
        <f>D266-4500</f>
        <v>2772</v>
      </c>
      <c r="F266" s="1529">
        <v>4795</v>
      </c>
      <c r="G266" s="1529">
        <f>F266-4500</f>
        <v>295</v>
      </c>
      <c r="H266" s="1528">
        <v>800</v>
      </c>
      <c r="I266" s="1528">
        <v>800</v>
      </c>
      <c r="J266" s="1544"/>
      <c r="K266" s="1544"/>
      <c r="L266" s="1528"/>
      <c r="M266" s="1528"/>
      <c r="N266" s="1544"/>
      <c r="O266" s="1544"/>
      <c r="P266" s="1555"/>
      <c r="Q266" s="1555"/>
      <c r="R266" s="1555"/>
      <c r="S266" s="1555">
        <v>0</v>
      </c>
      <c r="T266" s="1516">
        <f t="shared" si="53"/>
        <v>5595</v>
      </c>
      <c r="U266" s="1516">
        <f t="shared" si="54"/>
        <v>1095</v>
      </c>
      <c r="V266" s="1528">
        <v>1840</v>
      </c>
      <c r="W266" s="1528">
        <v>1840</v>
      </c>
      <c r="X266" s="1555"/>
      <c r="Y266" s="1555"/>
      <c r="Z266" s="1516">
        <f t="shared" si="51"/>
        <v>800</v>
      </c>
      <c r="AA266" s="1516">
        <f t="shared" si="51"/>
        <v>800</v>
      </c>
      <c r="AB266" s="1516">
        <f t="shared" si="55"/>
        <v>1040</v>
      </c>
      <c r="AC266" s="1555">
        <v>1040</v>
      </c>
      <c r="AD266" s="1555">
        <v>1040</v>
      </c>
      <c r="AE266" s="1555"/>
      <c r="AF266" s="1555"/>
      <c r="AG266" s="1516">
        <v>100</v>
      </c>
      <c r="AH266" s="1509" t="s">
        <v>1031</v>
      </c>
      <c r="AI266" s="1509"/>
    </row>
    <row r="267" spans="1:35" ht="22.5" x14ac:dyDescent="0.25">
      <c r="A267" s="1527">
        <v>160</v>
      </c>
      <c r="B267" s="1544" t="s">
        <v>1018</v>
      </c>
      <c r="C267" s="1509" t="s">
        <v>1019</v>
      </c>
      <c r="D267" s="1610">
        <v>154886</v>
      </c>
      <c r="E267" s="1610">
        <v>46000</v>
      </c>
      <c r="F267" s="1529">
        <f>52316+6661+11590</f>
        <v>70567</v>
      </c>
      <c r="G267" s="1529">
        <v>8640</v>
      </c>
      <c r="H267" s="1528"/>
      <c r="I267" s="1528"/>
      <c r="J267" s="1544"/>
      <c r="K267" s="1544"/>
      <c r="L267" s="1528">
        <v>6345</v>
      </c>
      <c r="M267" s="1528">
        <v>6345</v>
      </c>
      <c r="N267" s="1544"/>
      <c r="O267" s="1544">
        <v>6345</v>
      </c>
      <c r="P267" s="1555">
        <v>10000</v>
      </c>
      <c r="Q267" s="1555">
        <v>10000</v>
      </c>
      <c r="R267" s="1555">
        <v>0</v>
      </c>
      <c r="S267" s="1555">
        <v>10000</v>
      </c>
      <c r="T267" s="1516">
        <f t="shared" si="53"/>
        <v>86912</v>
      </c>
      <c r="U267" s="1516">
        <f t="shared" si="54"/>
        <v>24985</v>
      </c>
      <c r="V267" s="1528">
        <v>74319</v>
      </c>
      <c r="W267" s="1528">
        <v>27360</v>
      </c>
      <c r="X267" s="1555"/>
      <c r="Y267" s="1528">
        <v>27360</v>
      </c>
      <c r="Z267" s="1516">
        <f t="shared" si="51"/>
        <v>16345</v>
      </c>
      <c r="AA267" s="1516">
        <f t="shared" si="51"/>
        <v>16345</v>
      </c>
      <c r="AB267" s="1516">
        <f t="shared" si="55"/>
        <v>11015</v>
      </c>
      <c r="AC267" s="1555">
        <v>5352</v>
      </c>
      <c r="AD267" s="1555">
        <v>5352</v>
      </c>
      <c r="AE267" s="1555"/>
      <c r="AF267" s="1516">
        <f>Y267-K267-O267-S267</f>
        <v>11015</v>
      </c>
      <c r="AG267" s="1516">
        <v>100</v>
      </c>
      <c r="AH267" s="1527" t="s">
        <v>427</v>
      </c>
      <c r="AI267" s="1509"/>
    </row>
    <row r="268" spans="1:35" ht="56.25" x14ac:dyDescent="0.25">
      <c r="A268" s="1527">
        <v>161</v>
      </c>
      <c r="B268" s="1554" t="s">
        <v>1214</v>
      </c>
      <c r="C268" s="1527" t="s">
        <v>988</v>
      </c>
      <c r="D268" s="1528">
        <v>1281</v>
      </c>
      <c r="E268" s="1528">
        <v>1281</v>
      </c>
      <c r="F268" s="1528"/>
      <c r="G268" s="1528"/>
      <c r="H268" s="1528"/>
      <c r="I268" s="1528"/>
      <c r="J268" s="1544"/>
      <c r="K268" s="1544"/>
      <c r="L268" s="1528">
        <v>500</v>
      </c>
      <c r="M268" s="1528">
        <v>500</v>
      </c>
      <c r="N268" s="1544"/>
      <c r="O268" s="1544"/>
      <c r="P268" s="1555">
        <v>500</v>
      </c>
      <c r="Q268" s="1555">
        <v>500</v>
      </c>
      <c r="R268" s="1555"/>
      <c r="S268" s="1555"/>
      <c r="T268" s="1516">
        <f t="shared" si="53"/>
        <v>1000</v>
      </c>
      <c r="U268" s="1516">
        <f t="shared" si="54"/>
        <v>1000</v>
      </c>
      <c r="V268" s="1528">
        <v>1800</v>
      </c>
      <c r="W268" s="1528">
        <v>1800</v>
      </c>
      <c r="X268" s="1555"/>
      <c r="Y268" s="1555"/>
      <c r="Z268" s="1516">
        <f t="shared" si="51"/>
        <v>1000</v>
      </c>
      <c r="AA268" s="1516">
        <f t="shared" si="51"/>
        <v>1000</v>
      </c>
      <c r="AB268" s="1516">
        <f t="shared" si="55"/>
        <v>800</v>
      </c>
      <c r="AC268" s="1555">
        <v>161</v>
      </c>
      <c r="AD268" s="1555">
        <v>161</v>
      </c>
      <c r="AE268" s="1555"/>
      <c r="AF268" s="1555"/>
      <c r="AG268" s="1516">
        <v>100</v>
      </c>
      <c r="AH268" s="1509" t="s">
        <v>983</v>
      </c>
      <c r="AI268" s="1509"/>
    </row>
    <row r="269" spans="1:35" ht="33.75" x14ac:dyDescent="0.25">
      <c r="A269" s="1527">
        <v>162</v>
      </c>
      <c r="B269" s="1554" t="s">
        <v>1014</v>
      </c>
      <c r="C269" s="1509" t="s">
        <v>1015</v>
      </c>
      <c r="D269" s="1528">
        <v>2926</v>
      </c>
      <c r="E269" s="1528">
        <v>2926</v>
      </c>
      <c r="F269" s="1528"/>
      <c r="G269" s="1528"/>
      <c r="H269" s="1528"/>
      <c r="I269" s="1528"/>
      <c r="J269" s="1544"/>
      <c r="K269" s="1544"/>
      <c r="L269" s="1528">
        <v>1000</v>
      </c>
      <c r="M269" s="1528">
        <v>1000</v>
      </c>
      <c r="N269" s="1544"/>
      <c r="O269" s="1544"/>
      <c r="P269" s="1555">
        <v>1000</v>
      </c>
      <c r="Q269" s="1555">
        <v>1000</v>
      </c>
      <c r="R269" s="1555"/>
      <c r="S269" s="1555">
        <v>0</v>
      </c>
      <c r="T269" s="1516">
        <f t="shared" si="53"/>
        <v>2000</v>
      </c>
      <c r="U269" s="1516">
        <f t="shared" si="54"/>
        <v>2000</v>
      </c>
      <c r="V269" s="1528">
        <v>2633.4</v>
      </c>
      <c r="W269" s="1528">
        <v>2633.4</v>
      </c>
      <c r="X269" s="1555"/>
      <c r="Y269" s="1555"/>
      <c r="Z269" s="1516">
        <f t="shared" si="51"/>
        <v>2000</v>
      </c>
      <c r="AA269" s="1516">
        <f t="shared" si="51"/>
        <v>2000</v>
      </c>
      <c r="AB269" s="1516">
        <f t="shared" si="55"/>
        <v>633.40000000000009</v>
      </c>
      <c r="AC269" s="1555">
        <v>633.40000000000009</v>
      </c>
      <c r="AD269" s="1555">
        <v>633.40000000000009</v>
      </c>
      <c r="AE269" s="1555"/>
      <c r="AF269" s="1555"/>
      <c r="AG269" s="1516">
        <v>100</v>
      </c>
      <c r="AH269" s="1527" t="s">
        <v>418</v>
      </c>
      <c r="AI269" s="1509"/>
    </row>
    <row r="270" spans="1:35" ht="56.25" x14ac:dyDescent="0.25">
      <c r="A270" s="1527">
        <v>163</v>
      </c>
      <c r="B270" s="1597" t="s">
        <v>2288</v>
      </c>
      <c r="C270" s="1611" t="s">
        <v>984</v>
      </c>
      <c r="D270" s="1610">
        <v>775123</v>
      </c>
      <c r="E270" s="1610">
        <f>D270-653550</f>
        <v>121573</v>
      </c>
      <c r="F270" s="1529">
        <v>653085</v>
      </c>
      <c r="G270" s="1529"/>
      <c r="H270" s="1528">
        <v>2720</v>
      </c>
      <c r="I270" s="1528">
        <v>2720</v>
      </c>
      <c r="J270" s="1544"/>
      <c r="K270" s="1555">
        <v>2720</v>
      </c>
      <c r="L270" s="1528">
        <v>2500</v>
      </c>
      <c r="M270" s="1528">
        <v>2500</v>
      </c>
      <c r="N270" s="1544"/>
      <c r="O270" s="1544"/>
      <c r="P270" s="1555">
        <v>11067</v>
      </c>
      <c r="Q270" s="1555">
        <f>P270</f>
        <v>11067</v>
      </c>
      <c r="R270" s="1555"/>
      <c r="S270" s="1555">
        <v>10000</v>
      </c>
      <c r="T270" s="1516">
        <f t="shared" si="53"/>
        <v>669372</v>
      </c>
      <c r="U270" s="1516">
        <f t="shared" si="54"/>
        <v>16287</v>
      </c>
      <c r="V270" s="1528">
        <v>33000</v>
      </c>
      <c r="W270" s="1528">
        <v>33000</v>
      </c>
      <c r="X270" s="1555"/>
      <c r="Y270" s="1555">
        <v>26683</v>
      </c>
      <c r="Z270" s="1516">
        <f t="shared" si="51"/>
        <v>16287</v>
      </c>
      <c r="AA270" s="1516">
        <f t="shared" si="51"/>
        <v>16287</v>
      </c>
      <c r="AB270" s="1516">
        <f t="shared" si="55"/>
        <v>16713</v>
      </c>
      <c r="AC270" s="1555">
        <v>16273</v>
      </c>
      <c r="AD270" s="1555">
        <v>16273</v>
      </c>
      <c r="AE270" s="1555"/>
      <c r="AF270" s="1516">
        <f>Y270-K270-O270-S270</f>
        <v>13963</v>
      </c>
      <c r="AG270" s="1516">
        <v>100</v>
      </c>
      <c r="AH270" s="1509" t="s">
        <v>983</v>
      </c>
      <c r="AI270" s="1509"/>
    </row>
    <row r="271" spans="1:35" ht="30" customHeight="1" x14ac:dyDescent="0.25">
      <c r="A271" s="1527">
        <v>164</v>
      </c>
      <c r="B271" s="1586" t="s">
        <v>1673</v>
      </c>
      <c r="C271" s="1509" t="s">
        <v>1855</v>
      </c>
      <c r="D271" s="1528">
        <v>400190</v>
      </c>
      <c r="E271" s="1528">
        <f>D271-359316</f>
        <v>40874</v>
      </c>
      <c r="F271" s="1528">
        <f>342135+15000+4216-50000</f>
        <v>311351</v>
      </c>
      <c r="G271" s="1528">
        <v>2035</v>
      </c>
      <c r="H271" s="1528"/>
      <c r="I271" s="1528"/>
      <c r="J271" s="1544"/>
      <c r="K271" s="1544"/>
      <c r="L271" s="1528"/>
      <c r="M271" s="1528"/>
      <c r="N271" s="1544"/>
      <c r="O271" s="1544"/>
      <c r="P271" s="1555"/>
      <c r="Q271" s="1555"/>
      <c r="R271" s="1555"/>
      <c r="S271" s="1555"/>
      <c r="T271" s="1516">
        <f t="shared" si="53"/>
        <v>311351</v>
      </c>
      <c r="U271" s="1516">
        <f t="shared" si="54"/>
        <v>2035</v>
      </c>
      <c r="V271" s="1544">
        <f>3712+50000</f>
        <v>53712</v>
      </c>
      <c r="W271" s="1544">
        <v>3712</v>
      </c>
      <c r="X271" s="1555"/>
      <c r="Y271" s="1555"/>
      <c r="Z271" s="1516">
        <f t="shared" si="51"/>
        <v>0</v>
      </c>
      <c r="AA271" s="1516">
        <f t="shared" si="51"/>
        <v>0</v>
      </c>
      <c r="AB271" s="1516">
        <f t="shared" si="55"/>
        <v>3712</v>
      </c>
      <c r="AC271" s="1555">
        <v>3712</v>
      </c>
      <c r="AD271" s="1555">
        <v>3712</v>
      </c>
      <c r="AE271" s="1555"/>
      <c r="AF271" s="1555"/>
      <c r="AG271" s="1516">
        <f>(AC271+T271)/D271*100</f>
        <v>78.728354031834883</v>
      </c>
      <c r="AH271" s="1527" t="s">
        <v>418</v>
      </c>
      <c r="AI271" s="1509"/>
    </row>
    <row r="272" spans="1:35" ht="41.25" customHeight="1" x14ac:dyDescent="0.25">
      <c r="A272" s="1527">
        <v>165</v>
      </c>
      <c r="B272" s="1544" t="s">
        <v>1016</v>
      </c>
      <c r="C272" s="1509" t="s">
        <v>1017</v>
      </c>
      <c r="D272" s="1528">
        <v>9158</v>
      </c>
      <c r="E272" s="1528">
        <v>9158</v>
      </c>
      <c r="F272" s="1529">
        <v>4607</v>
      </c>
      <c r="G272" s="1529">
        <v>4607</v>
      </c>
      <c r="H272" s="1528"/>
      <c r="I272" s="1528"/>
      <c r="J272" s="1544"/>
      <c r="K272" s="1544"/>
      <c r="L272" s="1528"/>
      <c r="M272" s="1528"/>
      <c r="N272" s="1544"/>
      <c r="O272" s="1544"/>
      <c r="P272" s="1555">
        <v>3000</v>
      </c>
      <c r="Q272" s="1555">
        <v>3000</v>
      </c>
      <c r="R272" s="1555"/>
      <c r="S272" s="1555">
        <v>1027</v>
      </c>
      <c r="T272" s="1516">
        <f t="shared" si="53"/>
        <v>7607</v>
      </c>
      <c r="U272" s="1516">
        <f t="shared" si="54"/>
        <v>7607</v>
      </c>
      <c r="V272" s="1528">
        <v>4551</v>
      </c>
      <c r="W272" s="1528">
        <v>4551</v>
      </c>
      <c r="X272" s="1555"/>
      <c r="Y272" s="1555">
        <v>1027</v>
      </c>
      <c r="Z272" s="1516">
        <f t="shared" si="51"/>
        <v>3000</v>
      </c>
      <c r="AA272" s="1516">
        <f t="shared" si="51"/>
        <v>3000</v>
      </c>
      <c r="AB272" s="1516">
        <f>W272-AA272</f>
        <v>1551</v>
      </c>
      <c r="AC272" s="1555">
        <v>1045</v>
      </c>
      <c r="AD272" s="1555">
        <v>1045</v>
      </c>
      <c r="AE272" s="1555"/>
      <c r="AF272" s="1516">
        <f>Y272-K272-O272-S272</f>
        <v>0</v>
      </c>
      <c r="AG272" s="1516">
        <f>(U272+AD272)/E272*100</f>
        <v>94.474776151998256</v>
      </c>
      <c r="AH272" s="1509" t="s">
        <v>434</v>
      </c>
      <c r="AI272" s="1509"/>
    </row>
    <row r="273" spans="1:36" ht="22.5" x14ac:dyDescent="0.25">
      <c r="A273" s="1527">
        <v>166</v>
      </c>
      <c r="B273" s="1548" t="s">
        <v>1627</v>
      </c>
      <c r="C273" s="1527" t="s">
        <v>1856</v>
      </c>
      <c r="D273" s="1528">
        <v>14007</v>
      </c>
      <c r="E273" s="1528">
        <v>13793</v>
      </c>
      <c r="F273" s="1528">
        <v>12385</v>
      </c>
      <c r="G273" s="1528">
        <v>11885</v>
      </c>
      <c r="H273" s="1528"/>
      <c r="I273" s="1528"/>
      <c r="J273" s="1544"/>
      <c r="K273" s="1544"/>
      <c r="L273" s="1528"/>
      <c r="M273" s="1528"/>
      <c r="N273" s="1544"/>
      <c r="O273" s="1544"/>
      <c r="P273" s="1555"/>
      <c r="Q273" s="1555"/>
      <c r="R273" s="1555"/>
      <c r="S273" s="1555"/>
      <c r="T273" s="1516">
        <f t="shared" si="53"/>
        <v>12385</v>
      </c>
      <c r="U273" s="1516">
        <f t="shared" si="54"/>
        <v>11885</v>
      </c>
      <c r="V273" s="1528">
        <v>1158</v>
      </c>
      <c r="W273" s="1528">
        <v>1158</v>
      </c>
      <c r="X273" s="1555"/>
      <c r="Y273" s="1555">
        <v>1158</v>
      </c>
      <c r="Z273" s="1516">
        <f t="shared" si="51"/>
        <v>0</v>
      </c>
      <c r="AA273" s="1516">
        <f t="shared" si="51"/>
        <v>0</v>
      </c>
      <c r="AB273" s="1516">
        <f>W273-AA273</f>
        <v>1158</v>
      </c>
      <c r="AC273" s="1555">
        <v>1158</v>
      </c>
      <c r="AD273" s="1555">
        <v>1158</v>
      </c>
      <c r="AE273" s="1555"/>
      <c r="AF273" s="1516">
        <f t="shared" ref="AF273" si="56">Y273-K273-O273-S273</f>
        <v>1158</v>
      </c>
      <c r="AG273" s="1516">
        <f>(AC273+T273)/D273*100</f>
        <v>96.687370600414084</v>
      </c>
      <c r="AH273" s="1527" t="s">
        <v>427</v>
      </c>
      <c r="AI273" s="1509"/>
    </row>
    <row r="274" spans="1:36" ht="33.75" x14ac:dyDescent="0.25">
      <c r="A274" s="1527">
        <v>167</v>
      </c>
      <c r="B274" s="1544" t="s">
        <v>1770</v>
      </c>
      <c r="C274" s="1509" t="s">
        <v>1875</v>
      </c>
      <c r="D274" s="1528">
        <v>14911</v>
      </c>
      <c r="E274" s="1528">
        <f>D274-11405</f>
        <v>3506</v>
      </c>
      <c r="F274" s="1529">
        <v>11405</v>
      </c>
      <c r="G274" s="1529"/>
      <c r="H274" s="1528"/>
      <c r="I274" s="1528"/>
      <c r="J274" s="1544"/>
      <c r="K274" s="1544"/>
      <c r="L274" s="1528"/>
      <c r="M274" s="1528"/>
      <c r="N274" s="1544"/>
      <c r="O274" s="1544"/>
      <c r="P274" s="1555"/>
      <c r="Q274" s="1555"/>
      <c r="R274" s="1555"/>
      <c r="S274" s="1555">
        <v>0</v>
      </c>
      <c r="T274" s="1516">
        <f t="shared" si="53"/>
        <v>11405</v>
      </c>
      <c r="U274" s="1516">
        <f t="shared" si="54"/>
        <v>0</v>
      </c>
      <c r="V274" s="1528">
        <v>2014.8999999999996</v>
      </c>
      <c r="W274" s="1528">
        <v>2014.8999999999996</v>
      </c>
      <c r="X274" s="1555"/>
      <c r="Y274" s="1555"/>
      <c r="Z274" s="1516">
        <f t="shared" si="51"/>
        <v>0</v>
      </c>
      <c r="AA274" s="1516">
        <f t="shared" si="51"/>
        <v>0</v>
      </c>
      <c r="AB274" s="1516">
        <f>W274-AA274</f>
        <v>2014.8999999999996</v>
      </c>
      <c r="AC274" s="1555">
        <v>656</v>
      </c>
      <c r="AD274" s="1555">
        <v>656</v>
      </c>
      <c r="AE274" s="1555"/>
      <c r="AF274" s="1555"/>
      <c r="AG274" s="1516">
        <f>(AC274+T274)/D274*100</f>
        <v>80.886593789819599</v>
      </c>
      <c r="AH274" s="1527" t="s">
        <v>418</v>
      </c>
      <c r="AI274" s="1509"/>
    </row>
    <row r="275" spans="1:36" ht="33.75" x14ac:dyDescent="0.25">
      <c r="A275" s="1527">
        <v>168</v>
      </c>
      <c r="B275" s="1544" t="s">
        <v>1862</v>
      </c>
      <c r="C275" s="1527" t="s">
        <v>1863</v>
      </c>
      <c r="D275" s="1528">
        <v>6288.1579999999994</v>
      </c>
      <c r="E275" s="1528">
        <v>1257</v>
      </c>
      <c r="F275" s="1529">
        <v>5031</v>
      </c>
      <c r="G275" s="1529"/>
      <c r="H275" s="1528"/>
      <c r="I275" s="1528"/>
      <c r="J275" s="1544"/>
      <c r="K275" s="1544"/>
      <c r="L275" s="1528"/>
      <c r="M275" s="1528"/>
      <c r="N275" s="1544"/>
      <c r="O275" s="1544"/>
      <c r="P275" s="1555"/>
      <c r="Q275" s="1555"/>
      <c r="R275" s="1555"/>
      <c r="S275" s="1555">
        <v>0</v>
      </c>
      <c r="T275" s="1516">
        <f t="shared" si="53"/>
        <v>5031</v>
      </c>
      <c r="U275" s="1516">
        <f t="shared" si="54"/>
        <v>0</v>
      </c>
      <c r="V275" s="1528">
        <v>128</v>
      </c>
      <c r="W275" s="1528">
        <v>128</v>
      </c>
      <c r="X275" s="1555"/>
      <c r="Y275" s="1555"/>
      <c r="Z275" s="1516">
        <f t="shared" si="51"/>
        <v>0</v>
      </c>
      <c r="AA275" s="1516">
        <f t="shared" si="51"/>
        <v>0</v>
      </c>
      <c r="AB275" s="1516">
        <f>W275-AA275</f>
        <v>128</v>
      </c>
      <c r="AC275" s="1555">
        <v>128</v>
      </c>
      <c r="AD275" s="1555">
        <v>128</v>
      </c>
      <c r="AE275" s="1555"/>
      <c r="AF275" s="1555"/>
      <c r="AG275" s="1516">
        <f>(AC275+T275)/D275*100</f>
        <v>82.04310387875114</v>
      </c>
      <c r="AH275" s="1527" t="s">
        <v>418</v>
      </c>
      <c r="AI275" s="1509"/>
    </row>
    <row r="276" spans="1:36" ht="38.25" customHeight="1" x14ac:dyDescent="0.25">
      <c r="A276" s="1527">
        <v>169</v>
      </c>
      <c r="B276" s="1554" t="s">
        <v>999</v>
      </c>
      <c r="C276" s="1509" t="s">
        <v>1000</v>
      </c>
      <c r="D276" s="1528">
        <v>9504</v>
      </c>
      <c r="E276" s="1528">
        <v>8433</v>
      </c>
      <c r="F276" s="1528"/>
      <c r="G276" s="1528"/>
      <c r="H276" s="1528"/>
      <c r="I276" s="1528"/>
      <c r="J276" s="1544"/>
      <c r="K276" s="1544"/>
      <c r="L276" s="1528">
        <v>2500</v>
      </c>
      <c r="M276" s="1528">
        <v>1000</v>
      </c>
      <c r="N276" s="1544"/>
      <c r="O276" s="1544"/>
      <c r="P276" s="1555">
        <v>3000</v>
      </c>
      <c r="Q276" s="1555">
        <v>3000</v>
      </c>
      <c r="R276" s="1555"/>
      <c r="S276" s="1555">
        <v>0</v>
      </c>
      <c r="T276" s="1516">
        <f t="shared" si="53"/>
        <v>5500</v>
      </c>
      <c r="U276" s="1516">
        <f t="shared" si="54"/>
        <v>4000</v>
      </c>
      <c r="V276" s="1528">
        <v>8553.6</v>
      </c>
      <c r="W276" s="1528">
        <v>7589.7</v>
      </c>
      <c r="X276" s="1555"/>
      <c r="Y276" s="1555"/>
      <c r="Z276" s="1516">
        <f t="shared" si="51"/>
        <v>5500</v>
      </c>
      <c r="AA276" s="1516">
        <f t="shared" si="51"/>
        <v>4000</v>
      </c>
      <c r="AB276" s="1516">
        <f t="shared" si="55"/>
        <v>3589.7</v>
      </c>
      <c r="AC276" s="1555">
        <v>3093</v>
      </c>
      <c r="AD276" s="1555">
        <v>3093</v>
      </c>
      <c r="AE276" s="1555"/>
      <c r="AF276" s="1555"/>
      <c r="AG276" s="1516">
        <v>100</v>
      </c>
      <c r="AH276" s="1527" t="s">
        <v>418</v>
      </c>
      <c r="AI276" s="1509"/>
    </row>
    <row r="277" spans="1:36" ht="17.25" customHeight="1" x14ac:dyDescent="0.25">
      <c r="A277" s="1535" t="s">
        <v>2289</v>
      </c>
      <c r="B277" s="1532" t="s">
        <v>1210</v>
      </c>
      <c r="C277" s="1612"/>
      <c r="D277" s="1534">
        <f t="shared" ref="D277:AA277" si="57">SUM(D278:D304)</f>
        <v>1402174.9</v>
      </c>
      <c r="E277" s="1534">
        <f t="shared" si="57"/>
        <v>376680</v>
      </c>
      <c r="F277" s="1534">
        <f t="shared" si="57"/>
        <v>894513</v>
      </c>
      <c r="G277" s="1534">
        <f t="shared" si="57"/>
        <v>18673</v>
      </c>
      <c r="H277" s="1534">
        <f t="shared" si="57"/>
        <v>205234.48</v>
      </c>
      <c r="I277" s="1534">
        <f t="shared" si="57"/>
        <v>49543.479999999996</v>
      </c>
      <c r="J277" s="1534">
        <f t="shared" si="57"/>
        <v>12000</v>
      </c>
      <c r="K277" s="1534">
        <f t="shared" si="57"/>
        <v>0</v>
      </c>
      <c r="L277" s="1534">
        <f t="shared" si="57"/>
        <v>13639</v>
      </c>
      <c r="M277" s="1534">
        <f t="shared" si="57"/>
        <v>9016</v>
      </c>
      <c r="N277" s="1534">
        <f t="shared" si="57"/>
        <v>0</v>
      </c>
      <c r="O277" s="1534">
        <f t="shared" si="57"/>
        <v>0</v>
      </c>
      <c r="P277" s="1534">
        <f t="shared" si="57"/>
        <v>40607</v>
      </c>
      <c r="Q277" s="1534">
        <f t="shared" si="57"/>
        <v>40607</v>
      </c>
      <c r="R277" s="1534">
        <f t="shared" si="57"/>
        <v>1999.7000000000003</v>
      </c>
      <c r="S277" s="1534">
        <f t="shared" si="57"/>
        <v>1633</v>
      </c>
      <c r="T277" s="1534">
        <f t="shared" si="57"/>
        <v>1153993.48</v>
      </c>
      <c r="U277" s="1534">
        <f t="shared" si="57"/>
        <v>119839.18</v>
      </c>
      <c r="V277" s="1534">
        <f t="shared" si="57"/>
        <v>279973.99</v>
      </c>
      <c r="W277" s="1534">
        <f t="shared" si="57"/>
        <v>131659.99000000002</v>
      </c>
      <c r="X277" s="1534">
        <f t="shared" si="57"/>
        <v>0</v>
      </c>
      <c r="Y277" s="1534">
        <f t="shared" si="57"/>
        <v>3744</v>
      </c>
      <c r="Z277" s="1534">
        <f t="shared" si="57"/>
        <v>259480.48</v>
      </c>
      <c r="AA277" s="1534">
        <f t="shared" si="57"/>
        <v>99166.48</v>
      </c>
      <c r="AB277" s="1534">
        <f t="shared" ref="AB277:AC277" si="58">SUM(AB278:AB304)</f>
        <v>32493.510000000009</v>
      </c>
      <c r="AC277" s="1534">
        <f t="shared" si="58"/>
        <v>32338.510000000002</v>
      </c>
      <c r="AD277" s="1534">
        <f>SUM(AD278:AD304)</f>
        <v>32338.510000000002</v>
      </c>
      <c r="AE277" s="1534">
        <f>SUM(AE278:AE304)</f>
        <v>0</v>
      </c>
      <c r="AF277" s="1534">
        <f>SUM(AF278:AF304)</f>
        <v>1834</v>
      </c>
      <c r="AG277" s="1516"/>
      <c r="AH277" s="1612"/>
      <c r="AI277" s="1509"/>
      <c r="AJ277" s="1564">
        <v>1</v>
      </c>
    </row>
    <row r="278" spans="1:36" ht="56.25" x14ac:dyDescent="0.25">
      <c r="A278" s="1527">
        <v>1</v>
      </c>
      <c r="B278" s="1548" t="s">
        <v>2290</v>
      </c>
      <c r="C278" s="1527" t="s">
        <v>2291</v>
      </c>
      <c r="D278" s="1529">
        <f>229970-83573</f>
        <v>146397</v>
      </c>
      <c r="E278" s="1529">
        <f>229970-83573</f>
        <v>146397</v>
      </c>
      <c r="F278" s="1529"/>
      <c r="G278" s="1529"/>
      <c r="H278" s="1528"/>
      <c r="I278" s="1528"/>
      <c r="J278" s="1544"/>
      <c r="K278" s="1544"/>
      <c r="L278" s="1528"/>
      <c r="M278" s="1528"/>
      <c r="N278" s="1544"/>
      <c r="O278" s="1544"/>
      <c r="P278" s="1555">
        <v>1367</v>
      </c>
      <c r="Q278" s="1555">
        <v>1367</v>
      </c>
      <c r="R278" s="1555"/>
      <c r="S278" s="1555">
        <v>0</v>
      </c>
      <c r="T278" s="1516">
        <f t="shared" si="53"/>
        <v>1367</v>
      </c>
      <c r="U278" s="1516">
        <f t="shared" si="54"/>
        <v>1367</v>
      </c>
      <c r="V278" s="1528">
        <v>1367</v>
      </c>
      <c r="W278" s="1528">
        <v>1367</v>
      </c>
      <c r="X278" s="1555"/>
      <c r="Y278" s="1555"/>
      <c r="Z278" s="1516">
        <f t="shared" si="51"/>
        <v>1367</v>
      </c>
      <c r="AA278" s="1516">
        <f t="shared" si="51"/>
        <v>1367</v>
      </c>
      <c r="AB278" s="1516">
        <f t="shared" si="55"/>
        <v>0</v>
      </c>
      <c r="AC278" s="1555"/>
      <c r="AD278" s="1555"/>
      <c r="AE278" s="1555"/>
      <c r="AF278" s="1555"/>
      <c r="AG278" s="1516"/>
      <c r="AH278" s="1509" t="s">
        <v>983</v>
      </c>
      <c r="AI278" s="1509" t="s">
        <v>2292</v>
      </c>
    </row>
    <row r="279" spans="1:36" ht="33.75" x14ac:dyDescent="0.25">
      <c r="A279" s="1527">
        <v>2</v>
      </c>
      <c r="B279" s="1613" t="s">
        <v>2293</v>
      </c>
      <c r="C279" s="1509" t="s">
        <v>2294</v>
      </c>
      <c r="D279" s="1528">
        <v>13300</v>
      </c>
      <c r="E279" s="1528">
        <v>13300</v>
      </c>
      <c r="F279" s="1529">
        <v>0</v>
      </c>
      <c r="G279" s="1529">
        <v>0</v>
      </c>
      <c r="H279" s="1528">
        <v>11000</v>
      </c>
      <c r="I279" s="1528">
        <v>11000</v>
      </c>
      <c r="J279" s="1544">
        <v>10000</v>
      </c>
      <c r="K279" s="1544"/>
      <c r="L279" s="1528"/>
      <c r="M279" s="1528"/>
      <c r="N279" s="1544"/>
      <c r="O279" s="1544"/>
      <c r="P279" s="1555">
        <v>1710</v>
      </c>
      <c r="Q279" s="1555">
        <v>1710</v>
      </c>
      <c r="R279" s="1555"/>
      <c r="S279" s="1555">
        <v>0</v>
      </c>
      <c r="T279" s="1516">
        <f>F279+H279+L279+P279</f>
        <v>12710</v>
      </c>
      <c r="U279" s="1516">
        <f>G279+I279+M279+Q279+R279</f>
        <v>12710</v>
      </c>
      <c r="V279" s="1528">
        <v>13000</v>
      </c>
      <c r="W279" s="1528">
        <v>13000</v>
      </c>
      <c r="X279" s="1555"/>
      <c r="Y279" s="1555"/>
      <c r="Z279" s="1516">
        <f>H279+L279+P279</f>
        <v>12710</v>
      </c>
      <c r="AA279" s="1516">
        <f>I279+M279+Q279</f>
        <v>12710</v>
      </c>
      <c r="AB279" s="1516">
        <f>W279-AA279</f>
        <v>290</v>
      </c>
      <c r="AC279" s="1555"/>
      <c r="AD279" s="1555"/>
      <c r="AE279" s="1555"/>
      <c r="AF279" s="1555"/>
      <c r="AG279" s="1516"/>
      <c r="AH279" s="1509" t="s">
        <v>2295</v>
      </c>
      <c r="AI279" s="1509" t="s">
        <v>1961</v>
      </c>
    </row>
    <row r="280" spans="1:36" ht="22.5" x14ac:dyDescent="0.25">
      <c r="A280" s="1527">
        <v>3</v>
      </c>
      <c r="B280" s="1526" t="s">
        <v>1735</v>
      </c>
      <c r="C280" s="1509" t="s">
        <v>1857</v>
      </c>
      <c r="D280" s="1528">
        <v>3837</v>
      </c>
      <c r="E280" s="1528">
        <v>3837</v>
      </c>
      <c r="F280" s="1529">
        <v>1600</v>
      </c>
      <c r="G280" s="1529">
        <v>1600</v>
      </c>
      <c r="H280" s="1528"/>
      <c r="I280" s="1528"/>
      <c r="J280" s="1544"/>
      <c r="K280" s="1544"/>
      <c r="L280" s="1528"/>
      <c r="M280" s="1528"/>
      <c r="N280" s="1544"/>
      <c r="O280" s="1544"/>
      <c r="P280" s="1555">
        <v>15</v>
      </c>
      <c r="Q280" s="1555">
        <v>15</v>
      </c>
      <c r="R280" s="1555"/>
      <c r="S280" s="1555">
        <v>0</v>
      </c>
      <c r="T280" s="1516">
        <f t="shared" si="53"/>
        <v>1615</v>
      </c>
      <c r="U280" s="1516">
        <f t="shared" si="54"/>
        <v>1615</v>
      </c>
      <c r="V280" s="1528">
        <v>25</v>
      </c>
      <c r="W280" s="1528">
        <v>25</v>
      </c>
      <c r="X280" s="1555"/>
      <c r="Y280" s="1555"/>
      <c r="Z280" s="1516">
        <f t="shared" si="51"/>
        <v>15</v>
      </c>
      <c r="AA280" s="1516">
        <f t="shared" si="51"/>
        <v>15</v>
      </c>
      <c r="AB280" s="1516">
        <f t="shared" si="55"/>
        <v>10</v>
      </c>
      <c r="AC280" s="1555"/>
      <c r="AD280" s="1555"/>
      <c r="AE280" s="1555"/>
      <c r="AF280" s="1555"/>
      <c r="AG280" s="1516"/>
      <c r="AH280" s="1509" t="s">
        <v>1858</v>
      </c>
      <c r="AI280" s="1509" t="s">
        <v>1961</v>
      </c>
    </row>
    <row r="281" spans="1:36" ht="33.75" x14ac:dyDescent="0.25">
      <c r="A281" s="1527">
        <v>4</v>
      </c>
      <c r="B281" s="1526" t="s">
        <v>1763</v>
      </c>
      <c r="C281" s="1527" t="s">
        <v>1859</v>
      </c>
      <c r="D281" s="1528">
        <v>6950</v>
      </c>
      <c r="E281" s="1528">
        <v>6950</v>
      </c>
      <c r="F281" s="1529">
        <v>4812</v>
      </c>
      <c r="G281" s="1529">
        <v>4812</v>
      </c>
      <c r="H281" s="1528"/>
      <c r="I281" s="1528"/>
      <c r="J281" s="1544"/>
      <c r="K281" s="1544"/>
      <c r="L281" s="1528"/>
      <c r="M281" s="1528"/>
      <c r="N281" s="1544"/>
      <c r="O281" s="1544"/>
      <c r="P281" s="1555"/>
      <c r="Q281" s="1555"/>
      <c r="R281" s="1555"/>
      <c r="S281" s="1555">
        <v>0</v>
      </c>
      <c r="T281" s="1516">
        <f t="shared" si="53"/>
        <v>4812</v>
      </c>
      <c r="U281" s="1516">
        <f t="shared" si="54"/>
        <v>4812</v>
      </c>
      <c r="V281" s="1528">
        <v>2138</v>
      </c>
      <c r="W281" s="1528">
        <v>2138</v>
      </c>
      <c r="X281" s="1555"/>
      <c r="Y281" s="1555"/>
      <c r="Z281" s="1516">
        <f t="shared" ref="Z281:AA328" si="59">H281+L281+P281</f>
        <v>0</v>
      </c>
      <c r="AA281" s="1516">
        <f t="shared" si="59"/>
        <v>0</v>
      </c>
      <c r="AB281" s="1516">
        <f t="shared" si="55"/>
        <v>2138</v>
      </c>
      <c r="AC281" s="1555">
        <v>2138</v>
      </c>
      <c r="AD281" s="1555">
        <v>2138</v>
      </c>
      <c r="AE281" s="1555"/>
      <c r="AF281" s="1555"/>
      <c r="AG281" s="1516">
        <f t="shared" ref="AG281:AG300" si="60">(AC281+T281)/D281*100</f>
        <v>100</v>
      </c>
      <c r="AH281" s="1527" t="s">
        <v>418</v>
      </c>
      <c r="AI281" s="1509"/>
    </row>
    <row r="282" spans="1:36" ht="22.5" x14ac:dyDescent="0.25">
      <c r="A282" s="1527">
        <v>5</v>
      </c>
      <c r="B282" s="1544" t="s">
        <v>1759</v>
      </c>
      <c r="C282" s="1509" t="s">
        <v>1860</v>
      </c>
      <c r="D282" s="1528">
        <v>2355</v>
      </c>
      <c r="E282" s="1528">
        <v>2355</v>
      </c>
      <c r="F282" s="1529">
        <v>1700</v>
      </c>
      <c r="G282" s="1529">
        <v>1700</v>
      </c>
      <c r="H282" s="1528"/>
      <c r="I282" s="1528"/>
      <c r="J282" s="1544"/>
      <c r="K282" s="1544"/>
      <c r="L282" s="1528"/>
      <c r="M282" s="1528"/>
      <c r="N282" s="1544"/>
      <c r="O282" s="1544"/>
      <c r="P282" s="1555"/>
      <c r="Q282" s="1555"/>
      <c r="R282" s="1555"/>
      <c r="S282" s="1555">
        <v>0</v>
      </c>
      <c r="T282" s="1516">
        <f t="shared" si="53"/>
        <v>1700</v>
      </c>
      <c r="U282" s="1516">
        <f t="shared" si="54"/>
        <v>1700</v>
      </c>
      <c r="V282" s="1528">
        <v>655</v>
      </c>
      <c r="W282" s="1528">
        <v>655</v>
      </c>
      <c r="X282" s="1555"/>
      <c r="Y282" s="1555"/>
      <c r="Z282" s="1516">
        <f t="shared" si="59"/>
        <v>0</v>
      </c>
      <c r="AA282" s="1516">
        <f t="shared" si="59"/>
        <v>0</v>
      </c>
      <c r="AB282" s="1516">
        <f t="shared" si="55"/>
        <v>655</v>
      </c>
      <c r="AC282" s="1555">
        <v>655</v>
      </c>
      <c r="AD282" s="1555">
        <v>655</v>
      </c>
      <c r="AE282" s="1555"/>
      <c r="AF282" s="1555"/>
      <c r="AG282" s="1516">
        <f t="shared" si="60"/>
        <v>100</v>
      </c>
      <c r="AH282" s="1509" t="s">
        <v>1861</v>
      </c>
      <c r="AI282" s="1509"/>
    </row>
    <row r="283" spans="1:36" ht="33.75" x14ac:dyDescent="0.25">
      <c r="A283" s="1527">
        <v>6</v>
      </c>
      <c r="B283" s="1526" t="s">
        <v>1674</v>
      </c>
      <c r="C283" s="1527" t="s">
        <v>1859</v>
      </c>
      <c r="D283" s="1529">
        <v>6950</v>
      </c>
      <c r="E283" s="1529">
        <f>D283-4812</f>
        <v>2138</v>
      </c>
      <c r="F283" s="1529">
        <v>4812</v>
      </c>
      <c r="G283" s="1529"/>
      <c r="H283" s="1528"/>
      <c r="I283" s="1528"/>
      <c r="J283" s="1544"/>
      <c r="K283" s="1544"/>
      <c r="L283" s="1528"/>
      <c r="M283" s="1528"/>
      <c r="N283" s="1544"/>
      <c r="O283" s="1544"/>
      <c r="P283" s="1555"/>
      <c r="Q283" s="1555"/>
      <c r="R283" s="1555"/>
      <c r="S283" s="1555">
        <v>0</v>
      </c>
      <c r="T283" s="1516">
        <f t="shared" si="53"/>
        <v>4812</v>
      </c>
      <c r="U283" s="1516">
        <f t="shared" si="54"/>
        <v>0</v>
      </c>
      <c r="V283" s="1528">
        <v>2138</v>
      </c>
      <c r="W283" s="1528">
        <v>2138</v>
      </c>
      <c r="X283" s="1555"/>
      <c r="Y283" s="1555"/>
      <c r="Z283" s="1516">
        <f t="shared" si="59"/>
        <v>0</v>
      </c>
      <c r="AA283" s="1516">
        <f t="shared" si="59"/>
        <v>0</v>
      </c>
      <c r="AB283" s="1516">
        <f t="shared" si="55"/>
        <v>2138</v>
      </c>
      <c r="AC283" s="1555">
        <v>2138</v>
      </c>
      <c r="AD283" s="1555">
        <v>2138</v>
      </c>
      <c r="AE283" s="1555"/>
      <c r="AF283" s="1555"/>
      <c r="AG283" s="1516">
        <f t="shared" si="60"/>
        <v>100</v>
      </c>
      <c r="AH283" s="1527" t="s">
        <v>418</v>
      </c>
      <c r="AI283" s="1509"/>
    </row>
    <row r="284" spans="1:36" ht="33.75" x14ac:dyDescent="0.25">
      <c r="A284" s="1527">
        <v>7</v>
      </c>
      <c r="B284" s="1548" t="s">
        <v>1676</v>
      </c>
      <c r="C284" s="1527" t="s">
        <v>1864</v>
      </c>
      <c r="D284" s="1536">
        <v>5470</v>
      </c>
      <c r="E284" s="1536">
        <v>60</v>
      </c>
      <c r="F284" s="1528">
        <v>5410</v>
      </c>
      <c r="G284" s="1528"/>
      <c r="H284" s="1528"/>
      <c r="I284" s="1528"/>
      <c r="J284" s="1544"/>
      <c r="K284" s="1544"/>
      <c r="L284" s="1528"/>
      <c r="M284" s="1528"/>
      <c r="N284" s="1544"/>
      <c r="O284" s="1544"/>
      <c r="P284" s="1555"/>
      <c r="Q284" s="1555"/>
      <c r="R284" s="1555"/>
      <c r="S284" s="1555"/>
      <c r="T284" s="1516">
        <f t="shared" si="53"/>
        <v>5410</v>
      </c>
      <c r="U284" s="1516">
        <f t="shared" si="54"/>
        <v>0</v>
      </c>
      <c r="V284" s="1528">
        <v>60</v>
      </c>
      <c r="W284" s="1528">
        <v>60</v>
      </c>
      <c r="X284" s="1555"/>
      <c r="Y284" s="1555"/>
      <c r="Z284" s="1516">
        <f t="shared" si="59"/>
        <v>0</v>
      </c>
      <c r="AA284" s="1516">
        <f t="shared" si="59"/>
        <v>0</v>
      </c>
      <c r="AB284" s="1516">
        <f t="shared" si="55"/>
        <v>60</v>
      </c>
      <c r="AC284" s="1555">
        <v>60</v>
      </c>
      <c r="AD284" s="1555">
        <v>60</v>
      </c>
      <c r="AE284" s="1555"/>
      <c r="AF284" s="1555"/>
      <c r="AG284" s="1516">
        <f t="shared" si="60"/>
        <v>100</v>
      </c>
      <c r="AH284" s="1527" t="s">
        <v>418</v>
      </c>
      <c r="AI284" s="1509"/>
    </row>
    <row r="285" spans="1:36" ht="22.5" x14ac:dyDescent="0.25">
      <c r="A285" s="1527">
        <v>8</v>
      </c>
      <c r="B285" s="1526" t="s">
        <v>1717</v>
      </c>
      <c r="C285" s="1527" t="s">
        <v>1865</v>
      </c>
      <c r="D285" s="1528">
        <v>6757</v>
      </c>
      <c r="E285" s="1528">
        <v>6757</v>
      </c>
      <c r="F285" s="1529">
        <v>5461</v>
      </c>
      <c r="G285" s="1529">
        <v>5461</v>
      </c>
      <c r="H285" s="1528"/>
      <c r="I285" s="1528"/>
      <c r="J285" s="1544"/>
      <c r="K285" s="1544"/>
      <c r="L285" s="1528"/>
      <c r="M285" s="1528"/>
      <c r="N285" s="1544"/>
      <c r="O285" s="1544"/>
      <c r="P285" s="1555"/>
      <c r="Q285" s="1555"/>
      <c r="R285" s="1555"/>
      <c r="S285" s="1555"/>
      <c r="T285" s="1516">
        <f t="shared" si="53"/>
        <v>5461</v>
      </c>
      <c r="U285" s="1516">
        <f t="shared" si="54"/>
        <v>5461</v>
      </c>
      <c r="V285" s="1528">
        <v>1296</v>
      </c>
      <c r="W285" s="1528">
        <v>1296</v>
      </c>
      <c r="X285" s="1555"/>
      <c r="Y285" s="1555">
        <v>896</v>
      </c>
      <c r="Z285" s="1516">
        <f t="shared" si="59"/>
        <v>0</v>
      </c>
      <c r="AA285" s="1516">
        <f t="shared" si="59"/>
        <v>0</v>
      </c>
      <c r="AB285" s="1516">
        <f t="shared" si="55"/>
        <v>1296</v>
      </c>
      <c r="AC285" s="1555">
        <v>1296</v>
      </c>
      <c r="AD285" s="1555">
        <v>1296</v>
      </c>
      <c r="AE285" s="1555"/>
      <c r="AF285" s="1516">
        <f t="shared" ref="AF285:AF286" si="61">Y285-K285-O285-S285</f>
        <v>896</v>
      </c>
      <c r="AG285" s="1516">
        <f t="shared" si="60"/>
        <v>100</v>
      </c>
      <c r="AH285" s="1527" t="s">
        <v>425</v>
      </c>
      <c r="AI285" s="1509"/>
    </row>
    <row r="286" spans="1:36" ht="33.75" x14ac:dyDescent="0.25">
      <c r="A286" s="1527">
        <v>9</v>
      </c>
      <c r="B286" s="1587" t="s">
        <v>1702</v>
      </c>
      <c r="C286" s="1588" t="s">
        <v>1866</v>
      </c>
      <c r="D286" s="1590">
        <v>850</v>
      </c>
      <c r="E286" s="1590">
        <v>765</v>
      </c>
      <c r="F286" s="1529">
        <v>609</v>
      </c>
      <c r="G286" s="1529"/>
      <c r="H286" s="1528"/>
      <c r="I286" s="1528"/>
      <c r="J286" s="1544"/>
      <c r="K286" s="1544"/>
      <c r="L286" s="1528"/>
      <c r="M286" s="1528"/>
      <c r="N286" s="1544"/>
      <c r="O286" s="1544"/>
      <c r="P286" s="1555"/>
      <c r="Q286" s="1555"/>
      <c r="R286" s="1555"/>
      <c r="S286" s="1555"/>
      <c r="T286" s="1516">
        <f t="shared" si="53"/>
        <v>609</v>
      </c>
      <c r="U286" s="1516">
        <f t="shared" si="54"/>
        <v>0</v>
      </c>
      <c r="V286" s="1528">
        <v>156</v>
      </c>
      <c r="W286" s="1528">
        <v>156</v>
      </c>
      <c r="X286" s="1555"/>
      <c r="Y286" s="1555">
        <v>56</v>
      </c>
      <c r="Z286" s="1516">
        <f t="shared" si="59"/>
        <v>0</v>
      </c>
      <c r="AA286" s="1516">
        <f t="shared" si="59"/>
        <v>0</v>
      </c>
      <c r="AB286" s="1516">
        <f t="shared" si="55"/>
        <v>156</v>
      </c>
      <c r="AC286" s="1555">
        <v>156</v>
      </c>
      <c r="AD286" s="1555">
        <v>156</v>
      </c>
      <c r="AE286" s="1555"/>
      <c r="AF286" s="1516">
        <f t="shared" si="61"/>
        <v>56</v>
      </c>
      <c r="AG286" s="1516">
        <f t="shared" si="60"/>
        <v>90</v>
      </c>
      <c r="AH286" s="1509" t="s">
        <v>997</v>
      </c>
      <c r="AI286" s="1509" t="s">
        <v>1211</v>
      </c>
    </row>
    <row r="287" spans="1:36" ht="22.5" x14ac:dyDescent="0.25">
      <c r="A287" s="1527">
        <v>10</v>
      </c>
      <c r="B287" s="1586" t="s">
        <v>1710</v>
      </c>
      <c r="C287" s="1527" t="s">
        <v>1867</v>
      </c>
      <c r="D287" s="1529">
        <v>26940</v>
      </c>
      <c r="E287" s="1529">
        <v>4631</v>
      </c>
      <c r="F287" s="1529">
        <v>20444</v>
      </c>
      <c r="G287" s="1529"/>
      <c r="H287" s="1528"/>
      <c r="I287" s="1528"/>
      <c r="J287" s="1544"/>
      <c r="K287" s="1544"/>
      <c r="L287" s="1528"/>
      <c r="M287" s="1528"/>
      <c r="N287" s="1544"/>
      <c r="O287" s="1544"/>
      <c r="P287" s="1555"/>
      <c r="Q287" s="1555"/>
      <c r="R287" s="1555"/>
      <c r="S287" s="1555">
        <v>0</v>
      </c>
      <c r="T287" s="1516">
        <f t="shared" ref="T287:U318" si="62">F287+H287+L287+P287</f>
        <v>20444</v>
      </c>
      <c r="U287" s="1516">
        <f t="shared" ref="U287:U318" si="63">G287+I287+M287+Q287+R287</f>
        <v>0</v>
      </c>
      <c r="V287" s="1528">
        <v>4631</v>
      </c>
      <c r="W287" s="1528">
        <v>4631</v>
      </c>
      <c r="X287" s="1555"/>
      <c r="Y287" s="1555"/>
      <c r="Z287" s="1516">
        <f t="shared" si="59"/>
        <v>0</v>
      </c>
      <c r="AA287" s="1516">
        <f t="shared" si="59"/>
        <v>0</v>
      </c>
      <c r="AB287" s="1516">
        <f t="shared" ref="AB287:AB328" si="64">W287-AA287</f>
        <v>4631</v>
      </c>
      <c r="AC287" s="1555">
        <v>4631</v>
      </c>
      <c r="AD287" s="1555">
        <v>4631</v>
      </c>
      <c r="AE287" s="1555"/>
      <c r="AF287" s="1555"/>
      <c r="AG287" s="1516">
        <f t="shared" si="60"/>
        <v>93.077208611729773</v>
      </c>
      <c r="AH287" s="1527" t="s">
        <v>954</v>
      </c>
      <c r="AI287" s="1509" t="s">
        <v>1211</v>
      </c>
    </row>
    <row r="288" spans="1:36" ht="33.75" x14ac:dyDescent="0.25">
      <c r="A288" s="1527">
        <v>11</v>
      </c>
      <c r="B288" s="1526" t="s">
        <v>1212</v>
      </c>
      <c r="C288" s="1527" t="s">
        <v>1213</v>
      </c>
      <c r="D288" s="1529">
        <v>34168</v>
      </c>
      <c r="E288" s="1529">
        <f>D288-19201</f>
        <v>14967</v>
      </c>
      <c r="F288" s="1529">
        <v>19201</v>
      </c>
      <c r="G288" s="1529"/>
      <c r="H288" s="1528">
        <f>2569+5000</f>
        <v>7569</v>
      </c>
      <c r="I288" s="1528">
        <v>2569</v>
      </c>
      <c r="J288" s="1544">
        <v>2000</v>
      </c>
      <c r="K288" s="1544"/>
      <c r="L288" s="1528">
        <f>M288</f>
        <v>3000</v>
      </c>
      <c r="M288" s="1528">
        <v>3000</v>
      </c>
      <c r="N288" s="1544"/>
      <c r="O288" s="1544"/>
      <c r="P288" s="1555">
        <v>2000</v>
      </c>
      <c r="Q288" s="1555">
        <v>2000</v>
      </c>
      <c r="R288" s="1555"/>
      <c r="S288" s="1555">
        <v>0</v>
      </c>
      <c r="T288" s="1516">
        <f t="shared" si="62"/>
        <v>31770</v>
      </c>
      <c r="U288" s="1516">
        <f t="shared" si="63"/>
        <v>7569</v>
      </c>
      <c r="V288" s="1528">
        <v>9967</v>
      </c>
      <c r="W288" s="1528">
        <v>9967</v>
      </c>
      <c r="X288" s="1555"/>
      <c r="Y288" s="1555"/>
      <c r="Z288" s="1516">
        <f t="shared" si="59"/>
        <v>12569</v>
      </c>
      <c r="AA288" s="1516">
        <f t="shared" si="59"/>
        <v>7569</v>
      </c>
      <c r="AB288" s="1516">
        <f t="shared" si="64"/>
        <v>2398</v>
      </c>
      <c r="AC288" s="1555">
        <v>2398</v>
      </c>
      <c r="AD288" s="1555">
        <v>2398</v>
      </c>
      <c r="AE288" s="1555"/>
      <c r="AF288" s="1555"/>
      <c r="AG288" s="1516">
        <f t="shared" si="60"/>
        <v>100</v>
      </c>
      <c r="AH288" s="1527" t="s">
        <v>418</v>
      </c>
      <c r="AI288" s="1509"/>
    </row>
    <row r="289" spans="1:35" ht="22.5" x14ac:dyDescent="0.25">
      <c r="A289" s="1527">
        <v>12</v>
      </c>
      <c r="B289" s="1526" t="s">
        <v>1754</v>
      </c>
      <c r="C289" s="1509" t="s">
        <v>1868</v>
      </c>
      <c r="D289" s="1528">
        <v>11907</v>
      </c>
      <c r="E289" s="1528">
        <v>1774</v>
      </c>
      <c r="F289" s="1528">
        <v>4236</v>
      </c>
      <c r="G289" s="1528">
        <v>50</v>
      </c>
      <c r="H289" s="1528">
        <f>500+5897</f>
        <v>6397</v>
      </c>
      <c r="I289" s="1528">
        <v>500</v>
      </c>
      <c r="J289" s="1544"/>
      <c r="K289" s="1544"/>
      <c r="L289" s="1528"/>
      <c r="M289" s="1528"/>
      <c r="N289" s="1544"/>
      <c r="O289" s="1544"/>
      <c r="P289" s="1555"/>
      <c r="Q289" s="1555"/>
      <c r="R289" s="1555"/>
      <c r="S289" s="1555">
        <v>0</v>
      </c>
      <c r="T289" s="1516">
        <f t="shared" si="62"/>
        <v>10633</v>
      </c>
      <c r="U289" s="1516">
        <f t="shared" si="63"/>
        <v>550</v>
      </c>
      <c r="V289" s="1528">
        <v>7071</v>
      </c>
      <c r="W289" s="1528">
        <v>1174</v>
      </c>
      <c r="X289" s="1555"/>
      <c r="Y289" s="1555"/>
      <c r="Z289" s="1516">
        <f t="shared" si="59"/>
        <v>6397</v>
      </c>
      <c r="AA289" s="1516">
        <f t="shared" si="59"/>
        <v>500</v>
      </c>
      <c r="AB289" s="1516">
        <f t="shared" si="64"/>
        <v>674</v>
      </c>
      <c r="AC289" s="1555">
        <v>674</v>
      </c>
      <c r="AD289" s="1555">
        <v>674</v>
      </c>
      <c r="AE289" s="1555"/>
      <c r="AF289" s="1555"/>
      <c r="AG289" s="1516">
        <f t="shared" si="60"/>
        <v>94.960947341899725</v>
      </c>
      <c r="AH289" s="1509" t="s">
        <v>420</v>
      </c>
      <c r="AI289" s="1509" t="s">
        <v>1211</v>
      </c>
    </row>
    <row r="290" spans="1:35" ht="33.75" x14ac:dyDescent="0.25">
      <c r="A290" s="1527">
        <v>13</v>
      </c>
      <c r="B290" s="1544" t="s">
        <v>2296</v>
      </c>
      <c r="C290" s="1509" t="s">
        <v>2297</v>
      </c>
      <c r="D290" s="1549">
        <v>30659</v>
      </c>
      <c r="E290" s="1549">
        <f>D290-16960</f>
        <v>13699</v>
      </c>
      <c r="F290" s="1529">
        <v>16960</v>
      </c>
      <c r="G290" s="1529"/>
      <c r="H290" s="1528">
        <v>7000</v>
      </c>
      <c r="I290" s="1528"/>
      <c r="J290" s="1544"/>
      <c r="K290" s="1544"/>
      <c r="L290" s="1528">
        <v>2000</v>
      </c>
      <c r="M290" s="1528">
        <v>2000</v>
      </c>
      <c r="N290" s="1544"/>
      <c r="O290" s="1544"/>
      <c r="P290" s="1555">
        <v>1633</v>
      </c>
      <c r="Q290" s="1555">
        <v>1633</v>
      </c>
      <c r="R290" s="1555"/>
      <c r="S290" s="1555">
        <v>1633</v>
      </c>
      <c r="T290" s="1516">
        <f t="shared" si="62"/>
        <v>27593</v>
      </c>
      <c r="U290" s="1516">
        <f t="shared" si="63"/>
        <v>3633</v>
      </c>
      <c r="V290" s="1528">
        <v>3633.1000000000022</v>
      </c>
      <c r="W290" s="1528">
        <v>3633.1000000000022</v>
      </c>
      <c r="X290" s="1555"/>
      <c r="Y290" s="1555">
        <v>1910</v>
      </c>
      <c r="Z290" s="1516">
        <f t="shared" si="59"/>
        <v>10633</v>
      </c>
      <c r="AA290" s="1516">
        <f t="shared" si="59"/>
        <v>3633</v>
      </c>
      <c r="AB290" s="1516">
        <f t="shared" si="64"/>
        <v>0.10000000000218279</v>
      </c>
      <c r="AC290" s="1555"/>
      <c r="AD290" s="1555"/>
      <c r="AE290" s="1555"/>
      <c r="AF290" s="1516"/>
      <c r="AG290" s="1516">
        <f t="shared" si="60"/>
        <v>89.999673831501354</v>
      </c>
      <c r="AH290" s="1527" t="s">
        <v>418</v>
      </c>
      <c r="AI290" s="1509"/>
    </row>
    <row r="291" spans="1:35" ht="33.75" x14ac:dyDescent="0.25">
      <c r="A291" s="1527">
        <v>14</v>
      </c>
      <c r="B291" s="1548" t="s">
        <v>1029</v>
      </c>
      <c r="C291" s="1527" t="s">
        <v>1030</v>
      </c>
      <c r="D291" s="1529">
        <v>982870</v>
      </c>
      <c r="E291" s="1528">
        <v>98164</v>
      </c>
      <c r="F291" s="1529">
        <v>759706</v>
      </c>
      <c r="G291" s="1529"/>
      <c r="H291" s="1528">
        <v>125000</v>
      </c>
      <c r="I291" s="1528"/>
      <c r="J291" s="1544"/>
      <c r="K291" s="1544"/>
      <c r="L291" s="1528">
        <v>312</v>
      </c>
      <c r="M291" s="1528">
        <v>312</v>
      </c>
      <c r="N291" s="1544"/>
      <c r="O291" s="1544"/>
      <c r="P291" s="1555">
        <v>4000</v>
      </c>
      <c r="Q291" s="1555">
        <v>4000</v>
      </c>
      <c r="R291" s="1555">
        <v>2000</v>
      </c>
      <c r="S291" s="1555">
        <v>0</v>
      </c>
      <c r="T291" s="1516">
        <f t="shared" si="62"/>
        <v>889018</v>
      </c>
      <c r="U291" s="1516">
        <f t="shared" si="63"/>
        <v>6312</v>
      </c>
      <c r="V291" s="1528">
        <v>136936</v>
      </c>
      <c r="W291" s="1528">
        <v>11936</v>
      </c>
      <c r="X291" s="1555"/>
      <c r="Y291" s="1555"/>
      <c r="Z291" s="1516">
        <f t="shared" si="59"/>
        <v>129312</v>
      </c>
      <c r="AA291" s="1516">
        <f t="shared" si="59"/>
        <v>4312</v>
      </c>
      <c r="AB291" s="1516">
        <f t="shared" si="64"/>
        <v>7624</v>
      </c>
      <c r="AC291" s="1555">
        <v>7624</v>
      </c>
      <c r="AD291" s="1555">
        <v>7624</v>
      </c>
      <c r="AE291" s="1555"/>
      <c r="AF291" s="1555"/>
      <c r="AG291" s="1516">
        <f t="shared" si="60"/>
        <v>91.226917089747374</v>
      </c>
      <c r="AH291" s="1527" t="s">
        <v>418</v>
      </c>
      <c r="AI291" s="1509"/>
    </row>
    <row r="292" spans="1:35" ht="22.5" x14ac:dyDescent="0.25">
      <c r="A292" s="1527">
        <v>15</v>
      </c>
      <c r="B292" s="1584" t="s">
        <v>1718</v>
      </c>
      <c r="C292" s="1509" t="s">
        <v>1869</v>
      </c>
      <c r="D292" s="1549">
        <v>4313</v>
      </c>
      <c r="E292" s="1549">
        <v>4313</v>
      </c>
      <c r="F292" s="1529">
        <v>3000</v>
      </c>
      <c r="G292" s="1529">
        <v>3000</v>
      </c>
      <c r="H292" s="1549"/>
      <c r="I292" s="1549"/>
      <c r="J292" s="1544"/>
      <c r="K292" s="1544"/>
      <c r="L292" s="1549"/>
      <c r="M292" s="1549"/>
      <c r="N292" s="1544"/>
      <c r="O292" s="1544"/>
      <c r="P292" s="1555"/>
      <c r="Q292" s="1555"/>
      <c r="R292" s="1555">
        <v>-0.29999999999972715</v>
      </c>
      <c r="S292" s="1555"/>
      <c r="T292" s="1516">
        <f t="shared" si="62"/>
        <v>3000</v>
      </c>
      <c r="U292" s="1516">
        <f t="shared" si="63"/>
        <v>2999.7000000000003</v>
      </c>
      <c r="V292" s="1528">
        <v>881.70000000000027</v>
      </c>
      <c r="W292" s="1528">
        <v>881.70000000000027</v>
      </c>
      <c r="X292" s="1555"/>
      <c r="Y292" s="1555">
        <v>882</v>
      </c>
      <c r="Z292" s="1516">
        <f t="shared" si="59"/>
        <v>0</v>
      </c>
      <c r="AA292" s="1516">
        <f t="shared" si="59"/>
        <v>0</v>
      </c>
      <c r="AB292" s="1516">
        <f t="shared" si="64"/>
        <v>881.70000000000027</v>
      </c>
      <c r="AC292" s="1555">
        <v>881.70000000000027</v>
      </c>
      <c r="AD292" s="1555">
        <v>881.70000000000027</v>
      </c>
      <c r="AE292" s="1555"/>
      <c r="AF292" s="1516">
        <f>Y292-K292-O292-S292</f>
        <v>882</v>
      </c>
      <c r="AG292" s="1516">
        <f t="shared" si="60"/>
        <v>90</v>
      </c>
      <c r="AH292" s="1527" t="s">
        <v>425</v>
      </c>
      <c r="AI292" s="1509"/>
    </row>
    <row r="293" spans="1:35" ht="33.75" x14ac:dyDescent="0.25">
      <c r="A293" s="1527">
        <v>16</v>
      </c>
      <c r="B293" s="1548" t="s">
        <v>1719</v>
      </c>
      <c r="C293" s="1527" t="s">
        <v>1870</v>
      </c>
      <c r="D293" s="1529">
        <v>2887</v>
      </c>
      <c r="E293" s="1529">
        <v>2887</v>
      </c>
      <c r="F293" s="1529">
        <v>2000</v>
      </c>
      <c r="G293" s="1529">
        <v>2000</v>
      </c>
      <c r="H293" s="1528"/>
      <c r="I293" s="1528"/>
      <c r="J293" s="1544"/>
      <c r="K293" s="1544"/>
      <c r="L293" s="1528"/>
      <c r="M293" s="1528"/>
      <c r="N293" s="1544"/>
      <c r="O293" s="1544"/>
      <c r="P293" s="1555"/>
      <c r="Q293" s="1555"/>
      <c r="R293" s="1555"/>
      <c r="S293" s="1555"/>
      <c r="T293" s="1516">
        <f t="shared" si="62"/>
        <v>2000</v>
      </c>
      <c r="U293" s="1516">
        <f t="shared" si="63"/>
        <v>2000</v>
      </c>
      <c r="V293" s="1528">
        <v>598.30000000000018</v>
      </c>
      <c r="W293" s="1528">
        <v>598.30000000000018</v>
      </c>
      <c r="X293" s="1555"/>
      <c r="Y293" s="1555"/>
      <c r="Z293" s="1516">
        <f t="shared" si="59"/>
        <v>0</v>
      </c>
      <c r="AA293" s="1516">
        <f t="shared" si="59"/>
        <v>0</v>
      </c>
      <c r="AB293" s="1516">
        <f t="shared" si="64"/>
        <v>598.30000000000018</v>
      </c>
      <c r="AC293" s="1555">
        <v>598.30000000000018</v>
      </c>
      <c r="AD293" s="1555">
        <v>598.30000000000018</v>
      </c>
      <c r="AE293" s="1555"/>
      <c r="AF293" s="1555"/>
      <c r="AG293" s="1516">
        <f t="shared" si="60"/>
        <v>90</v>
      </c>
      <c r="AH293" s="1527" t="s">
        <v>425</v>
      </c>
      <c r="AI293" s="1509"/>
    </row>
    <row r="294" spans="1:35" ht="26.25" customHeight="1" x14ac:dyDescent="0.25">
      <c r="A294" s="1527">
        <v>17</v>
      </c>
      <c r="B294" s="1586" t="s">
        <v>1700</v>
      </c>
      <c r="C294" s="1509" t="s">
        <v>1871</v>
      </c>
      <c r="D294" s="1536">
        <v>13730.9</v>
      </c>
      <c r="E294" s="1536">
        <v>1399</v>
      </c>
      <c r="F294" s="1529">
        <v>12332</v>
      </c>
      <c r="G294" s="1529"/>
      <c r="H294" s="1528"/>
      <c r="I294" s="1528"/>
      <c r="J294" s="1544"/>
      <c r="K294" s="1544"/>
      <c r="L294" s="1528"/>
      <c r="M294" s="1528"/>
      <c r="N294" s="1544"/>
      <c r="O294" s="1544"/>
      <c r="P294" s="1555"/>
      <c r="Q294" s="1555"/>
      <c r="R294" s="1555"/>
      <c r="S294" s="1555"/>
      <c r="T294" s="1516">
        <f t="shared" si="62"/>
        <v>12332</v>
      </c>
      <c r="U294" s="1516">
        <f t="shared" si="63"/>
        <v>0</v>
      </c>
      <c r="V294" s="1528">
        <v>25.809999999999491</v>
      </c>
      <c r="W294" s="1528">
        <v>25.809999999999491</v>
      </c>
      <c r="X294" s="1555"/>
      <c r="Y294" s="1555"/>
      <c r="Z294" s="1516">
        <f t="shared" si="59"/>
        <v>0</v>
      </c>
      <c r="AA294" s="1516">
        <f t="shared" si="59"/>
        <v>0</v>
      </c>
      <c r="AB294" s="1516">
        <f t="shared" si="64"/>
        <v>25.809999999999491</v>
      </c>
      <c r="AC294" s="1555">
        <v>25.809999999999491</v>
      </c>
      <c r="AD294" s="1555">
        <v>25.809999999999491</v>
      </c>
      <c r="AE294" s="1555"/>
      <c r="AF294" s="1555"/>
      <c r="AG294" s="1516">
        <f t="shared" si="60"/>
        <v>90</v>
      </c>
      <c r="AH294" s="1509" t="s">
        <v>1872</v>
      </c>
      <c r="AI294" s="1509"/>
    </row>
    <row r="295" spans="1:35" ht="58.5" customHeight="1" x14ac:dyDescent="0.25">
      <c r="A295" s="1527">
        <v>18</v>
      </c>
      <c r="B295" s="1548" t="s">
        <v>985</v>
      </c>
      <c r="C295" s="1509" t="s">
        <v>986</v>
      </c>
      <c r="D295" s="1528">
        <v>53683</v>
      </c>
      <c r="E295" s="1528">
        <f>D295-28560</f>
        <v>25123</v>
      </c>
      <c r="F295" s="1529">
        <v>11143</v>
      </c>
      <c r="G295" s="1529"/>
      <c r="H295" s="1528">
        <v>12794</v>
      </c>
      <c r="I295" s="1528"/>
      <c r="J295" s="1544"/>
      <c r="K295" s="1544"/>
      <c r="L295" s="1528">
        <v>4623</v>
      </c>
      <c r="M295" s="1528"/>
      <c r="N295" s="1544"/>
      <c r="O295" s="1544"/>
      <c r="P295" s="1555">
        <v>10461</v>
      </c>
      <c r="Q295" s="1555">
        <v>10461</v>
      </c>
      <c r="R295" s="1555"/>
      <c r="S295" s="1555">
        <v>0</v>
      </c>
      <c r="T295" s="1516">
        <f t="shared" si="62"/>
        <v>39021</v>
      </c>
      <c r="U295" s="1516">
        <f t="shared" si="63"/>
        <v>10461</v>
      </c>
      <c r="V295" s="1528">
        <v>37171.700000000004</v>
      </c>
      <c r="W295" s="1528">
        <v>19754.700000000004</v>
      </c>
      <c r="X295" s="1555"/>
      <c r="Y295" s="1555"/>
      <c r="Z295" s="1516">
        <f t="shared" si="59"/>
        <v>27878</v>
      </c>
      <c r="AA295" s="1516">
        <f>I295+M295+Q295</f>
        <v>10461</v>
      </c>
      <c r="AB295" s="1516">
        <f t="shared" si="64"/>
        <v>9293.7000000000044</v>
      </c>
      <c r="AC295" s="1555">
        <v>9062.7000000000044</v>
      </c>
      <c r="AD295" s="1555">
        <v>9062.7000000000044</v>
      </c>
      <c r="AE295" s="1555"/>
      <c r="AF295" s="1555"/>
      <c r="AG295" s="1516">
        <f t="shared" si="60"/>
        <v>89.569696179423659</v>
      </c>
      <c r="AH295" s="1509" t="s">
        <v>983</v>
      </c>
      <c r="AI295" s="1509" t="s">
        <v>1873</v>
      </c>
    </row>
    <row r="296" spans="1:35" ht="27" customHeight="1" x14ac:dyDescent="0.25">
      <c r="A296" s="1527">
        <v>19</v>
      </c>
      <c r="B296" s="1526" t="s">
        <v>2298</v>
      </c>
      <c r="C296" s="1527" t="s">
        <v>2299</v>
      </c>
      <c r="D296" s="1529">
        <v>8392</v>
      </c>
      <c r="E296" s="1528">
        <f>D296-2000</f>
        <v>6392</v>
      </c>
      <c r="F296" s="1529">
        <v>2000</v>
      </c>
      <c r="G296" s="1529"/>
      <c r="H296" s="1528"/>
      <c r="I296" s="1528"/>
      <c r="J296" s="1544"/>
      <c r="K296" s="1544"/>
      <c r="L296" s="1528"/>
      <c r="M296" s="1528"/>
      <c r="N296" s="1544"/>
      <c r="O296" s="1544"/>
      <c r="P296" s="1555">
        <v>5183</v>
      </c>
      <c r="Q296" s="1555">
        <v>5183</v>
      </c>
      <c r="R296" s="1555"/>
      <c r="S296" s="1555">
        <v>0</v>
      </c>
      <c r="T296" s="1516">
        <f t="shared" si="62"/>
        <v>7183</v>
      </c>
      <c r="U296" s="1516">
        <f t="shared" si="63"/>
        <v>5183</v>
      </c>
      <c r="V296" s="1528">
        <v>5552.8</v>
      </c>
      <c r="W296" s="1528">
        <v>5552.8</v>
      </c>
      <c r="X296" s="1555"/>
      <c r="Y296" s="1555"/>
      <c r="Z296" s="1516">
        <f t="shared" si="59"/>
        <v>5183</v>
      </c>
      <c r="AA296" s="1516">
        <f t="shared" si="59"/>
        <v>5183</v>
      </c>
      <c r="AB296" s="1516">
        <f t="shared" si="64"/>
        <v>369.80000000000018</v>
      </c>
      <c r="AC296" s="1555"/>
      <c r="AD296" s="1555"/>
      <c r="AE296" s="1555"/>
      <c r="AF296" s="1555"/>
      <c r="AG296" s="1516">
        <f t="shared" si="60"/>
        <v>85.593422306959013</v>
      </c>
      <c r="AH296" s="1509" t="s">
        <v>423</v>
      </c>
      <c r="AI296" s="1509"/>
    </row>
    <row r="297" spans="1:35" ht="29.25" customHeight="1" x14ac:dyDescent="0.25">
      <c r="A297" s="1527">
        <v>20</v>
      </c>
      <c r="B297" s="1597" t="s">
        <v>2300</v>
      </c>
      <c r="C297" s="1509" t="s">
        <v>2301</v>
      </c>
      <c r="D297" s="1528">
        <v>29750</v>
      </c>
      <c r="E297" s="1528">
        <f>D297-15487</f>
        <v>14263</v>
      </c>
      <c r="F297" s="1529">
        <v>15537</v>
      </c>
      <c r="G297" s="1529"/>
      <c r="H297" s="1528"/>
      <c r="I297" s="1528"/>
      <c r="J297" s="1544"/>
      <c r="K297" s="1544"/>
      <c r="L297" s="1528"/>
      <c r="M297" s="1528"/>
      <c r="N297" s="1544"/>
      <c r="O297" s="1544"/>
      <c r="P297" s="1555">
        <v>11238</v>
      </c>
      <c r="Q297" s="1555">
        <v>11238</v>
      </c>
      <c r="R297" s="1555"/>
      <c r="S297" s="1555">
        <v>0</v>
      </c>
      <c r="T297" s="1516">
        <f t="shared" si="62"/>
        <v>26775</v>
      </c>
      <c r="U297" s="1516">
        <f t="shared" si="63"/>
        <v>11238</v>
      </c>
      <c r="V297" s="1528">
        <v>11238</v>
      </c>
      <c r="W297" s="1528">
        <v>11238</v>
      </c>
      <c r="X297" s="1555"/>
      <c r="Y297" s="1555"/>
      <c r="Z297" s="1516">
        <f t="shared" si="59"/>
        <v>11238</v>
      </c>
      <c r="AA297" s="1516">
        <f t="shared" si="59"/>
        <v>11238</v>
      </c>
      <c r="AB297" s="1516">
        <f t="shared" si="64"/>
        <v>0</v>
      </c>
      <c r="AC297" s="1555"/>
      <c r="AD297" s="1555"/>
      <c r="AE297" s="1555"/>
      <c r="AF297" s="1555"/>
      <c r="AG297" s="1516">
        <f t="shared" si="60"/>
        <v>90</v>
      </c>
      <c r="AH297" s="1527" t="s">
        <v>418</v>
      </c>
      <c r="AI297" s="1509"/>
    </row>
    <row r="298" spans="1:35" ht="27" customHeight="1" x14ac:dyDescent="0.25">
      <c r="A298" s="1527">
        <v>21</v>
      </c>
      <c r="B298" s="1584" t="s">
        <v>2302</v>
      </c>
      <c r="C298" s="1509"/>
      <c r="D298" s="1529">
        <v>2000</v>
      </c>
      <c r="E298" s="1529">
        <v>2000</v>
      </c>
      <c r="F298" s="1528"/>
      <c r="G298" s="1528"/>
      <c r="H298" s="1528"/>
      <c r="I298" s="1528"/>
      <c r="J298" s="1544"/>
      <c r="K298" s="1544"/>
      <c r="L298" s="1528">
        <v>1000</v>
      </c>
      <c r="M298" s="1528">
        <v>1000</v>
      </c>
      <c r="N298" s="1544"/>
      <c r="O298" s="1544"/>
      <c r="P298" s="1555">
        <v>1000</v>
      </c>
      <c r="Q298" s="1555">
        <v>1000</v>
      </c>
      <c r="R298" s="1555"/>
      <c r="S298" s="1555">
        <v>0</v>
      </c>
      <c r="T298" s="1516">
        <f>F298+H298+L298+P298</f>
        <v>2000</v>
      </c>
      <c r="U298" s="1516">
        <f>G298+I298+M298+Q298+R298</f>
        <v>2000</v>
      </c>
      <c r="V298" s="1529">
        <v>2000</v>
      </c>
      <c r="W298" s="1529">
        <v>2000</v>
      </c>
      <c r="X298" s="1555"/>
      <c r="Y298" s="1555"/>
      <c r="Z298" s="1516">
        <f>H298+L298+P298</f>
        <v>2000</v>
      </c>
      <c r="AA298" s="1516">
        <f>I298+M298+Q298</f>
        <v>2000</v>
      </c>
      <c r="AB298" s="1516">
        <f>W298-AA298</f>
        <v>0</v>
      </c>
      <c r="AC298" s="1555"/>
      <c r="AD298" s="1555"/>
      <c r="AE298" s="1555"/>
      <c r="AF298" s="1555"/>
      <c r="AG298" s="1516">
        <f t="shared" si="60"/>
        <v>100</v>
      </c>
      <c r="AH298" s="1527" t="s">
        <v>608</v>
      </c>
      <c r="AI298" s="1509"/>
    </row>
    <row r="299" spans="1:35" ht="27.75" customHeight="1" x14ac:dyDescent="0.25">
      <c r="A299" s="1527">
        <v>22</v>
      </c>
      <c r="B299" s="1584" t="s">
        <v>2303</v>
      </c>
      <c r="C299" s="1509"/>
      <c r="D299" s="1529">
        <v>3000</v>
      </c>
      <c r="E299" s="1529">
        <v>3000</v>
      </c>
      <c r="F299" s="1528"/>
      <c r="G299" s="1528"/>
      <c r="H299" s="1528"/>
      <c r="I299" s="1528"/>
      <c r="J299" s="1544"/>
      <c r="K299" s="1544"/>
      <c r="L299" s="1528">
        <v>1000</v>
      </c>
      <c r="M299" s="1528">
        <v>1000</v>
      </c>
      <c r="N299" s="1544"/>
      <c r="O299" s="1544"/>
      <c r="P299" s="1555">
        <v>2000</v>
      </c>
      <c r="Q299" s="1555">
        <v>2000</v>
      </c>
      <c r="R299" s="1555"/>
      <c r="S299" s="1555">
        <v>0</v>
      </c>
      <c r="T299" s="1516">
        <f>F299+H299+L299+P299</f>
        <v>3000</v>
      </c>
      <c r="U299" s="1516">
        <f>G299+I299+M299+Q299+R299</f>
        <v>3000</v>
      </c>
      <c r="V299" s="1529">
        <v>3000</v>
      </c>
      <c r="W299" s="1529">
        <v>3000</v>
      </c>
      <c r="X299" s="1555"/>
      <c r="Y299" s="1555"/>
      <c r="Z299" s="1516">
        <f>H299+L299+P299</f>
        <v>3000</v>
      </c>
      <c r="AA299" s="1516">
        <f>I299+M299+Q299</f>
        <v>3000</v>
      </c>
      <c r="AB299" s="1516">
        <f>W299-AA299</f>
        <v>0</v>
      </c>
      <c r="AC299" s="1555"/>
      <c r="AD299" s="1555"/>
      <c r="AE299" s="1555"/>
      <c r="AF299" s="1555"/>
      <c r="AG299" s="1516">
        <f t="shared" si="60"/>
        <v>100</v>
      </c>
      <c r="AH299" s="1527" t="s">
        <v>608</v>
      </c>
      <c r="AI299" s="1509"/>
    </row>
    <row r="300" spans="1:35" ht="33.75" x14ac:dyDescent="0.25">
      <c r="A300" s="1527">
        <v>23</v>
      </c>
      <c r="B300" s="1544" t="s">
        <v>2304</v>
      </c>
      <c r="C300" s="1509" t="s">
        <v>2305</v>
      </c>
      <c r="D300" s="1536">
        <v>5009</v>
      </c>
      <c r="E300" s="1536">
        <v>1509</v>
      </c>
      <c r="F300" s="1529">
        <v>3550</v>
      </c>
      <c r="G300" s="1529">
        <v>50</v>
      </c>
      <c r="H300" s="1528"/>
      <c r="I300" s="1528"/>
      <c r="J300" s="1544"/>
      <c r="K300" s="1544"/>
      <c r="L300" s="1528">
        <v>1130</v>
      </c>
      <c r="M300" s="1528">
        <v>1130</v>
      </c>
      <c r="N300" s="1544"/>
      <c r="O300" s="1544"/>
      <c r="P300" s="1555"/>
      <c r="Q300" s="1555"/>
      <c r="R300" s="1555"/>
      <c r="S300" s="1555">
        <v>0</v>
      </c>
      <c r="T300" s="1516">
        <f t="shared" si="62"/>
        <v>4680</v>
      </c>
      <c r="U300" s="1516">
        <f t="shared" si="62"/>
        <v>1180</v>
      </c>
      <c r="V300" s="1528">
        <v>958.10000000000036</v>
      </c>
      <c r="W300" s="1528">
        <v>958.10000000000036</v>
      </c>
      <c r="X300" s="1555"/>
      <c r="Y300" s="1555"/>
      <c r="Z300" s="1516">
        <f>H300+L300+P300</f>
        <v>1130</v>
      </c>
      <c r="AA300" s="1516">
        <f t="shared" si="59"/>
        <v>1130</v>
      </c>
      <c r="AB300" s="1516">
        <f>W300-AA300</f>
        <v>-171.89999999999964</v>
      </c>
      <c r="AC300" s="1555"/>
      <c r="AD300" s="1555"/>
      <c r="AE300" s="1555"/>
      <c r="AF300" s="1555"/>
      <c r="AG300" s="1516">
        <f t="shared" si="60"/>
        <v>93.431822719105611</v>
      </c>
      <c r="AH300" s="1527" t="s">
        <v>418</v>
      </c>
      <c r="AI300" s="1509" t="s">
        <v>1961</v>
      </c>
    </row>
    <row r="301" spans="1:35" ht="22.5" x14ac:dyDescent="0.25">
      <c r="A301" s="1527">
        <v>24</v>
      </c>
      <c r="B301" s="1584" t="s">
        <v>2306</v>
      </c>
      <c r="C301" s="1509"/>
      <c r="D301" s="1528"/>
      <c r="E301" s="1528"/>
      <c r="F301" s="1529"/>
      <c r="G301" s="1529"/>
      <c r="H301" s="1528"/>
      <c r="I301" s="1528"/>
      <c r="J301" s="1544"/>
      <c r="K301" s="1544"/>
      <c r="L301" s="1528">
        <f>358+216</f>
        <v>574</v>
      </c>
      <c r="M301" s="1528">
        <f>358+216</f>
        <v>574</v>
      </c>
      <c r="N301" s="1544"/>
      <c r="O301" s="1544"/>
      <c r="P301" s="1544"/>
      <c r="Q301" s="1544"/>
      <c r="R301" s="1544"/>
      <c r="S301" s="1544"/>
      <c r="T301" s="1516">
        <f t="shared" si="62"/>
        <v>574</v>
      </c>
      <c r="U301" s="1516">
        <f t="shared" si="62"/>
        <v>574</v>
      </c>
      <c r="V301" s="1528"/>
      <c r="W301" s="1528"/>
      <c r="X301" s="1555"/>
      <c r="Y301" s="1555"/>
      <c r="Z301" s="1516">
        <f t="shared" si="59"/>
        <v>574</v>
      </c>
      <c r="AA301" s="1516">
        <f t="shared" si="59"/>
        <v>574</v>
      </c>
      <c r="AB301" s="1516">
        <f t="shared" si="64"/>
        <v>-574</v>
      </c>
      <c r="AC301" s="1555"/>
      <c r="AD301" s="1555"/>
      <c r="AE301" s="1544"/>
      <c r="AF301" s="1544"/>
      <c r="AG301" s="1516"/>
      <c r="AH301" s="1527"/>
      <c r="AI301" s="1509" t="s">
        <v>1961</v>
      </c>
    </row>
    <row r="302" spans="1:35" ht="22.5" x14ac:dyDescent="0.25">
      <c r="A302" s="1527">
        <v>25</v>
      </c>
      <c r="B302" s="1554" t="s">
        <v>2307</v>
      </c>
      <c r="C302" s="1614"/>
      <c r="D302" s="1786"/>
      <c r="E302" s="1786"/>
      <c r="F302" s="1513"/>
      <c r="G302" s="1513"/>
      <c r="H302" s="1603">
        <v>28743.48</v>
      </c>
      <c r="I302" s="1603">
        <v>28743.48</v>
      </c>
      <c r="J302" s="1544"/>
      <c r="K302" s="1544"/>
      <c r="L302" s="1513"/>
      <c r="M302" s="1513"/>
      <c r="N302" s="1544"/>
      <c r="O302" s="1544"/>
      <c r="P302" s="1555"/>
      <c r="Q302" s="1555"/>
      <c r="R302" s="1555"/>
      <c r="S302" s="1555"/>
      <c r="T302" s="1516">
        <f t="shared" si="62"/>
        <v>28743.48</v>
      </c>
      <c r="U302" s="1516">
        <f t="shared" si="63"/>
        <v>28743.48</v>
      </c>
      <c r="V302" s="1528">
        <v>28743.48</v>
      </c>
      <c r="W302" s="1528">
        <v>28743.48</v>
      </c>
      <c r="X302" s="1555"/>
      <c r="Y302" s="1555"/>
      <c r="Z302" s="1516">
        <f t="shared" si="59"/>
        <v>28743.48</v>
      </c>
      <c r="AA302" s="1516">
        <f t="shared" si="59"/>
        <v>28743.48</v>
      </c>
      <c r="AB302" s="1516">
        <f t="shared" si="64"/>
        <v>0</v>
      </c>
      <c r="AC302" s="1555"/>
      <c r="AD302" s="1555"/>
      <c r="AE302" s="1555"/>
      <c r="AF302" s="1555"/>
      <c r="AG302" s="1516"/>
      <c r="AH302" s="1614" t="s">
        <v>162</v>
      </c>
      <c r="AI302" s="1509" t="s">
        <v>1961</v>
      </c>
    </row>
    <row r="303" spans="1:35" ht="22.5" x14ac:dyDescent="0.25">
      <c r="A303" s="1527">
        <v>26</v>
      </c>
      <c r="B303" s="1554" t="s">
        <v>2308</v>
      </c>
      <c r="C303" s="1614"/>
      <c r="D303" s="1786"/>
      <c r="E303" s="1786"/>
      <c r="F303" s="1513"/>
      <c r="G303" s="1513"/>
      <c r="H303" s="1603">
        <v>3100</v>
      </c>
      <c r="I303" s="1603">
        <v>3100</v>
      </c>
      <c r="J303" s="1544"/>
      <c r="K303" s="1544"/>
      <c r="L303" s="1513"/>
      <c r="M303" s="1513"/>
      <c r="N303" s="1544"/>
      <c r="O303" s="1544"/>
      <c r="P303" s="1555"/>
      <c r="Q303" s="1555"/>
      <c r="R303" s="1555"/>
      <c r="S303" s="1555"/>
      <c r="T303" s="1516">
        <f t="shared" si="62"/>
        <v>3100</v>
      </c>
      <c r="U303" s="1516">
        <f t="shared" si="63"/>
        <v>3100</v>
      </c>
      <c r="V303" s="1528">
        <v>3100</v>
      </c>
      <c r="W303" s="1528">
        <v>3100</v>
      </c>
      <c r="X303" s="1555"/>
      <c r="Y303" s="1555"/>
      <c r="Z303" s="1516">
        <f t="shared" si="59"/>
        <v>3100</v>
      </c>
      <c r="AA303" s="1516">
        <f t="shared" si="59"/>
        <v>3100</v>
      </c>
      <c r="AB303" s="1516">
        <f t="shared" si="64"/>
        <v>0</v>
      </c>
      <c r="AC303" s="1555"/>
      <c r="AD303" s="1555"/>
      <c r="AE303" s="1555"/>
      <c r="AF303" s="1555"/>
      <c r="AG303" s="1516"/>
      <c r="AH303" s="1614" t="s">
        <v>162</v>
      </c>
      <c r="AI303" s="1509" t="s">
        <v>1961</v>
      </c>
    </row>
    <row r="304" spans="1:35" ht="48" customHeight="1" x14ac:dyDescent="0.25">
      <c r="A304" s="1527">
        <v>27</v>
      </c>
      <c r="B304" s="1554" t="s">
        <v>2309</v>
      </c>
      <c r="C304" s="1614"/>
      <c r="D304" s="1786"/>
      <c r="E304" s="1786"/>
      <c r="F304" s="1513"/>
      <c r="G304" s="1513"/>
      <c r="H304" s="1603">
        <v>3631</v>
      </c>
      <c r="I304" s="1603">
        <v>3631</v>
      </c>
      <c r="J304" s="1544"/>
      <c r="K304" s="1544"/>
      <c r="L304" s="1513"/>
      <c r="M304" s="1513"/>
      <c r="N304" s="1544"/>
      <c r="O304" s="1544"/>
      <c r="P304" s="1555"/>
      <c r="Q304" s="1555"/>
      <c r="R304" s="1555"/>
      <c r="S304" s="1555"/>
      <c r="T304" s="1516">
        <f t="shared" si="62"/>
        <v>3631</v>
      </c>
      <c r="U304" s="1516">
        <f t="shared" si="63"/>
        <v>3631</v>
      </c>
      <c r="V304" s="1528">
        <v>3631</v>
      </c>
      <c r="W304" s="1528">
        <v>3631</v>
      </c>
      <c r="X304" s="1555"/>
      <c r="Y304" s="1555"/>
      <c r="Z304" s="1516">
        <f t="shared" si="59"/>
        <v>3631</v>
      </c>
      <c r="AA304" s="1516">
        <f t="shared" si="59"/>
        <v>3631</v>
      </c>
      <c r="AB304" s="1516">
        <f t="shared" si="64"/>
        <v>0</v>
      </c>
      <c r="AC304" s="1555"/>
      <c r="AD304" s="1555"/>
      <c r="AE304" s="1555"/>
      <c r="AF304" s="1555"/>
      <c r="AG304" s="1516"/>
      <c r="AH304" s="1614" t="s">
        <v>162</v>
      </c>
      <c r="AI304" s="1509" t="s">
        <v>1961</v>
      </c>
    </row>
    <row r="305" spans="1:52" s="1647" customFormat="1" ht="10.5" x14ac:dyDescent="0.25">
      <c r="A305" s="1619">
        <v>7</v>
      </c>
      <c r="B305" s="1646" t="s">
        <v>1798</v>
      </c>
      <c r="C305" s="1615"/>
      <c r="D305" s="1515">
        <f>SUM(D306:D318)</f>
        <v>205764.4</v>
      </c>
      <c r="E305" s="1515">
        <f t="shared" ref="E305:AF305" si="65">SUM(E306:E318)</f>
        <v>90359.5</v>
      </c>
      <c r="F305" s="1515">
        <f t="shared" si="65"/>
        <v>71321</v>
      </c>
      <c r="G305" s="1515">
        <f t="shared" si="65"/>
        <v>21740</v>
      </c>
      <c r="H305" s="1515">
        <f t="shared" si="65"/>
        <v>1500</v>
      </c>
      <c r="I305" s="1515">
        <f t="shared" si="65"/>
        <v>1500</v>
      </c>
      <c r="J305" s="1515">
        <f t="shared" si="65"/>
        <v>0</v>
      </c>
      <c r="K305" s="1515">
        <f t="shared" si="65"/>
        <v>0</v>
      </c>
      <c r="L305" s="1515">
        <f t="shared" si="65"/>
        <v>1200</v>
      </c>
      <c r="M305" s="1515">
        <f t="shared" si="65"/>
        <v>1200</v>
      </c>
      <c r="N305" s="1515">
        <f t="shared" si="65"/>
        <v>0</v>
      </c>
      <c r="O305" s="1515">
        <f t="shared" si="65"/>
        <v>0</v>
      </c>
      <c r="P305" s="1515">
        <f t="shared" si="65"/>
        <v>25427.300000000003</v>
      </c>
      <c r="Q305" s="1515">
        <f t="shared" si="65"/>
        <v>25427.300000000003</v>
      </c>
      <c r="R305" s="1515">
        <f t="shared" si="65"/>
        <v>6795</v>
      </c>
      <c r="S305" s="1515">
        <f t="shared" si="65"/>
        <v>0</v>
      </c>
      <c r="T305" s="1515">
        <f t="shared" si="65"/>
        <v>107635</v>
      </c>
      <c r="U305" s="1515">
        <f t="shared" si="65"/>
        <v>56662.3</v>
      </c>
      <c r="V305" s="1515">
        <f t="shared" si="65"/>
        <v>87769.550000000017</v>
      </c>
      <c r="W305" s="1515">
        <f t="shared" si="65"/>
        <v>59921.45</v>
      </c>
      <c r="X305" s="1515">
        <f t="shared" si="65"/>
        <v>0</v>
      </c>
      <c r="Y305" s="1515">
        <f t="shared" si="65"/>
        <v>6796</v>
      </c>
      <c r="Z305" s="1515">
        <f t="shared" si="65"/>
        <v>51127.3</v>
      </c>
      <c r="AA305" s="1515">
        <f t="shared" si="65"/>
        <v>28127.300000000003</v>
      </c>
      <c r="AB305" s="1515">
        <f t="shared" si="65"/>
        <v>31794.149999999998</v>
      </c>
      <c r="AC305" s="1515">
        <f t="shared" si="65"/>
        <v>24794.149999999998</v>
      </c>
      <c r="AD305" s="1515">
        <f t="shared" si="65"/>
        <v>24794.149999999998</v>
      </c>
      <c r="AE305" s="1515">
        <f t="shared" si="65"/>
        <v>0</v>
      </c>
      <c r="AF305" s="1515">
        <f t="shared" si="65"/>
        <v>6796</v>
      </c>
      <c r="AG305" s="1515">
        <f>SUM(AG306:AG319)</f>
        <v>955.18164618385913</v>
      </c>
      <c r="AH305" s="1615"/>
      <c r="AI305" s="1615"/>
      <c r="AJ305" s="1668">
        <v>1</v>
      </c>
    </row>
    <row r="306" spans="1:52" ht="22.5" x14ac:dyDescent="0.25">
      <c r="A306" s="1527">
        <v>1</v>
      </c>
      <c r="B306" s="1544" t="s">
        <v>1001</v>
      </c>
      <c r="C306" s="1509"/>
      <c r="D306" s="1528">
        <v>32000</v>
      </c>
      <c r="E306" s="1528">
        <v>32000</v>
      </c>
      <c r="F306" s="1529">
        <f>9000+5974</f>
        <v>14974</v>
      </c>
      <c r="G306" s="1529">
        <f>9000+5974</f>
        <v>14974</v>
      </c>
      <c r="H306" s="1528"/>
      <c r="I306" s="1528"/>
      <c r="J306" s="1544"/>
      <c r="K306" s="1544"/>
      <c r="L306" s="1528"/>
      <c r="M306" s="1528"/>
      <c r="N306" s="1544"/>
      <c r="O306" s="1544"/>
      <c r="P306" s="1555">
        <v>8289</v>
      </c>
      <c r="Q306" s="1555">
        <v>8289</v>
      </c>
      <c r="R306" s="1555"/>
      <c r="S306" s="1555">
        <v>0</v>
      </c>
      <c r="T306" s="1516">
        <f t="shared" si="62"/>
        <v>23263</v>
      </c>
      <c r="U306" s="1516">
        <f t="shared" si="63"/>
        <v>23263</v>
      </c>
      <c r="V306" s="1528">
        <v>13826</v>
      </c>
      <c r="W306" s="1528">
        <v>13826</v>
      </c>
      <c r="X306" s="1555"/>
      <c r="Y306" s="1555"/>
      <c r="Z306" s="1516">
        <f t="shared" si="59"/>
        <v>8289</v>
      </c>
      <c r="AA306" s="1516">
        <f t="shared" si="59"/>
        <v>8289</v>
      </c>
      <c r="AB306" s="1516">
        <f t="shared" si="64"/>
        <v>5537</v>
      </c>
      <c r="AC306" s="1555">
        <v>5537</v>
      </c>
      <c r="AD306" s="1555">
        <v>5537</v>
      </c>
      <c r="AE306" s="1555"/>
      <c r="AF306" s="1555"/>
      <c r="AG306" s="1516">
        <f t="shared" ref="AG306:AG317" si="66">(AC306+T306)/D306*100</f>
        <v>90</v>
      </c>
      <c r="AH306" s="1527" t="s">
        <v>427</v>
      </c>
      <c r="AI306" s="1509"/>
    </row>
    <row r="307" spans="1:52" ht="33.75" x14ac:dyDescent="0.25">
      <c r="A307" s="1527">
        <v>2</v>
      </c>
      <c r="B307" s="1526" t="s">
        <v>2310</v>
      </c>
      <c r="C307" s="1509" t="s">
        <v>2311</v>
      </c>
      <c r="D307" s="1528">
        <v>37647</v>
      </c>
      <c r="E307" s="1528">
        <v>5350</v>
      </c>
      <c r="F307" s="1528">
        <v>10000</v>
      </c>
      <c r="G307" s="1528"/>
      <c r="H307" s="1528"/>
      <c r="I307" s="1528"/>
      <c r="J307" s="1544"/>
      <c r="K307" s="1544"/>
      <c r="L307" s="1528"/>
      <c r="M307" s="1528"/>
      <c r="N307" s="1544"/>
      <c r="O307" s="1544"/>
      <c r="P307" s="1555">
        <v>4813.3000000000029</v>
      </c>
      <c r="Q307" s="1555">
        <v>4813.3000000000029</v>
      </c>
      <c r="R307" s="1555">
        <v>4000</v>
      </c>
      <c r="S307" s="1555">
        <v>0</v>
      </c>
      <c r="T307" s="1516">
        <v>23000</v>
      </c>
      <c r="U307" s="1516">
        <f>G307+I307+M307+Q307+R307</f>
        <v>8813.3000000000029</v>
      </c>
      <c r="V307" s="1528">
        <v>23882.300000000003</v>
      </c>
      <c r="W307" s="1528">
        <v>4813.3000000000029</v>
      </c>
      <c r="X307" s="1555"/>
      <c r="Y307" s="1555"/>
      <c r="Z307" s="1516">
        <f>23000+AA307</f>
        <v>27813.300000000003</v>
      </c>
      <c r="AA307" s="1516">
        <f>I307+M307+Q307</f>
        <v>4813.3000000000029</v>
      </c>
      <c r="AB307" s="1516">
        <f t="shared" si="64"/>
        <v>0</v>
      </c>
      <c r="AC307" s="1555"/>
      <c r="AD307" s="1555"/>
      <c r="AE307" s="1555"/>
      <c r="AF307" s="1555"/>
      <c r="AG307" s="1516">
        <f t="shared" si="66"/>
        <v>61.093845459133533</v>
      </c>
      <c r="AH307" s="1527" t="s">
        <v>418</v>
      </c>
      <c r="AI307" s="1509"/>
    </row>
    <row r="308" spans="1:52" ht="22.5" x14ac:dyDescent="0.25">
      <c r="A308" s="1527">
        <v>3</v>
      </c>
      <c r="B308" s="1584" t="s">
        <v>1714</v>
      </c>
      <c r="C308" s="1509" t="s">
        <v>1874</v>
      </c>
      <c r="D308" s="1549">
        <v>9852</v>
      </c>
      <c r="E308" s="1549">
        <v>9852</v>
      </c>
      <c r="F308" s="1529">
        <v>3500</v>
      </c>
      <c r="G308" s="1529">
        <v>3500</v>
      </c>
      <c r="H308" s="1549"/>
      <c r="I308" s="1549"/>
      <c r="J308" s="1544"/>
      <c r="K308" s="1544"/>
      <c r="L308" s="1549"/>
      <c r="M308" s="1549"/>
      <c r="N308" s="1544"/>
      <c r="O308" s="1544"/>
      <c r="P308" s="1555"/>
      <c r="Q308" s="1555"/>
      <c r="R308" s="1555">
        <v>0</v>
      </c>
      <c r="S308" s="1555"/>
      <c r="T308" s="1516">
        <f t="shared" si="62"/>
        <v>3500</v>
      </c>
      <c r="U308" s="1516">
        <f t="shared" si="63"/>
        <v>3500</v>
      </c>
      <c r="V308" s="1528">
        <f>W308</f>
        <v>2727</v>
      </c>
      <c r="W308" s="1528">
        <v>2727</v>
      </c>
      <c r="X308" s="1555"/>
      <c r="Y308" s="1555">
        <v>2727</v>
      </c>
      <c r="Z308" s="1516">
        <f t="shared" si="59"/>
        <v>0</v>
      </c>
      <c r="AA308" s="1516">
        <f t="shared" si="59"/>
        <v>0</v>
      </c>
      <c r="AB308" s="1516">
        <f t="shared" si="64"/>
        <v>2727</v>
      </c>
      <c r="AC308" s="1555">
        <v>2727</v>
      </c>
      <c r="AD308" s="1555">
        <v>2727</v>
      </c>
      <c r="AE308" s="1555"/>
      <c r="AF308" s="1516">
        <f>Y308-K308-O308-S308</f>
        <v>2727</v>
      </c>
      <c r="AG308" s="1516">
        <f>(AC308+T308+2640)/D308*100</f>
        <v>90.002030044660984</v>
      </c>
      <c r="AH308" s="1527" t="s">
        <v>425</v>
      </c>
      <c r="AI308" s="1509"/>
    </row>
    <row r="309" spans="1:52" ht="22.5" x14ac:dyDescent="0.25">
      <c r="A309" s="1527">
        <v>5</v>
      </c>
      <c r="B309" s="1526" t="s">
        <v>1712</v>
      </c>
      <c r="C309" s="1509" t="s">
        <v>1876</v>
      </c>
      <c r="D309" s="1528">
        <v>39869</v>
      </c>
      <c r="E309" s="1528">
        <f>D309-F309</f>
        <v>9308</v>
      </c>
      <c r="F309" s="1529">
        <v>30561</v>
      </c>
      <c r="G309" s="1529"/>
      <c r="H309" s="1528"/>
      <c r="I309" s="1528"/>
      <c r="J309" s="1544"/>
      <c r="K309" s="1544"/>
      <c r="L309" s="1528"/>
      <c r="M309" s="1528"/>
      <c r="N309" s="1544"/>
      <c r="O309" s="1544"/>
      <c r="P309" s="1555"/>
      <c r="Q309" s="1555"/>
      <c r="R309" s="1555"/>
      <c r="S309" s="1555">
        <v>0</v>
      </c>
      <c r="T309" s="1516">
        <f t="shared" si="62"/>
        <v>30561</v>
      </c>
      <c r="U309" s="1516">
        <f t="shared" si="63"/>
        <v>0</v>
      </c>
      <c r="V309" s="1528">
        <v>5321.0999999999985</v>
      </c>
      <c r="W309" s="1528">
        <v>5321.0999999999985</v>
      </c>
      <c r="X309" s="1555"/>
      <c r="Y309" s="1555"/>
      <c r="Z309" s="1516">
        <f t="shared" si="59"/>
        <v>0</v>
      </c>
      <c r="AA309" s="1516">
        <f t="shared" si="59"/>
        <v>0</v>
      </c>
      <c r="AB309" s="1516">
        <f t="shared" si="64"/>
        <v>5321.0999999999985</v>
      </c>
      <c r="AC309" s="1555">
        <v>5321.0999999999985</v>
      </c>
      <c r="AD309" s="1555">
        <v>5321.0999999999985</v>
      </c>
      <c r="AE309" s="1555"/>
      <c r="AF309" s="1555"/>
      <c r="AG309" s="1516">
        <f t="shared" si="66"/>
        <v>89.999999999999986</v>
      </c>
      <c r="AH309" s="1509" t="s">
        <v>426</v>
      </c>
      <c r="AI309" s="1509"/>
    </row>
    <row r="310" spans="1:52" ht="22.5" x14ac:dyDescent="0.25">
      <c r="A310" s="1527">
        <v>6</v>
      </c>
      <c r="B310" s="1526" t="s">
        <v>1716</v>
      </c>
      <c r="C310" s="1527" t="s">
        <v>1877</v>
      </c>
      <c r="D310" s="1529">
        <v>7854.5</v>
      </c>
      <c r="E310" s="1529">
        <f>D310</f>
        <v>7854.5</v>
      </c>
      <c r="F310" s="1529">
        <v>3000</v>
      </c>
      <c r="G310" s="1529">
        <v>3000</v>
      </c>
      <c r="H310" s="1528"/>
      <c r="I310" s="1528"/>
      <c r="J310" s="1544"/>
      <c r="K310" s="1544"/>
      <c r="L310" s="1528"/>
      <c r="M310" s="1528"/>
      <c r="N310" s="1544"/>
      <c r="O310" s="1544"/>
      <c r="P310" s="1555"/>
      <c r="Q310" s="1555"/>
      <c r="R310" s="1555"/>
      <c r="S310" s="1555"/>
      <c r="T310" s="1516">
        <f t="shared" si="62"/>
        <v>3000</v>
      </c>
      <c r="U310" s="1516">
        <f t="shared" si="63"/>
        <v>3000</v>
      </c>
      <c r="V310" s="1528">
        <v>4069.05</v>
      </c>
      <c r="W310" s="1528">
        <v>4069.05</v>
      </c>
      <c r="X310" s="1555"/>
      <c r="Y310" s="1555">
        <v>4069</v>
      </c>
      <c r="Z310" s="1516">
        <f t="shared" si="59"/>
        <v>0</v>
      </c>
      <c r="AA310" s="1516">
        <f t="shared" si="59"/>
        <v>0</v>
      </c>
      <c r="AB310" s="1516">
        <f t="shared" si="64"/>
        <v>4069.05</v>
      </c>
      <c r="AC310" s="1555">
        <v>4069.05</v>
      </c>
      <c r="AD310" s="1555">
        <v>4069.05</v>
      </c>
      <c r="AE310" s="1555"/>
      <c r="AF310" s="1516">
        <f>Y310-K310-O310-S310</f>
        <v>4069</v>
      </c>
      <c r="AG310" s="1516">
        <f t="shared" si="66"/>
        <v>90</v>
      </c>
      <c r="AH310" s="1527" t="s">
        <v>425</v>
      </c>
      <c r="AI310" s="1509"/>
    </row>
    <row r="311" spans="1:52" ht="33.75" x14ac:dyDescent="0.25">
      <c r="A311" s="1527">
        <v>7</v>
      </c>
      <c r="B311" s="1544" t="s">
        <v>2312</v>
      </c>
      <c r="C311" s="1509" t="s">
        <v>2313</v>
      </c>
      <c r="D311" s="1528">
        <v>1700</v>
      </c>
      <c r="E311" s="1528">
        <v>1700</v>
      </c>
      <c r="F311" s="1529"/>
      <c r="G311" s="1529"/>
      <c r="H311" s="1528"/>
      <c r="I311" s="1528"/>
      <c r="J311" s="1544"/>
      <c r="K311" s="1544"/>
      <c r="L311" s="1528"/>
      <c r="M311" s="1528"/>
      <c r="N311" s="1544"/>
      <c r="O311" s="1544"/>
      <c r="P311" s="1555">
        <v>1530</v>
      </c>
      <c r="Q311" s="1555">
        <v>1530</v>
      </c>
      <c r="R311" s="1555"/>
      <c r="S311" s="1555">
        <v>0</v>
      </c>
      <c r="T311" s="1516">
        <f t="shared" si="62"/>
        <v>1530</v>
      </c>
      <c r="U311" s="1516">
        <f t="shared" si="63"/>
        <v>1530</v>
      </c>
      <c r="V311" s="1528">
        <v>1530</v>
      </c>
      <c r="W311" s="1528">
        <v>1530</v>
      </c>
      <c r="X311" s="1555"/>
      <c r="Y311" s="1555"/>
      <c r="Z311" s="1516">
        <f t="shared" si="59"/>
        <v>1530</v>
      </c>
      <c r="AA311" s="1516">
        <f t="shared" si="59"/>
        <v>1530</v>
      </c>
      <c r="AB311" s="1516">
        <f t="shared" si="64"/>
        <v>0</v>
      </c>
      <c r="AC311" s="1555">
        <v>0</v>
      </c>
      <c r="AD311" s="1555">
        <v>0</v>
      </c>
      <c r="AE311" s="1555"/>
      <c r="AF311" s="1555"/>
      <c r="AG311" s="1516">
        <f t="shared" si="66"/>
        <v>90</v>
      </c>
      <c r="AH311" s="1509" t="s">
        <v>2314</v>
      </c>
      <c r="AI311" s="1509"/>
    </row>
    <row r="312" spans="1:52" ht="33.75" x14ac:dyDescent="0.25">
      <c r="A312" s="1527">
        <v>8</v>
      </c>
      <c r="B312" s="1544" t="s">
        <v>2315</v>
      </c>
      <c r="C312" s="1509" t="s">
        <v>2316</v>
      </c>
      <c r="D312" s="1528">
        <f>6170-2875</f>
        <v>3295</v>
      </c>
      <c r="E312" s="1528">
        <f>6170-2875</f>
        <v>3295</v>
      </c>
      <c r="F312" s="1529"/>
      <c r="G312" s="1529"/>
      <c r="H312" s="1528">
        <v>500</v>
      </c>
      <c r="I312" s="1528">
        <v>500</v>
      </c>
      <c r="J312" s="1544"/>
      <c r="K312" s="1544"/>
      <c r="L312" s="1528"/>
      <c r="M312" s="1528"/>
      <c r="N312" s="1544"/>
      <c r="O312" s="1544"/>
      <c r="P312" s="1555">
        <v>2795</v>
      </c>
      <c r="Q312" s="1555">
        <v>2795</v>
      </c>
      <c r="R312" s="1555">
        <v>2795</v>
      </c>
      <c r="S312" s="1555">
        <v>0</v>
      </c>
      <c r="T312" s="1516">
        <f t="shared" si="62"/>
        <v>3295</v>
      </c>
      <c r="U312" s="1516">
        <f t="shared" si="63"/>
        <v>6090</v>
      </c>
      <c r="V312" s="1528">
        <v>3295</v>
      </c>
      <c r="W312" s="1528">
        <v>3295</v>
      </c>
      <c r="X312" s="1555"/>
      <c r="Y312" s="1555"/>
      <c r="Z312" s="1516">
        <f t="shared" si="59"/>
        <v>3295</v>
      </c>
      <c r="AA312" s="1516">
        <f t="shared" si="59"/>
        <v>3295</v>
      </c>
      <c r="AB312" s="1516">
        <f t="shared" si="64"/>
        <v>0</v>
      </c>
      <c r="AC312" s="1555"/>
      <c r="AD312" s="1555"/>
      <c r="AE312" s="1555"/>
      <c r="AF312" s="1555"/>
      <c r="AG312" s="1516">
        <f t="shared" si="66"/>
        <v>100</v>
      </c>
      <c r="AH312" s="1509" t="s">
        <v>2314</v>
      </c>
      <c r="AI312" s="1509"/>
    </row>
    <row r="313" spans="1:52" ht="33.75" x14ac:dyDescent="0.25">
      <c r="A313" s="1527">
        <v>9</v>
      </c>
      <c r="B313" s="1544" t="s">
        <v>2317</v>
      </c>
      <c r="C313" s="1509" t="s">
        <v>2318</v>
      </c>
      <c r="D313" s="1528">
        <v>22292</v>
      </c>
      <c r="E313" s="1528"/>
      <c r="F313" s="1529">
        <v>9286</v>
      </c>
      <c r="G313" s="1529">
        <f>286-20</f>
        <v>266</v>
      </c>
      <c r="H313" s="1528">
        <v>1000</v>
      </c>
      <c r="I313" s="1528">
        <v>1000</v>
      </c>
      <c r="J313" s="1544"/>
      <c r="K313" s="1544"/>
      <c r="L313" s="1528"/>
      <c r="M313" s="1528"/>
      <c r="N313" s="1544"/>
      <c r="O313" s="1544"/>
      <c r="P313" s="1555">
        <v>4000</v>
      </c>
      <c r="Q313" s="1555">
        <v>4000</v>
      </c>
      <c r="R313" s="1555"/>
      <c r="S313" s="1555">
        <v>0</v>
      </c>
      <c r="T313" s="1516">
        <f t="shared" si="62"/>
        <v>14286</v>
      </c>
      <c r="U313" s="1516">
        <f t="shared" si="63"/>
        <v>5266</v>
      </c>
      <c r="V313" s="1528">
        <v>13006</v>
      </c>
      <c r="W313" s="1528">
        <v>5000</v>
      </c>
      <c r="X313" s="1555"/>
      <c r="Y313" s="1555"/>
      <c r="Z313" s="1516">
        <f t="shared" si="59"/>
        <v>5000</v>
      </c>
      <c r="AA313" s="1516">
        <f t="shared" si="59"/>
        <v>5000</v>
      </c>
      <c r="AB313" s="1516">
        <f t="shared" si="64"/>
        <v>0</v>
      </c>
      <c r="AC313" s="1555"/>
      <c r="AD313" s="1555"/>
      <c r="AE313" s="1555"/>
      <c r="AF313" s="1555"/>
      <c r="AG313" s="1516">
        <f>(AC313+T313)/D313*100</f>
        <v>64.085770680064599</v>
      </c>
      <c r="AH313" s="1527" t="s">
        <v>418</v>
      </c>
      <c r="AI313" s="1509"/>
    </row>
    <row r="314" spans="1:52" ht="28.5" customHeight="1" x14ac:dyDescent="0.25">
      <c r="A314" s="1527">
        <v>11</v>
      </c>
      <c r="B314" s="1554" t="s">
        <v>1722</v>
      </c>
      <c r="C314" s="1527" t="s">
        <v>1878</v>
      </c>
      <c r="D314" s="1528">
        <v>3454.9</v>
      </c>
      <c r="E314" s="1528">
        <v>2600</v>
      </c>
      <c r="F314" s="1616"/>
      <c r="G314" s="1528"/>
      <c r="H314" s="1528"/>
      <c r="I314" s="1528"/>
      <c r="J314" s="1544"/>
      <c r="K314" s="1544"/>
      <c r="L314" s="1528">
        <v>1200</v>
      </c>
      <c r="M314" s="1528">
        <v>1200</v>
      </c>
      <c r="N314" s="1544"/>
      <c r="O314" s="1544"/>
      <c r="P314" s="1516"/>
      <c r="Q314" s="1617"/>
      <c r="R314" s="1555"/>
      <c r="S314" s="1555">
        <v>0</v>
      </c>
      <c r="T314" s="1516">
        <f t="shared" si="62"/>
        <v>1200</v>
      </c>
      <c r="U314" s="1516">
        <f t="shared" si="63"/>
        <v>1200</v>
      </c>
      <c r="V314" s="1528">
        <v>3113.1</v>
      </c>
      <c r="W314" s="1528">
        <v>2340</v>
      </c>
      <c r="X314" s="1555"/>
      <c r="Y314" s="1555"/>
      <c r="Z314" s="1516">
        <f t="shared" si="59"/>
        <v>1200</v>
      </c>
      <c r="AA314" s="1516">
        <f t="shared" si="59"/>
        <v>1200</v>
      </c>
      <c r="AB314" s="1516">
        <f t="shared" si="64"/>
        <v>1140</v>
      </c>
      <c r="AC314" s="1555">
        <v>1140</v>
      </c>
      <c r="AD314" s="1555">
        <v>1140</v>
      </c>
      <c r="AE314" s="1555"/>
      <c r="AF314" s="1555"/>
      <c r="AG314" s="1516">
        <f>(AC314+T314)/E314*100</f>
        <v>90</v>
      </c>
      <c r="AH314" s="1509" t="s">
        <v>423</v>
      </c>
      <c r="AI314" s="1509"/>
    </row>
    <row r="315" spans="1:52" ht="33.75" x14ac:dyDescent="0.25">
      <c r="A315" s="1527">
        <v>13</v>
      </c>
      <c r="B315" s="1584" t="s">
        <v>1749</v>
      </c>
      <c r="C315" s="1509" t="s">
        <v>1879</v>
      </c>
      <c r="D315" s="1529">
        <v>34000</v>
      </c>
      <c r="E315" s="1529">
        <f>D315-11000-15000</f>
        <v>8000</v>
      </c>
      <c r="F315" s="1528"/>
      <c r="G315" s="1528"/>
      <c r="H315" s="1528"/>
      <c r="I315" s="1528"/>
      <c r="J315" s="1544"/>
      <c r="K315" s="1544"/>
      <c r="L315" s="1528"/>
      <c r="M315" s="1528"/>
      <c r="N315" s="1544"/>
      <c r="O315" s="1544"/>
      <c r="P315" s="1555"/>
      <c r="Q315" s="1555"/>
      <c r="R315" s="1555"/>
      <c r="S315" s="1555"/>
      <c r="T315" s="1516">
        <f t="shared" si="62"/>
        <v>0</v>
      </c>
      <c r="U315" s="1516">
        <f t="shared" si="63"/>
        <v>0</v>
      </c>
      <c r="V315" s="1544">
        <v>4600</v>
      </c>
      <c r="W315" s="1544">
        <v>4600</v>
      </c>
      <c r="X315" s="1555"/>
      <c r="Y315" s="1555"/>
      <c r="Z315" s="1516">
        <f t="shared" si="59"/>
        <v>0</v>
      </c>
      <c r="AA315" s="1516">
        <f t="shared" si="59"/>
        <v>0</v>
      </c>
      <c r="AB315" s="1516">
        <f t="shared" si="64"/>
        <v>4600</v>
      </c>
      <c r="AC315" s="1555">
        <v>4600</v>
      </c>
      <c r="AD315" s="1555">
        <v>4600</v>
      </c>
      <c r="AE315" s="1555"/>
      <c r="AF315" s="1555"/>
      <c r="AG315" s="1516">
        <f>(AC315+T315+26000)/D315*100</f>
        <v>90</v>
      </c>
      <c r="AH315" s="1527" t="s">
        <v>418</v>
      </c>
      <c r="AI315" s="1509"/>
    </row>
    <row r="316" spans="1:52" ht="22.5" x14ac:dyDescent="0.25">
      <c r="A316" s="1527">
        <v>14</v>
      </c>
      <c r="B316" s="1584" t="s">
        <v>1753</v>
      </c>
      <c r="C316" s="1527" t="s">
        <v>1880</v>
      </c>
      <c r="D316" s="1529">
        <v>8800</v>
      </c>
      <c r="E316" s="1528">
        <v>5400</v>
      </c>
      <c r="F316" s="1528"/>
      <c r="G316" s="1528"/>
      <c r="H316" s="1528"/>
      <c r="I316" s="1528"/>
      <c r="J316" s="1544"/>
      <c r="K316" s="1544"/>
      <c r="L316" s="1528"/>
      <c r="M316" s="1528"/>
      <c r="N316" s="1544"/>
      <c r="O316" s="1544"/>
      <c r="P316" s="1555">
        <v>4000</v>
      </c>
      <c r="Q316" s="1555">
        <v>4000</v>
      </c>
      <c r="R316" s="1555"/>
      <c r="S316" s="1555"/>
      <c r="T316" s="1516">
        <f t="shared" si="62"/>
        <v>4000</v>
      </c>
      <c r="U316" s="1516">
        <f t="shared" si="63"/>
        <v>4000</v>
      </c>
      <c r="V316" s="1528">
        <v>5400</v>
      </c>
      <c r="W316" s="1528">
        <v>5400</v>
      </c>
      <c r="X316" s="1555"/>
      <c r="Y316" s="1555"/>
      <c r="Z316" s="1516">
        <f t="shared" si="59"/>
        <v>4000</v>
      </c>
      <c r="AA316" s="1516">
        <f t="shared" si="59"/>
        <v>4000</v>
      </c>
      <c r="AB316" s="1516">
        <f t="shared" si="64"/>
        <v>1400</v>
      </c>
      <c r="AC316" s="1555">
        <v>1400</v>
      </c>
      <c r="AD316" s="1555">
        <v>1400</v>
      </c>
      <c r="AE316" s="1555"/>
      <c r="AF316" s="1555"/>
      <c r="AG316" s="1516">
        <v>100</v>
      </c>
      <c r="AH316" s="1527" t="s">
        <v>420</v>
      </c>
      <c r="AI316" s="1509"/>
    </row>
    <row r="317" spans="1:52" ht="29.25" customHeight="1" x14ac:dyDescent="0.25">
      <c r="A317" s="1527">
        <v>15</v>
      </c>
      <c r="B317" s="1584" t="s">
        <v>2319</v>
      </c>
      <c r="C317" s="1509"/>
      <c r="D317" s="1529">
        <v>5000</v>
      </c>
      <c r="E317" s="1529">
        <v>5000</v>
      </c>
      <c r="F317" s="1528"/>
      <c r="G317" s="1528"/>
      <c r="H317" s="1528"/>
      <c r="I317" s="1528"/>
      <c r="J317" s="1544"/>
      <c r="K317" s="1544"/>
      <c r="L317" s="1528"/>
      <c r="M317" s="1528"/>
      <c r="N317" s="1544"/>
      <c r="O317" s="1544"/>
      <c r="P317" s="1555"/>
      <c r="Q317" s="1555"/>
      <c r="R317" s="1555"/>
      <c r="S317" s="1555">
        <v>0</v>
      </c>
      <c r="T317" s="1516">
        <f t="shared" si="62"/>
        <v>0</v>
      </c>
      <c r="U317" s="1516">
        <f t="shared" si="63"/>
        <v>0</v>
      </c>
      <c r="V317" s="1529">
        <v>5000</v>
      </c>
      <c r="W317" s="1529">
        <v>5000</v>
      </c>
      <c r="X317" s="1555"/>
      <c r="Y317" s="1555"/>
      <c r="Z317" s="1516">
        <f t="shared" si="59"/>
        <v>0</v>
      </c>
      <c r="AA317" s="1516">
        <f t="shared" si="59"/>
        <v>0</v>
      </c>
      <c r="AB317" s="1516">
        <f t="shared" si="64"/>
        <v>5000</v>
      </c>
      <c r="AC317" s="1555"/>
      <c r="AD317" s="1555"/>
      <c r="AE317" s="1555"/>
      <c r="AF317" s="1555"/>
      <c r="AG317" s="1516">
        <f t="shared" si="66"/>
        <v>0</v>
      </c>
      <c r="AH317" s="1527" t="s">
        <v>608</v>
      </c>
      <c r="AI317" s="1509"/>
    </row>
    <row r="318" spans="1:52" s="1645" customFormat="1" ht="22.5" x14ac:dyDescent="0.25">
      <c r="A318" s="1527">
        <v>16</v>
      </c>
      <c r="B318" s="1618" t="s">
        <v>2320</v>
      </c>
      <c r="C318" s="1542"/>
      <c r="D318" s="1538"/>
      <c r="E318" s="1538"/>
      <c r="F318" s="1516"/>
      <c r="G318" s="1516"/>
      <c r="H318" s="1516"/>
      <c r="I318" s="1516"/>
      <c r="J318" s="1555"/>
      <c r="K318" s="1555"/>
      <c r="L318" s="1516"/>
      <c r="M318" s="1516"/>
      <c r="N318" s="1555"/>
      <c r="O318" s="1555"/>
      <c r="P318" s="1555"/>
      <c r="Q318" s="1555"/>
      <c r="R318" s="1555"/>
      <c r="S318" s="1555"/>
      <c r="T318" s="1516">
        <f t="shared" si="62"/>
        <v>0</v>
      </c>
      <c r="U318" s="1516">
        <f t="shared" si="63"/>
        <v>0</v>
      </c>
      <c r="V318" s="1538">
        <v>2000</v>
      </c>
      <c r="W318" s="1538">
        <v>2000</v>
      </c>
      <c r="X318" s="1555"/>
      <c r="Y318" s="1555"/>
      <c r="Z318" s="1516">
        <f t="shared" si="59"/>
        <v>0</v>
      </c>
      <c r="AA318" s="1516">
        <f t="shared" si="59"/>
        <v>0</v>
      </c>
      <c r="AB318" s="1516">
        <f t="shared" si="64"/>
        <v>2000</v>
      </c>
      <c r="AC318" s="1516"/>
      <c r="AD318" s="1516"/>
      <c r="AE318" s="1555"/>
      <c r="AF318" s="1555"/>
      <c r="AG318" s="1516"/>
      <c r="AH318" s="1530" t="s">
        <v>161</v>
      </c>
      <c r="AI318" s="1542"/>
      <c r="AJ318" s="1564"/>
    </row>
    <row r="319" spans="1:52" s="1645" customFormat="1" ht="25.5" customHeight="1" x14ac:dyDescent="0.25">
      <c r="A319" s="1788">
        <v>8</v>
      </c>
      <c r="B319" s="1789" t="s">
        <v>1881</v>
      </c>
      <c r="C319" s="1790"/>
      <c r="D319" s="1579">
        <f>'[4]B6. PB ĐƯ CĐNS'!D42</f>
        <v>553536</v>
      </c>
      <c r="E319" s="1579">
        <f>'[4]B6. PB ĐƯ CĐNS'!E42</f>
        <v>111639</v>
      </c>
      <c r="F319" s="1515">
        <f>'[4]B6. PB ĐƯ CĐNS'!F42</f>
        <v>0</v>
      </c>
      <c r="G319" s="1515">
        <f>'[4]B6. PB ĐƯ CĐNS'!G42</f>
        <v>0</v>
      </c>
      <c r="H319" s="1515">
        <f>'[4]B6. PB ĐƯ CĐNS'!H42</f>
        <v>1000</v>
      </c>
      <c r="I319" s="1515">
        <f>'[4]B6. PB ĐƯ CĐNS'!I42</f>
        <v>1000</v>
      </c>
      <c r="J319" s="1515">
        <f>'[4]B6. PB ĐƯ CĐNS'!J42</f>
        <v>0</v>
      </c>
      <c r="K319" s="1515">
        <f>'[4]B6. PB ĐƯ CĐNS'!K42</f>
        <v>0</v>
      </c>
      <c r="L319" s="1515">
        <f>'[4]B6. PB ĐƯ CĐNS'!L42</f>
        <v>6391</v>
      </c>
      <c r="M319" s="1515">
        <f>'[4]B6. PB ĐƯ CĐNS'!M42</f>
        <v>6391</v>
      </c>
      <c r="N319" s="1515">
        <f>'[4]B6. PB ĐƯ CĐNS'!N42</f>
        <v>0</v>
      </c>
      <c r="O319" s="1515">
        <f>'[4]B6. PB ĐƯ CĐNS'!O42</f>
        <v>0</v>
      </c>
      <c r="P319" s="1515">
        <f>'[4]B6. PB ĐƯ CĐNS'!P42</f>
        <v>9309</v>
      </c>
      <c r="Q319" s="1515">
        <f>'[4]B6. PB ĐƯ CĐNS'!Q42</f>
        <v>9309</v>
      </c>
      <c r="R319" s="1515">
        <f>'[4]B6. PB ĐƯ CĐNS'!R42</f>
        <v>0</v>
      </c>
      <c r="S319" s="1515">
        <f>'[4]B6. PB ĐƯ CĐNS'!S42</f>
        <v>0</v>
      </c>
      <c r="T319" s="1579">
        <f>'[4]B6. PB ĐƯ CĐNS'!T42</f>
        <v>16700</v>
      </c>
      <c r="U319" s="1579">
        <f>'[4]B6. PB ĐƯ CĐNS'!U42</f>
        <v>16700</v>
      </c>
      <c r="V319" s="1579">
        <f>'[4]B6. PB ĐƯ CĐNS'!V42</f>
        <v>71775</v>
      </c>
      <c r="W319" s="1579">
        <f>'[4]B6. PB ĐƯ CĐNS'!W42</f>
        <v>41775</v>
      </c>
      <c r="X319" s="1515">
        <f>'[4]B6. PB ĐƯ CĐNS'!X42</f>
        <v>0</v>
      </c>
      <c r="Y319" s="1579">
        <f>'[4]B6. PB ĐƯ CĐNS'!Y42</f>
        <v>0</v>
      </c>
      <c r="Z319" s="1579">
        <f>'[4]B6. PB ĐƯ CĐNS'!Z42</f>
        <v>16700</v>
      </c>
      <c r="AA319" s="1579">
        <f>'[4]B6. PB ĐƯ CĐNS'!AA42</f>
        <v>16700</v>
      </c>
      <c r="AB319" s="1515">
        <f>'[4]B6. PB ĐƯ CĐNS'!AB42</f>
        <v>25075</v>
      </c>
      <c r="AC319" s="1579">
        <f>'[4]B6. PB ĐƯ CĐNS'!AD42</f>
        <v>27897</v>
      </c>
      <c r="AD319" s="1579">
        <f>'[4]B6. PB ĐƯ CĐNS'!AE42</f>
        <v>27897</v>
      </c>
      <c r="AE319" s="1515">
        <f>'[4]B6. PB ĐƯ CĐNS'!AF42</f>
        <v>0</v>
      </c>
      <c r="AF319" s="1579">
        <f>'[4]B6. PB ĐƯ CĐNS'!AG42</f>
        <v>0</v>
      </c>
      <c r="AG319" s="1579"/>
      <c r="AH319" s="1579"/>
      <c r="AI319" s="1542" t="s">
        <v>2408</v>
      </c>
      <c r="AJ319" s="1564">
        <v>1</v>
      </c>
      <c r="AK319" s="1651"/>
      <c r="AL319" s="1651"/>
      <c r="AM319" s="1651"/>
      <c r="AN319" s="1651"/>
      <c r="AO319" s="1651"/>
      <c r="AP319" s="1651"/>
      <c r="AQ319" s="1651"/>
      <c r="AR319" s="1651"/>
      <c r="AS319" s="1651"/>
      <c r="AT319" s="1651"/>
      <c r="AU319" s="1651"/>
      <c r="AV319" s="1651"/>
      <c r="AW319" s="1651"/>
      <c r="AX319" s="1651"/>
      <c r="AY319" s="1651"/>
      <c r="AZ319" s="1651"/>
    </row>
    <row r="320" spans="1:52" ht="15" customHeight="1" x14ac:dyDescent="0.25">
      <c r="A320" s="1517" t="s">
        <v>1215</v>
      </c>
      <c r="B320" s="1620" t="s">
        <v>1216</v>
      </c>
      <c r="C320" s="1517"/>
      <c r="D320" s="1545">
        <f t="shared" ref="D320:N320" si="67">SUM(D321:D328)</f>
        <v>0</v>
      </c>
      <c r="E320" s="1545">
        <f t="shared" si="67"/>
        <v>0</v>
      </c>
      <c r="F320" s="1545">
        <f t="shared" si="67"/>
        <v>0</v>
      </c>
      <c r="G320" s="1545">
        <f t="shared" si="67"/>
        <v>0</v>
      </c>
      <c r="H320" s="1545">
        <f t="shared" si="67"/>
        <v>58131</v>
      </c>
      <c r="I320" s="1545">
        <f t="shared" si="67"/>
        <v>58131</v>
      </c>
      <c r="J320" s="1545">
        <f t="shared" si="67"/>
        <v>0</v>
      </c>
      <c r="K320" s="1545">
        <f t="shared" si="67"/>
        <v>17425</v>
      </c>
      <c r="L320" s="1545">
        <f t="shared" si="67"/>
        <v>73189</v>
      </c>
      <c r="M320" s="1545">
        <f t="shared" si="67"/>
        <v>73189</v>
      </c>
      <c r="N320" s="1545">
        <f t="shared" si="67"/>
        <v>0</v>
      </c>
      <c r="O320" s="1545">
        <f>SUM(O321:O328)</f>
        <v>10836</v>
      </c>
      <c r="P320" s="1545">
        <f t="shared" ref="P320:S320" si="68">SUM(P321:P328)</f>
        <v>83144</v>
      </c>
      <c r="Q320" s="1545">
        <f t="shared" si="68"/>
        <v>83144</v>
      </c>
      <c r="R320" s="1545">
        <f t="shared" si="68"/>
        <v>0</v>
      </c>
      <c r="S320" s="1545">
        <f t="shared" si="68"/>
        <v>0</v>
      </c>
      <c r="T320" s="1516"/>
      <c r="U320" s="1516"/>
      <c r="V320" s="1545">
        <f>SUM(V321:V328)</f>
        <v>318578</v>
      </c>
      <c r="W320" s="1545">
        <f t="shared" ref="W320:AB320" si="69">SUM(W321:W328)</f>
        <v>318578</v>
      </c>
      <c r="X320" s="1545">
        <f t="shared" si="69"/>
        <v>0</v>
      </c>
      <c r="Y320" s="1545">
        <f t="shared" si="69"/>
        <v>35157</v>
      </c>
      <c r="Z320" s="1545">
        <f t="shared" si="69"/>
        <v>214464</v>
      </c>
      <c r="AA320" s="1545">
        <f t="shared" si="69"/>
        <v>214464</v>
      </c>
      <c r="AB320" s="1545">
        <f t="shared" si="69"/>
        <v>104114</v>
      </c>
      <c r="AC320" s="1545">
        <f>SUM(AC321:AC328)</f>
        <v>84147</v>
      </c>
      <c r="AD320" s="1545">
        <f>SUM(AD321:AD328)</f>
        <v>84147</v>
      </c>
      <c r="AE320" s="1545">
        <f t="shared" ref="AE320" si="70">SUM(AE321:AE328)</f>
        <v>0</v>
      </c>
      <c r="AF320" s="1545">
        <v>6896</v>
      </c>
      <c r="AG320" s="1545"/>
      <c r="AH320" s="1509"/>
      <c r="AI320" s="1509"/>
      <c r="AJ320" s="1564">
        <v>1</v>
      </c>
    </row>
    <row r="321" spans="1:38" ht="22.5" x14ac:dyDescent="0.2">
      <c r="A321" s="1509">
        <v>1</v>
      </c>
      <c r="B321" s="1621" t="s">
        <v>148</v>
      </c>
      <c r="C321" s="1622"/>
      <c r="D321" s="1623"/>
      <c r="E321" s="1623"/>
      <c r="F321" s="1623"/>
      <c r="G321" s="1623"/>
      <c r="H321" s="1622">
        <v>10549</v>
      </c>
      <c r="I321" s="1622">
        <v>10549</v>
      </c>
      <c r="J321" s="1544"/>
      <c r="K321" s="1555">
        <v>1528</v>
      </c>
      <c r="L321" s="1622">
        <f>16597-2056</f>
        <v>14541</v>
      </c>
      <c r="M321" s="1622">
        <f>16597-2056</f>
        <v>14541</v>
      </c>
      <c r="N321" s="1544"/>
      <c r="O321" s="1544">
        <v>3591</v>
      </c>
      <c r="P321" s="1555">
        <v>16181</v>
      </c>
      <c r="Q321" s="1555">
        <v>16181</v>
      </c>
      <c r="R321" s="1555"/>
      <c r="S321" s="1555"/>
      <c r="T321" s="1516"/>
      <c r="U321" s="1516"/>
      <c r="V321" s="1622">
        <v>57814</v>
      </c>
      <c r="W321" s="1622">
        <v>57814</v>
      </c>
      <c r="X321" s="1555"/>
      <c r="Y321" s="1555">
        <v>5119</v>
      </c>
      <c r="Z321" s="1516">
        <f>H321+L321+P321</f>
        <v>41271</v>
      </c>
      <c r="AA321" s="1516">
        <f t="shared" si="59"/>
        <v>41271</v>
      </c>
      <c r="AB321" s="1516">
        <f t="shared" si="64"/>
        <v>16543</v>
      </c>
      <c r="AC321" s="1555">
        <f>15385-630</f>
        <v>14755</v>
      </c>
      <c r="AD321" s="1555">
        <f>AC321</f>
        <v>14755</v>
      </c>
      <c r="AE321" s="1555"/>
      <c r="AF321" s="1516"/>
      <c r="AG321" s="1516"/>
      <c r="AH321" s="1509" t="s">
        <v>427</v>
      </c>
      <c r="AI321" s="1509"/>
    </row>
    <row r="322" spans="1:38" ht="26.25" customHeight="1" x14ac:dyDescent="0.2">
      <c r="A322" s="1509">
        <v>2</v>
      </c>
      <c r="B322" s="1621" t="s">
        <v>155</v>
      </c>
      <c r="C322" s="1622"/>
      <c r="D322" s="1623"/>
      <c r="E322" s="1623"/>
      <c r="F322" s="1623"/>
      <c r="G322" s="1623"/>
      <c r="H322" s="1622">
        <v>6570</v>
      </c>
      <c r="I322" s="1622">
        <v>6570</v>
      </c>
      <c r="J322" s="1544"/>
      <c r="K322" s="1555">
        <v>2394</v>
      </c>
      <c r="L322" s="1622">
        <f>10336-3131</f>
        <v>7205</v>
      </c>
      <c r="M322" s="1622">
        <f>10336-3131</f>
        <v>7205</v>
      </c>
      <c r="N322" s="1544"/>
      <c r="O322" s="1544">
        <v>2175</v>
      </c>
      <c r="P322" s="1555">
        <v>8224</v>
      </c>
      <c r="Q322" s="1555">
        <v>8224</v>
      </c>
      <c r="R322" s="1555"/>
      <c r="S322" s="1555"/>
      <c r="T322" s="1516"/>
      <c r="U322" s="1516"/>
      <c r="V322" s="1622">
        <v>36004</v>
      </c>
      <c r="W322" s="1622">
        <v>36004</v>
      </c>
      <c r="X322" s="1555"/>
      <c r="Y322" s="1555">
        <v>4569</v>
      </c>
      <c r="Z322" s="1516">
        <f t="shared" si="59"/>
        <v>21999</v>
      </c>
      <c r="AA322" s="1516">
        <f t="shared" si="59"/>
        <v>21999</v>
      </c>
      <c r="AB322" s="1516">
        <f t="shared" si="64"/>
        <v>14005</v>
      </c>
      <c r="AC322" s="1555">
        <v>9581</v>
      </c>
      <c r="AD322" s="1555">
        <f t="shared" ref="AD322:AD326" si="71">AC322</f>
        <v>9581</v>
      </c>
      <c r="AE322" s="1555"/>
      <c r="AF322" s="1516"/>
      <c r="AG322" s="1516"/>
      <c r="AH322" s="1509" t="s">
        <v>422</v>
      </c>
      <c r="AI322" s="1509"/>
    </row>
    <row r="323" spans="1:38" ht="18.75" customHeight="1" x14ac:dyDescent="0.2">
      <c r="A323" s="1509">
        <v>3</v>
      </c>
      <c r="B323" s="1621" t="s">
        <v>154</v>
      </c>
      <c r="C323" s="1622"/>
      <c r="D323" s="1623"/>
      <c r="E323" s="1623"/>
      <c r="F323" s="1623"/>
      <c r="G323" s="1623"/>
      <c r="H323" s="1622">
        <v>6289</v>
      </c>
      <c r="I323" s="1622">
        <v>6289</v>
      </c>
      <c r="J323" s="1544"/>
      <c r="K323" s="1555">
        <v>3900</v>
      </c>
      <c r="L323" s="1622">
        <v>9894</v>
      </c>
      <c r="M323" s="1622">
        <v>9894</v>
      </c>
      <c r="N323" s="1544"/>
      <c r="O323" s="1544">
        <v>0</v>
      </c>
      <c r="P323" s="1555">
        <v>10870</v>
      </c>
      <c r="Q323" s="1555">
        <v>10870</v>
      </c>
      <c r="R323" s="1555"/>
      <c r="S323" s="1555"/>
      <c r="T323" s="1516"/>
      <c r="U323" s="1516"/>
      <c r="V323" s="1622">
        <v>34464</v>
      </c>
      <c r="W323" s="1622">
        <v>34464</v>
      </c>
      <c r="X323" s="1555"/>
      <c r="Y323" s="1555">
        <v>3900</v>
      </c>
      <c r="Z323" s="1516">
        <f t="shared" si="59"/>
        <v>27053</v>
      </c>
      <c r="AA323" s="1516">
        <f t="shared" si="59"/>
        <v>27053</v>
      </c>
      <c r="AB323" s="1516">
        <f>W323-AA323</f>
        <v>7411</v>
      </c>
      <c r="AC323" s="1555">
        <v>7411</v>
      </c>
      <c r="AD323" s="1555">
        <v>7411</v>
      </c>
      <c r="AE323" s="1555"/>
      <c r="AF323" s="1516"/>
      <c r="AG323" s="1516"/>
      <c r="AH323" s="1509" t="s">
        <v>420</v>
      </c>
      <c r="AI323" s="1509"/>
    </row>
    <row r="324" spans="1:38" ht="25.5" customHeight="1" x14ac:dyDescent="0.2">
      <c r="A324" s="1509">
        <v>4</v>
      </c>
      <c r="B324" s="1621" t="s">
        <v>153</v>
      </c>
      <c r="C324" s="1622"/>
      <c r="D324" s="1623"/>
      <c r="E324" s="1623"/>
      <c r="F324" s="1623"/>
      <c r="G324" s="1623"/>
      <c r="H324" s="1622">
        <v>6172</v>
      </c>
      <c r="I324" s="1622">
        <v>6172</v>
      </c>
      <c r="J324" s="1544"/>
      <c r="K324" s="1555">
        <v>2673</v>
      </c>
      <c r="L324" s="1622">
        <f>9711-3238</f>
        <v>6473</v>
      </c>
      <c r="M324" s="1622">
        <f>9711-3238</f>
        <v>6473</v>
      </c>
      <c r="N324" s="1544"/>
      <c r="O324" s="1544">
        <v>3453</v>
      </c>
      <c r="P324" s="1555">
        <v>7431</v>
      </c>
      <c r="Q324" s="1555">
        <v>7431</v>
      </c>
      <c r="R324" s="1555"/>
      <c r="S324" s="1555"/>
      <c r="T324" s="1516"/>
      <c r="U324" s="1516"/>
      <c r="V324" s="1622">
        <v>33826</v>
      </c>
      <c r="W324" s="1622">
        <v>33826</v>
      </c>
      <c r="X324" s="1555"/>
      <c r="Y324" s="1555">
        <v>8966</v>
      </c>
      <c r="Z324" s="1516">
        <f t="shared" si="59"/>
        <v>20076</v>
      </c>
      <c r="AA324" s="1516">
        <f t="shared" si="59"/>
        <v>20076</v>
      </c>
      <c r="AB324" s="1516">
        <f t="shared" si="64"/>
        <v>13750</v>
      </c>
      <c r="AC324" s="1555">
        <v>9001</v>
      </c>
      <c r="AD324" s="1555">
        <f t="shared" si="71"/>
        <v>9001</v>
      </c>
      <c r="AE324" s="1555"/>
      <c r="AF324" s="1516"/>
      <c r="AG324" s="1516"/>
      <c r="AH324" s="1509" t="s">
        <v>423</v>
      </c>
      <c r="AI324" s="1509"/>
    </row>
    <row r="325" spans="1:38" ht="22.5" x14ac:dyDescent="0.2">
      <c r="A325" s="1509">
        <v>5</v>
      </c>
      <c r="B325" s="1621" t="s">
        <v>149</v>
      </c>
      <c r="C325" s="1622"/>
      <c r="D325" s="1623"/>
      <c r="E325" s="1623"/>
      <c r="F325" s="1623"/>
      <c r="G325" s="1623"/>
      <c r="H325" s="1622">
        <v>5622</v>
      </c>
      <c r="I325" s="1622">
        <v>5622</v>
      </c>
      <c r="J325" s="1544"/>
      <c r="K325" s="1555">
        <v>3392</v>
      </c>
      <c r="L325" s="1622">
        <f>8844-1835</f>
        <v>7009</v>
      </c>
      <c r="M325" s="1622">
        <f>8844-1835</f>
        <v>7009</v>
      </c>
      <c r="N325" s="1544"/>
      <c r="O325" s="1544">
        <v>0</v>
      </c>
      <c r="P325" s="1555">
        <v>7882</v>
      </c>
      <c r="Q325" s="1555">
        <v>7882</v>
      </c>
      <c r="R325" s="1555"/>
      <c r="S325" s="1555"/>
      <c r="T325" s="1516"/>
      <c r="U325" s="1516"/>
      <c r="V325" s="1622">
        <v>30809</v>
      </c>
      <c r="W325" s="1622">
        <v>30809</v>
      </c>
      <c r="X325" s="1555"/>
      <c r="Y325" s="1555">
        <v>5046</v>
      </c>
      <c r="Z325" s="1516">
        <f t="shared" si="59"/>
        <v>20513</v>
      </c>
      <c r="AA325" s="1516">
        <f t="shared" si="59"/>
        <v>20513</v>
      </c>
      <c r="AB325" s="1516">
        <f t="shared" si="64"/>
        <v>10296</v>
      </c>
      <c r="AC325" s="1555">
        <v>8199</v>
      </c>
      <c r="AD325" s="1555">
        <f t="shared" si="71"/>
        <v>8199</v>
      </c>
      <c r="AE325" s="1555"/>
      <c r="AF325" s="1516"/>
      <c r="AG325" s="1516"/>
      <c r="AH325" s="1527" t="s">
        <v>954</v>
      </c>
      <c r="AI325" s="1509"/>
    </row>
    <row r="326" spans="1:38" ht="22.5" x14ac:dyDescent="0.2">
      <c r="A326" s="1509">
        <v>6</v>
      </c>
      <c r="B326" s="1621" t="s">
        <v>151</v>
      </c>
      <c r="C326" s="1622"/>
      <c r="D326" s="1623"/>
      <c r="E326" s="1623"/>
      <c r="F326" s="1623"/>
      <c r="G326" s="1623"/>
      <c r="H326" s="1622">
        <v>9990</v>
      </c>
      <c r="I326" s="1622">
        <v>9990</v>
      </c>
      <c r="J326" s="1544"/>
      <c r="K326" s="1555">
        <v>1500</v>
      </c>
      <c r="L326" s="1622">
        <f>15717-2470</f>
        <v>13247</v>
      </c>
      <c r="M326" s="1622">
        <f>15717-2470</f>
        <v>13247</v>
      </c>
      <c r="N326" s="1544"/>
      <c r="O326" s="1544">
        <v>647</v>
      </c>
      <c r="P326" s="1555">
        <v>14797</v>
      </c>
      <c r="Q326" s="1555">
        <v>14797</v>
      </c>
      <c r="R326" s="1555"/>
      <c r="S326" s="1555"/>
      <c r="T326" s="1516"/>
      <c r="U326" s="1516"/>
      <c r="V326" s="1622">
        <v>54748</v>
      </c>
      <c r="W326" s="1622">
        <v>54748</v>
      </c>
      <c r="X326" s="1555"/>
      <c r="Y326" s="1555">
        <v>3328</v>
      </c>
      <c r="Z326" s="1516">
        <f t="shared" si="59"/>
        <v>38034</v>
      </c>
      <c r="AA326" s="1516">
        <f t="shared" si="59"/>
        <v>38034</v>
      </c>
      <c r="AB326" s="1516">
        <f t="shared" si="64"/>
        <v>16714</v>
      </c>
      <c r="AC326" s="1555">
        <v>14569</v>
      </c>
      <c r="AD326" s="1555">
        <f t="shared" si="71"/>
        <v>14569</v>
      </c>
      <c r="AE326" s="1555"/>
      <c r="AF326" s="1516"/>
      <c r="AG326" s="1516"/>
      <c r="AH326" s="1509" t="s">
        <v>426</v>
      </c>
      <c r="AI326" s="1509"/>
    </row>
    <row r="327" spans="1:38" ht="22.5" x14ac:dyDescent="0.2">
      <c r="A327" s="1509">
        <v>7</v>
      </c>
      <c r="B327" s="1621" t="s">
        <v>385</v>
      </c>
      <c r="C327" s="1624"/>
      <c r="D327" s="1623"/>
      <c r="E327" s="1623"/>
      <c r="F327" s="1623"/>
      <c r="G327" s="1623"/>
      <c r="H327" s="1622">
        <v>5844</v>
      </c>
      <c r="I327" s="1622">
        <v>5844</v>
      </c>
      <c r="J327" s="1544"/>
      <c r="K327" s="1555">
        <v>2038</v>
      </c>
      <c r="L327" s="1622">
        <v>9195</v>
      </c>
      <c r="M327" s="1622">
        <v>9195</v>
      </c>
      <c r="N327" s="1544"/>
      <c r="O327" s="1544">
        <v>970</v>
      </c>
      <c r="P327" s="1555">
        <v>10101</v>
      </c>
      <c r="Q327" s="1555">
        <v>10101</v>
      </c>
      <c r="R327" s="1555"/>
      <c r="S327" s="1555"/>
      <c r="T327" s="1516"/>
      <c r="U327" s="1516"/>
      <c r="V327" s="1622">
        <v>32027</v>
      </c>
      <c r="W327" s="1622">
        <v>32027</v>
      </c>
      <c r="X327" s="1555"/>
      <c r="Y327" s="1555">
        <v>3008</v>
      </c>
      <c r="Z327" s="1516">
        <f t="shared" si="59"/>
        <v>25140</v>
      </c>
      <c r="AA327" s="1516">
        <f t="shared" si="59"/>
        <v>25140</v>
      </c>
      <c r="AB327" s="1516">
        <f t="shared" si="64"/>
        <v>6887</v>
      </c>
      <c r="AC327" s="1555">
        <v>6887</v>
      </c>
      <c r="AD327" s="1555">
        <v>6887</v>
      </c>
      <c r="AE327" s="1555"/>
      <c r="AF327" s="1516"/>
      <c r="AG327" s="1516"/>
      <c r="AH327" s="1527" t="s">
        <v>425</v>
      </c>
      <c r="AI327" s="1509"/>
    </row>
    <row r="328" spans="1:38" ht="22.5" x14ac:dyDescent="0.2">
      <c r="A328" s="1509">
        <v>8</v>
      </c>
      <c r="B328" s="1621" t="s">
        <v>152</v>
      </c>
      <c r="C328" s="1624"/>
      <c r="D328" s="1623"/>
      <c r="E328" s="1623"/>
      <c r="F328" s="1623"/>
      <c r="G328" s="1623"/>
      <c r="H328" s="1622">
        <v>7095</v>
      </c>
      <c r="I328" s="1622">
        <v>7095</v>
      </c>
      <c r="J328" s="1544"/>
      <c r="K328" s="1555">
        <v>0</v>
      </c>
      <c r="L328" s="1622">
        <f>11163-5538</f>
        <v>5625</v>
      </c>
      <c r="M328" s="1622">
        <f>11163-5538</f>
        <v>5625</v>
      </c>
      <c r="N328" s="1544"/>
      <c r="O328" s="1544">
        <v>0</v>
      </c>
      <c r="P328" s="1555">
        <v>7658</v>
      </c>
      <c r="Q328" s="1555">
        <v>7658</v>
      </c>
      <c r="R328" s="1555"/>
      <c r="S328" s="1555"/>
      <c r="T328" s="1516"/>
      <c r="U328" s="1516"/>
      <c r="V328" s="1622">
        <v>38886</v>
      </c>
      <c r="W328" s="1622">
        <v>38886</v>
      </c>
      <c r="X328" s="1555"/>
      <c r="Y328" s="1555">
        <v>1221</v>
      </c>
      <c r="Z328" s="1516">
        <f t="shared" si="59"/>
        <v>20378</v>
      </c>
      <c r="AA328" s="1516">
        <f t="shared" si="59"/>
        <v>20378</v>
      </c>
      <c r="AB328" s="1516">
        <f t="shared" si="64"/>
        <v>18508</v>
      </c>
      <c r="AC328" s="1555">
        <v>13744</v>
      </c>
      <c r="AD328" s="1555">
        <v>13744</v>
      </c>
      <c r="AE328" s="1555"/>
      <c r="AF328" s="1516"/>
      <c r="AG328" s="1516"/>
      <c r="AH328" s="1527" t="s">
        <v>424</v>
      </c>
      <c r="AI328" s="1509"/>
    </row>
    <row r="329" spans="1:38" s="1519" customFormat="1" ht="34.5" customHeight="1" x14ac:dyDescent="0.15">
      <c r="A329" s="1625" t="s">
        <v>3</v>
      </c>
      <c r="B329" s="1626" t="s">
        <v>1882</v>
      </c>
      <c r="C329" s="1627"/>
      <c r="D329" s="1628"/>
      <c r="E329" s="1628"/>
      <c r="F329" s="1628"/>
      <c r="G329" s="1628"/>
      <c r="H329" s="1629"/>
      <c r="I329" s="1629"/>
      <c r="J329" s="1630"/>
      <c r="K329" s="1631"/>
      <c r="L329" s="1629"/>
      <c r="M329" s="1629"/>
      <c r="N329" s="1630"/>
      <c r="O329" s="1630"/>
      <c r="P329" s="1631"/>
      <c r="Q329" s="1631"/>
      <c r="R329" s="1631"/>
      <c r="S329" s="1631"/>
      <c r="T329" s="1579"/>
      <c r="U329" s="1579"/>
      <c r="V329" s="1629"/>
      <c r="W329" s="1629"/>
      <c r="X329" s="1631"/>
      <c r="Y329" s="1631"/>
      <c r="Z329" s="1579"/>
      <c r="AA329" s="1579"/>
      <c r="AB329" s="1579"/>
      <c r="AC329" s="1631">
        <f>SUM(AC330:AC337)</f>
        <v>50000</v>
      </c>
      <c r="AD329" s="1631">
        <f>SUM(AD330:AD337)</f>
        <v>50000</v>
      </c>
      <c r="AE329" s="1631"/>
      <c r="AF329" s="1579"/>
      <c r="AG329" s="1579"/>
      <c r="AH329" s="1579"/>
      <c r="AI329" s="1577"/>
      <c r="AJ329" s="1574"/>
      <c r="AK329" s="1668"/>
    </row>
    <row r="330" spans="1:38" ht="25.5" customHeight="1" x14ac:dyDescent="0.2">
      <c r="A330" s="1509">
        <v>1</v>
      </c>
      <c r="B330" s="1544" t="s">
        <v>1580</v>
      </c>
      <c r="C330" s="1624"/>
      <c r="D330" s="1623"/>
      <c r="E330" s="1623"/>
      <c r="F330" s="1623"/>
      <c r="G330" s="1623"/>
      <c r="H330" s="1622"/>
      <c r="I330" s="1622"/>
      <c r="J330" s="1544"/>
      <c r="K330" s="1555"/>
      <c r="L330" s="1622"/>
      <c r="M330" s="1622"/>
      <c r="N330" s="1544"/>
      <c r="O330" s="1544"/>
      <c r="P330" s="1555"/>
      <c r="Q330" s="1555"/>
      <c r="R330" s="1555"/>
      <c r="S330" s="1555"/>
      <c r="T330" s="1516"/>
      <c r="U330" s="1516"/>
      <c r="V330" s="1622"/>
      <c r="W330" s="1622"/>
      <c r="X330" s="1555"/>
      <c r="Y330" s="1555"/>
      <c r="Z330" s="1516"/>
      <c r="AA330" s="1516"/>
      <c r="AB330" s="1516"/>
      <c r="AC330" s="1555">
        <f>AD330</f>
        <v>3500</v>
      </c>
      <c r="AD330" s="1555">
        <v>3500</v>
      </c>
      <c r="AE330" s="1555"/>
      <c r="AF330" s="1516"/>
      <c r="AG330" s="1516"/>
      <c r="AH330" s="1664" t="s">
        <v>427</v>
      </c>
      <c r="AI330" s="1632"/>
      <c r="AJ330" s="1509"/>
      <c r="AK330" s="1633"/>
      <c r="AL330" s="1634"/>
    </row>
    <row r="331" spans="1:38" ht="47.25" customHeight="1" x14ac:dyDescent="0.2">
      <c r="A331" s="1509">
        <v>2</v>
      </c>
      <c r="B331" s="1544" t="s">
        <v>996</v>
      </c>
      <c r="C331" s="1624"/>
      <c r="D331" s="1623"/>
      <c r="E331" s="1623"/>
      <c r="F331" s="1623"/>
      <c r="G331" s="1623"/>
      <c r="H331" s="1622"/>
      <c r="I331" s="1622"/>
      <c r="J331" s="1544"/>
      <c r="K331" s="1555"/>
      <c r="L331" s="1622"/>
      <c r="M331" s="1622"/>
      <c r="N331" s="1544"/>
      <c r="O331" s="1544"/>
      <c r="P331" s="1555"/>
      <c r="Q331" s="1555"/>
      <c r="R331" s="1555"/>
      <c r="S331" s="1555"/>
      <c r="T331" s="1516"/>
      <c r="U331" s="1516"/>
      <c r="V331" s="1622"/>
      <c r="W331" s="1622"/>
      <c r="X331" s="1555"/>
      <c r="Y331" s="1555"/>
      <c r="Z331" s="1516"/>
      <c r="AA331" s="1516"/>
      <c r="AB331" s="1516"/>
      <c r="AC331" s="1555">
        <f t="shared" ref="AC331:AC337" si="72">AD331</f>
        <v>3500</v>
      </c>
      <c r="AD331" s="1555">
        <v>3500</v>
      </c>
      <c r="AE331" s="1555"/>
      <c r="AF331" s="1516"/>
      <c r="AG331" s="1516"/>
      <c r="AH331" s="1664" t="s">
        <v>432</v>
      </c>
      <c r="AI331" s="1632"/>
      <c r="AJ331" s="1509"/>
      <c r="AK331" s="1633"/>
      <c r="AL331" s="1634"/>
    </row>
    <row r="332" spans="1:38" ht="27.75" customHeight="1" x14ac:dyDescent="0.2">
      <c r="A332" s="1509">
        <v>3</v>
      </c>
      <c r="B332" s="1544" t="s">
        <v>1781</v>
      </c>
      <c r="C332" s="1624"/>
      <c r="D332" s="1623"/>
      <c r="E332" s="1623"/>
      <c r="F332" s="1623"/>
      <c r="G332" s="1623"/>
      <c r="H332" s="1622"/>
      <c r="I332" s="1622"/>
      <c r="J332" s="1544"/>
      <c r="K332" s="1555"/>
      <c r="L332" s="1622"/>
      <c r="M332" s="1622"/>
      <c r="N332" s="1544"/>
      <c r="O332" s="1544"/>
      <c r="P332" s="1555"/>
      <c r="Q332" s="1555"/>
      <c r="R332" s="1555"/>
      <c r="S332" s="1555"/>
      <c r="T332" s="1516"/>
      <c r="U332" s="1516"/>
      <c r="V332" s="1622"/>
      <c r="W332" s="1622"/>
      <c r="X332" s="1555"/>
      <c r="Y332" s="1555"/>
      <c r="Z332" s="1516"/>
      <c r="AA332" s="1516"/>
      <c r="AB332" s="1516"/>
      <c r="AC332" s="1555">
        <f t="shared" si="72"/>
        <v>8101</v>
      </c>
      <c r="AD332" s="1555">
        <v>8101</v>
      </c>
      <c r="AE332" s="1555"/>
      <c r="AF332" s="1516"/>
      <c r="AG332" s="1516"/>
      <c r="AH332" s="1664" t="s">
        <v>164</v>
      </c>
      <c r="AI332" s="1632"/>
      <c r="AJ332" s="1509"/>
      <c r="AK332" s="1633"/>
      <c r="AL332" s="1634"/>
    </row>
    <row r="333" spans="1:38" ht="56.25" x14ac:dyDescent="0.2">
      <c r="A333" s="1509">
        <v>4</v>
      </c>
      <c r="B333" s="1544" t="s">
        <v>1782</v>
      </c>
      <c r="C333" s="1624"/>
      <c r="D333" s="1623"/>
      <c r="E333" s="1623"/>
      <c r="F333" s="1623"/>
      <c r="G333" s="1623"/>
      <c r="H333" s="1622"/>
      <c r="I333" s="1622"/>
      <c r="J333" s="1544"/>
      <c r="K333" s="1555"/>
      <c r="L333" s="1622"/>
      <c r="M333" s="1622"/>
      <c r="N333" s="1544"/>
      <c r="O333" s="1544"/>
      <c r="P333" s="1555"/>
      <c r="Q333" s="1555"/>
      <c r="R333" s="1555"/>
      <c r="S333" s="1555"/>
      <c r="T333" s="1516"/>
      <c r="U333" s="1516"/>
      <c r="V333" s="1622"/>
      <c r="W333" s="1622"/>
      <c r="X333" s="1555"/>
      <c r="Y333" s="1555"/>
      <c r="Z333" s="1516"/>
      <c r="AA333" s="1516"/>
      <c r="AB333" s="1516"/>
      <c r="AC333" s="1555">
        <f t="shared" si="72"/>
        <v>5000</v>
      </c>
      <c r="AD333" s="1555">
        <v>5000</v>
      </c>
      <c r="AE333" s="1555"/>
      <c r="AF333" s="1516"/>
      <c r="AG333" s="1516"/>
      <c r="AH333" s="1664" t="s">
        <v>989</v>
      </c>
      <c r="AI333" s="1632"/>
      <c r="AJ333" s="1509"/>
      <c r="AK333" s="1633"/>
      <c r="AL333" s="1634"/>
    </row>
    <row r="334" spans="1:38" ht="56.25" x14ac:dyDescent="0.2">
      <c r="A334" s="1509">
        <v>5</v>
      </c>
      <c r="B334" s="1544" t="s">
        <v>1783</v>
      </c>
      <c r="C334" s="1624"/>
      <c r="D334" s="1623"/>
      <c r="E334" s="1623"/>
      <c r="F334" s="1623"/>
      <c r="G334" s="1623"/>
      <c r="H334" s="1622"/>
      <c r="I334" s="1622"/>
      <c r="J334" s="1544"/>
      <c r="K334" s="1555"/>
      <c r="L334" s="1622"/>
      <c r="M334" s="1622"/>
      <c r="N334" s="1544"/>
      <c r="O334" s="1544"/>
      <c r="P334" s="1555"/>
      <c r="Q334" s="1555"/>
      <c r="R334" s="1555"/>
      <c r="S334" s="1555"/>
      <c r="T334" s="1516"/>
      <c r="U334" s="1516"/>
      <c r="V334" s="1622"/>
      <c r="W334" s="1622"/>
      <c r="X334" s="1555"/>
      <c r="Y334" s="1555"/>
      <c r="Z334" s="1516"/>
      <c r="AA334" s="1516"/>
      <c r="AB334" s="1516"/>
      <c r="AC334" s="1555">
        <f t="shared" si="72"/>
        <v>8400</v>
      </c>
      <c r="AD334" s="1555">
        <v>8400</v>
      </c>
      <c r="AE334" s="1555"/>
      <c r="AF334" s="1516"/>
      <c r="AG334" s="1516"/>
      <c r="AH334" s="1664" t="s">
        <v>989</v>
      </c>
      <c r="AI334" s="1632"/>
      <c r="AJ334" s="1509"/>
      <c r="AK334" s="1633"/>
      <c r="AL334" s="1634"/>
    </row>
    <row r="335" spans="1:38" ht="29.25" customHeight="1" x14ac:dyDescent="0.2">
      <c r="A335" s="1509">
        <v>6</v>
      </c>
      <c r="B335" s="1544" t="s">
        <v>1784</v>
      </c>
      <c r="C335" s="1624"/>
      <c r="D335" s="1623"/>
      <c r="E335" s="1623"/>
      <c r="F335" s="1623"/>
      <c r="G335" s="1623"/>
      <c r="H335" s="1622"/>
      <c r="I335" s="1622"/>
      <c r="J335" s="1544"/>
      <c r="K335" s="1555"/>
      <c r="L335" s="1622"/>
      <c r="M335" s="1622"/>
      <c r="N335" s="1544"/>
      <c r="O335" s="1544"/>
      <c r="P335" s="1555"/>
      <c r="Q335" s="1555"/>
      <c r="R335" s="1555"/>
      <c r="S335" s="1555"/>
      <c r="T335" s="1516"/>
      <c r="U335" s="1516"/>
      <c r="V335" s="1622"/>
      <c r="W335" s="1622"/>
      <c r="X335" s="1555"/>
      <c r="Y335" s="1555"/>
      <c r="Z335" s="1516"/>
      <c r="AA335" s="1516"/>
      <c r="AB335" s="1516"/>
      <c r="AC335" s="1555">
        <f t="shared" si="72"/>
        <v>5976</v>
      </c>
      <c r="AD335" s="1555">
        <v>5976</v>
      </c>
      <c r="AE335" s="1555"/>
      <c r="AF335" s="1516"/>
      <c r="AG335" s="1516"/>
      <c r="AH335" s="1664" t="s">
        <v>419</v>
      </c>
      <c r="AI335" s="1632"/>
      <c r="AJ335" s="1509"/>
      <c r="AK335" s="1633"/>
      <c r="AL335" s="1634"/>
    </row>
    <row r="336" spans="1:38" ht="27.75" customHeight="1" x14ac:dyDescent="0.2">
      <c r="A336" s="1509">
        <v>7</v>
      </c>
      <c r="B336" s="1544" t="s">
        <v>1785</v>
      </c>
      <c r="C336" s="1624"/>
      <c r="D336" s="1623"/>
      <c r="E336" s="1623"/>
      <c r="F336" s="1623"/>
      <c r="G336" s="1623"/>
      <c r="H336" s="1622"/>
      <c r="I336" s="1622"/>
      <c r="J336" s="1544"/>
      <c r="K336" s="1555"/>
      <c r="L336" s="1622"/>
      <c r="M336" s="1622"/>
      <c r="N336" s="1544"/>
      <c r="O336" s="1544"/>
      <c r="P336" s="1555"/>
      <c r="Q336" s="1555"/>
      <c r="R336" s="1555"/>
      <c r="S336" s="1555"/>
      <c r="T336" s="1516"/>
      <c r="U336" s="1516"/>
      <c r="V336" s="1622"/>
      <c r="W336" s="1622"/>
      <c r="X336" s="1555"/>
      <c r="Y336" s="1555"/>
      <c r="Z336" s="1516"/>
      <c r="AA336" s="1516"/>
      <c r="AB336" s="1516"/>
      <c r="AC336" s="1555">
        <f t="shared" si="72"/>
        <v>3000</v>
      </c>
      <c r="AD336" s="1555">
        <v>3000</v>
      </c>
      <c r="AE336" s="1555"/>
      <c r="AF336" s="1516"/>
      <c r="AG336" s="1516"/>
      <c r="AH336" s="1664" t="s">
        <v>161</v>
      </c>
      <c r="AI336" s="1632"/>
      <c r="AJ336" s="1509"/>
      <c r="AK336" s="1564"/>
    </row>
    <row r="337" spans="1:37" ht="18" customHeight="1" x14ac:dyDescent="0.2">
      <c r="A337" s="1509">
        <v>8</v>
      </c>
      <c r="B337" s="1544" t="s">
        <v>1786</v>
      </c>
      <c r="C337" s="1624"/>
      <c r="D337" s="1623"/>
      <c r="E337" s="1623"/>
      <c r="F337" s="1623"/>
      <c r="G337" s="1623"/>
      <c r="H337" s="1622"/>
      <c r="I337" s="1622"/>
      <c r="J337" s="1544"/>
      <c r="K337" s="1555"/>
      <c r="L337" s="1622"/>
      <c r="M337" s="1622"/>
      <c r="N337" s="1544"/>
      <c r="O337" s="1544"/>
      <c r="P337" s="1555"/>
      <c r="Q337" s="1555"/>
      <c r="R337" s="1555"/>
      <c r="S337" s="1555"/>
      <c r="T337" s="1516"/>
      <c r="U337" s="1516"/>
      <c r="V337" s="1622"/>
      <c r="W337" s="1622"/>
      <c r="X337" s="1555"/>
      <c r="Y337" s="1555"/>
      <c r="Z337" s="1516"/>
      <c r="AA337" s="1516"/>
      <c r="AB337" s="1516"/>
      <c r="AC337" s="1555">
        <f t="shared" si="72"/>
        <v>12523</v>
      </c>
      <c r="AD337" s="1555">
        <v>12523</v>
      </c>
      <c r="AE337" s="1555"/>
      <c r="AF337" s="1516"/>
      <c r="AG337" s="1516"/>
      <c r="AH337" s="1527"/>
      <c r="AI337" s="1527"/>
      <c r="AJ337" s="1509"/>
      <c r="AK337" s="1564"/>
    </row>
    <row r="338" spans="1:37" s="1519" customFormat="1" ht="15" customHeight="1" x14ac:dyDescent="0.25">
      <c r="A338" s="1574" t="s">
        <v>4</v>
      </c>
      <c r="B338" s="1630" t="s">
        <v>1246</v>
      </c>
      <c r="C338" s="1630"/>
      <c r="D338" s="1630">
        <f>D339+D351+D354</f>
        <v>58347</v>
      </c>
      <c r="E338" s="1630">
        <f>E339+E351+E354</f>
        <v>39297</v>
      </c>
      <c r="F338" s="1630"/>
      <c r="G338" s="1630"/>
      <c r="H338" s="1630"/>
      <c r="I338" s="1630"/>
      <c r="J338" s="1630"/>
      <c r="K338" s="1630"/>
      <c r="L338" s="1630"/>
      <c r="M338" s="1630"/>
      <c r="N338" s="1630"/>
      <c r="O338" s="1630"/>
      <c r="P338" s="1630"/>
      <c r="Q338" s="1630"/>
      <c r="R338" s="1630"/>
      <c r="S338" s="1630"/>
      <c r="T338" s="1630"/>
      <c r="U338" s="1630"/>
      <c r="V338" s="1630"/>
      <c r="W338" s="1630"/>
      <c r="X338" s="1630"/>
      <c r="Y338" s="1630"/>
      <c r="Z338" s="1630"/>
      <c r="AA338" s="1630"/>
      <c r="AB338" s="1630"/>
      <c r="AC338" s="1630">
        <f>AD338</f>
        <v>15000</v>
      </c>
      <c r="AD338" s="1630">
        <f>AD339+AD351+AD354</f>
        <v>15000</v>
      </c>
      <c r="AE338" s="1630"/>
      <c r="AF338" s="1630"/>
      <c r="AG338" s="1630"/>
      <c r="AH338" s="1630"/>
      <c r="AI338" s="1630"/>
      <c r="AJ338" s="1574"/>
      <c r="AK338" s="1668"/>
    </row>
    <row r="339" spans="1:37" s="1519" customFormat="1" ht="17.25" customHeight="1" x14ac:dyDescent="0.25">
      <c r="A339" s="1574" t="s">
        <v>9</v>
      </c>
      <c r="B339" s="1630" t="s">
        <v>1247</v>
      </c>
      <c r="C339" s="1630"/>
      <c r="D339" s="1630">
        <f>D340+D342</f>
        <v>45755</v>
      </c>
      <c r="E339" s="1630">
        <f>E340+E342</f>
        <v>28713</v>
      </c>
      <c r="F339" s="1630"/>
      <c r="G339" s="1630"/>
      <c r="H339" s="1630"/>
      <c r="I339" s="1630"/>
      <c r="J339" s="1630"/>
      <c r="K339" s="1630"/>
      <c r="L339" s="1630"/>
      <c r="M339" s="1630"/>
      <c r="N339" s="1630"/>
      <c r="O339" s="1630"/>
      <c r="P339" s="1630"/>
      <c r="Q339" s="1630"/>
      <c r="R339" s="1630"/>
      <c r="S339" s="1630"/>
      <c r="T339" s="1630"/>
      <c r="U339" s="1630"/>
      <c r="V339" s="1630"/>
      <c r="W339" s="1630"/>
      <c r="X339" s="1630"/>
      <c r="Y339" s="1630"/>
      <c r="Z339" s="1630"/>
      <c r="AA339" s="1630"/>
      <c r="AB339" s="1630"/>
      <c r="AC339" s="1630">
        <f t="shared" ref="AC339:AC340" si="73">AD339</f>
        <v>12794</v>
      </c>
      <c r="AD339" s="1630">
        <f>AD340+AD342</f>
        <v>12794</v>
      </c>
      <c r="AE339" s="1630"/>
      <c r="AF339" s="1630"/>
      <c r="AG339" s="1630"/>
      <c r="AH339" s="1630"/>
      <c r="AI339" s="1630"/>
      <c r="AJ339" s="1574"/>
      <c r="AK339" s="1668"/>
    </row>
    <row r="340" spans="1:37" s="1519" customFormat="1" ht="15.75" customHeight="1" x14ac:dyDescent="0.25">
      <c r="A340" s="1691">
        <v>1</v>
      </c>
      <c r="B340" s="1692" t="s">
        <v>1248</v>
      </c>
      <c r="C340" s="1630"/>
      <c r="D340" s="1630">
        <f>SUM(D341:D341)</f>
        <v>5251</v>
      </c>
      <c r="E340" s="1630">
        <f>SUM(E341:E341)</f>
        <v>5251</v>
      </c>
      <c r="F340" s="1630"/>
      <c r="G340" s="1630"/>
      <c r="H340" s="1630"/>
      <c r="I340" s="1630"/>
      <c r="J340" s="1630"/>
      <c r="K340" s="1630"/>
      <c r="L340" s="1630"/>
      <c r="M340" s="1630"/>
      <c r="N340" s="1630"/>
      <c r="O340" s="1630"/>
      <c r="P340" s="1630"/>
      <c r="Q340" s="1630"/>
      <c r="R340" s="1630"/>
      <c r="S340" s="1630"/>
      <c r="T340" s="1630"/>
      <c r="U340" s="1630"/>
      <c r="V340" s="1630"/>
      <c r="W340" s="1630"/>
      <c r="X340" s="1630"/>
      <c r="Y340" s="1630"/>
      <c r="Z340" s="1630"/>
      <c r="AA340" s="1630"/>
      <c r="AB340" s="1630"/>
      <c r="AC340" s="1630">
        <f t="shared" si="73"/>
        <v>73</v>
      </c>
      <c r="AD340" s="1630">
        <f>SUM(AD341:AD341)</f>
        <v>73</v>
      </c>
      <c r="AE340" s="1630"/>
      <c r="AF340" s="1630"/>
      <c r="AG340" s="1630"/>
      <c r="AH340" s="1630"/>
      <c r="AI340" s="1630"/>
      <c r="AJ340" s="1574"/>
      <c r="AK340" s="1668"/>
    </row>
    <row r="341" spans="1:37" s="1519" customFormat="1" ht="22.5" x14ac:dyDescent="0.25">
      <c r="A341" s="1693"/>
      <c r="B341" s="1694" t="s">
        <v>1949</v>
      </c>
      <c r="C341" s="1695" t="s">
        <v>2321</v>
      </c>
      <c r="D341" s="1696">
        <v>5251</v>
      </c>
      <c r="E341" s="1697">
        <f>D341</f>
        <v>5251</v>
      </c>
      <c r="F341" s="1630"/>
      <c r="G341" s="1630"/>
      <c r="H341" s="1630"/>
      <c r="I341" s="1630"/>
      <c r="J341" s="1630"/>
      <c r="K341" s="1630"/>
      <c r="L341" s="1630"/>
      <c r="M341" s="1630"/>
      <c r="N341" s="1630"/>
      <c r="O341" s="1630"/>
      <c r="P341" s="1630"/>
      <c r="Q341" s="1630"/>
      <c r="R341" s="1630"/>
      <c r="S341" s="1630"/>
      <c r="T341" s="1630"/>
      <c r="U341" s="1630"/>
      <c r="V341" s="1630"/>
      <c r="W341" s="1630"/>
      <c r="X341" s="1630"/>
      <c r="Y341" s="1630"/>
      <c r="Z341" s="1630"/>
      <c r="AA341" s="1630"/>
      <c r="AB341" s="1630"/>
      <c r="AC341" s="1630">
        <f>AD341</f>
        <v>73</v>
      </c>
      <c r="AD341" s="1698">
        <v>73</v>
      </c>
      <c r="AE341" s="1630"/>
      <c r="AF341" s="1630"/>
      <c r="AG341" s="1630"/>
      <c r="AH341" s="1699" t="s">
        <v>425</v>
      </c>
      <c r="AI341" s="1630"/>
      <c r="AJ341" s="1574"/>
      <c r="AK341" s="1668"/>
    </row>
    <row r="342" spans="1:37" s="1519" customFormat="1" ht="10.5" x14ac:dyDescent="0.25">
      <c r="A342" s="1691">
        <v>2</v>
      </c>
      <c r="B342" s="1692" t="s">
        <v>956</v>
      </c>
      <c r="C342" s="1630"/>
      <c r="D342" s="1630">
        <f>SUM(D343:D350)</f>
        <v>40504</v>
      </c>
      <c r="E342" s="1630">
        <f>SUM(E343:E350)</f>
        <v>23462</v>
      </c>
      <c r="F342" s="1630"/>
      <c r="G342" s="1630"/>
      <c r="H342" s="1630"/>
      <c r="I342" s="1630"/>
      <c r="J342" s="1630"/>
      <c r="K342" s="1630"/>
      <c r="L342" s="1630"/>
      <c r="M342" s="1630"/>
      <c r="N342" s="1630"/>
      <c r="O342" s="1630"/>
      <c r="P342" s="1630"/>
      <c r="Q342" s="1630"/>
      <c r="R342" s="1630"/>
      <c r="S342" s="1630"/>
      <c r="T342" s="1630"/>
      <c r="U342" s="1630"/>
      <c r="V342" s="1630"/>
      <c r="W342" s="1630"/>
      <c r="X342" s="1630"/>
      <c r="Y342" s="1630"/>
      <c r="Z342" s="1630"/>
      <c r="AA342" s="1630"/>
      <c r="AB342" s="1630"/>
      <c r="AC342" s="1630">
        <f>AD342</f>
        <v>12721</v>
      </c>
      <c r="AD342" s="1630">
        <f>SUM(AD343:AD350)</f>
        <v>12721</v>
      </c>
      <c r="AE342" s="1630"/>
      <c r="AF342" s="1630"/>
      <c r="AG342" s="1630"/>
      <c r="AH342" s="1630"/>
      <c r="AI342" s="1630"/>
      <c r="AJ342" s="1574"/>
      <c r="AK342" s="1668"/>
    </row>
    <row r="343" spans="1:37" s="1519" customFormat="1" ht="22.5" x14ac:dyDescent="0.25">
      <c r="A343" s="1693" t="s">
        <v>947</v>
      </c>
      <c r="B343" s="1700" t="s">
        <v>963</v>
      </c>
      <c r="C343" s="1695" t="s">
        <v>1883</v>
      </c>
      <c r="D343" s="1701">
        <v>7021</v>
      </c>
      <c r="E343" s="1701">
        <v>4300</v>
      </c>
      <c r="F343" s="1630"/>
      <c r="G343" s="1630"/>
      <c r="H343" s="1630"/>
      <c r="I343" s="1630"/>
      <c r="J343" s="1630"/>
      <c r="K343" s="1630"/>
      <c r="L343" s="1630"/>
      <c r="M343" s="1630"/>
      <c r="N343" s="1630"/>
      <c r="O343" s="1630"/>
      <c r="P343" s="1630"/>
      <c r="Q343" s="1630"/>
      <c r="R343" s="1630"/>
      <c r="S343" s="1630"/>
      <c r="T343" s="1630"/>
      <c r="U343" s="1630"/>
      <c r="V343" s="1630"/>
      <c r="W343" s="1630"/>
      <c r="X343" s="1630"/>
      <c r="Y343" s="1630"/>
      <c r="Z343" s="1630"/>
      <c r="AA343" s="1630"/>
      <c r="AB343" s="1630"/>
      <c r="AC343" s="1544">
        <f>AD343</f>
        <v>2081</v>
      </c>
      <c r="AD343" s="1702">
        <f>2154-73</f>
        <v>2081</v>
      </c>
      <c r="AE343" s="1630"/>
      <c r="AF343" s="1630"/>
      <c r="AG343" s="1630"/>
      <c r="AH343" s="1699" t="s">
        <v>420</v>
      </c>
      <c r="AI343" s="1630"/>
      <c r="AJ343" s="1574"/>
      <c r="AK343" s="1668"/>
    </row>
    <row r="344" spans="1:37" s="1519" customFormat="1" ht="22.5" x14ac:dyDescent="0.25">
      <c r="A344" s="1703" t="s">
        <v>948</v>
      </c>
      <c r="B344" s="1704" t="s">
        <v>966</v>
      </c>
      <c r="C344" s="1705" t="s">
        <v>1884</v>
      </c>
      <c r="D344" s="1706">
        <v>4985</v>
      </c>
      <c r="E344" s="1706">
        <v>4985</v>
      </c>
      <c r="F344" s="1630"/>
      <c r="G344" s="1630"/>
      <c r="H344" s="1630"/>
      <c r="I344" s="1630"/>
      <c r="J344" s="1630"/>
      <c r="K344" s="1630"/>
      <c r="L344" s="1630"/>
      <c r="M344" s="1630"/>
      <c r="N344" s="1630"/>
      <c r="O344" s="1630"/>
      <c r="P344" s="1630"/>
      <c r="Q344" s="1630"/>
      <c r="R344" s="1630"/>
      <c r="S344" s="1630"/>
      <c r="T344" s="1630"/>
      <c r="U344" s="1630"/>
      <c r="V344" s="1630"/>
      <c r="W344" s="1630"/>
      <c r="X344" s="1630"/>
      <c r="Y344" s="1630"/>
      <c r="Z344" s="1630"/>
      <c r="AA344" s="1630"/>
      <c r="AB344" s="1630"/>
      <c r="AC344" s="1544">
        <f t="shared" ref="AC344:AC362" si="74">AD344</f>
        <v>648</v>
      </c>
      <c r="AD344" s="1706">
        <v>648</v>
      </c>
      <c r="AE344" s="1630"/>
      <c r="AF344" s="1630"/>
      <c r="AG344" s="1630"/>
      <c r="AH344" s="1699" t="s">
        <v>426</v>
      </c>
      <c r="AI344" s="1630"/>
      <c r="AJ344" s="1574"/>
      <c r="AK344" s="1668"/>
    </row>
    <row r="345" spans="1:37" s="1519" customFormat="1" ht="22.5" x14ac:dyDescent="0.25">
      <c r="A345" s="1693" t="s">
        <v>949</v>
      </c>
      <c r="B345" s="1707" t="s">
        <v>967</v>
      </c>
      <c r="C345" s="1705" t="s">
        <v>1885</v>
      </c>
      <c r="D345" s="1708">
        <v>8200</v>
      </c>
      <c r="E345" s="1709">
        <v>3200</v>
      </c>
      <c r="F345" s="1630"/>
      <c r="G345" s="1630"/>
      <c r="H345" s="1630"/>
      <c r="I345" s="1630"/>
      <c r="J345" s="1630"/>
      <c r="K345" s="1630"/>
      <c r="L345" s="1630"/>
      <c r="M345" s="1630"/>
      <c r="N345" s="1630"/>
      <c r="O345" s="1630"/>
      <c r="P345" s="1630"/>
      <c r="Q345" s="1630"/>
      <c r="R345" s="1630"/>
      <c r="S345" s="1630"/>
      <c r="T345" s="1630"/>
      <c r="U345" s="1630"/>
      <c r="V345" s="1630"/>
      <c r="W345" s="1630"/>
      <c r="X345" s="1630"/>
      <c r="Y345" s="1630"/>
      <c r="Z345" s="1630"/>
      <c r="AA345" s="1630"/>
      <c r="AB345" s="1630"/>
      <c r="AC345" s="1544">
        <f t="shared" si="74"/>
        <v>2300</v>
      </c>
      <c r="AD345" s="1710">
        <v>2300</v>
      </c>
      <c r="AE345" s="1630"/>
      <c r="AF345" s="1630"/>
      <c r="AG345" s="1630"/>
      <c r="AH345" s="1699" t="s">
        <v>426</v>
      </c>
      <c r="AI345" s="1630"/>
      <c r="AJ345" s="1574"/>
      <c r="AK345" s="1668"/>
    </row>
    <row r="346" spans="1:37" s="1519" customFormat="1" ht="22.5" x14ac:dyDescent="0.25">
      <c r="A346" s="1703" t="s">
        <v>950</v>
      </c>
      <c r="B346" s="1711" t="s">
        <v>971</v>
      </c>
      <c r="C346" s="1705" t="s">
        <v>1886</v>
      </c>
      <c r="D346" s="1708">
        <v>1446</v>
      </c>
      <c r="E346" s="1709">
        <v>1367</v>
      </c>
      <c r="F346" s="1630"/>
      <c r="G346" s="1630"/>
      <c r="H346" s="1630"/>
      <c r="I346" s="1630"/>
      <c r="J346" s="1630"/>
      <c r="K346" s="1630"/>
      <c r="L346" s="1630"/>
      <c r="M346" s="1630"/>
      <c r="N346" s="1630"/>
      <c r="O346" s="1630"/>
      <c r="P346" s="1630"/>
      <c r="Q346" s="1630"/>
      <c r="R346" s="1630"/>
      <c r="S346" s="1630"/>
      <c r="T346" s="1630"/>
      <c r="U346" s="1630"/>
      <c r="V346" s="1630"/>
      <c r="W346" s="1630"/>
      <c r="X346" s="1630"/>
      <c r="Y346" s="1630"/>
      <c r="Z346" s="1630"/>
      <c r="AA346" s="1630"/>
      <c r="AB346" s="1630"/>
      <c r="AC346" s="1544">
        <f t="shared" si="74"/>
        <v>867</v>
      </c>
      <c r="AD346" s="1706">
        <v>867</v>
      </c>
      <c r="AE346" s="1630"/>
      <c r="AF346" s="1630"/>
      <c r="AG346" s="1630"/>
      <c r="AH346" s="1699" t="s">
        <v>424</v>
      </c>
      <c r="AI346" s="1630"/>
      <c r="AJ346" s="1574"/>
      <c r="AK346" s="1668"/>
    </row>
    <row r="347" spans="1:37" s="1519" customFormat="1" ht="22.5" x14ac:dyDescent="0.25">
      <c r="A347" s="1693" t="s">
        <v>951</v>
      </c>
      <c r="B347" s="1712" t="s">
        <v>1665</v>
      </c>
      <c r="C347" s="1713" t="s">
        <v>1887</v>
      </c>
      <c r="D347" s="1708">
        <v>1836</v>
      </c>
      <c r="E347" s="1709">
        <v>1800</v>
      </c>
      <c r="F347" s="1630"/>
      <c r="G347" s="1630"/>
      <c r="H347" s="1630"/>
      <c r="I347" s="1630"/>
      <c r="J347" s="1630"/>
      <c r="K347" s="1630"/>
      <c r="L347" s="1630"/>
      <c r="M347" s="1630"/>
      <c r="N347" s="1630"/>
      <c r="O347" s="1630"/>
      <c r="P347" s="1630"/>
      <c r="Q347" s="1630"/>
      <c r="R347" s="1630"/>
      <c r="S347" s="1630"/>
      <c r="T347" s="1630"/>
      <c r="U347" s="1630"/>
      <c r="V347" s="1630"/>
      <c r="W347" s="1630"/>
      <c r="X347" s="1630"/>
      <c r="Y347" s="1630"/>
      <c r="Z347" s="1630"/>
      <c r="AA347" s="1630"/>
      <c r="AB347" s="1630"/>
      <c r="AC347" s="1544">
        <f t="shared" si="74"/>
        <v>1260</v>
      </c>
      <c r="AD347" s="1710">
        <v>1260</v>
      </c>
      <c r="AE347" s="1630"/>
      <c r="AF347" s="1630"/>
      <c r="AG347" s="1630"/>
      <c r="AH347" s="1699" t="s">
        <v>423</v>
      </c>
      <c r="AI347" s="1630"/>
      <c r="AJ347" s="1574"/>
      <c r="AK347" s="1668"/>
    </row>
    <row r="348" spans="1:37" s="1519" customFormat="1" ht="22.5" x14ac:dyDescent="0.25">
      <c r="A348" s="1703" t="s">
        <v>2322</v>
      </c>
      <c r="B348" s="1714" t="s">
        <v>972</v>
      </c>
      <c r="C348" s="1705" t="s">
        <v>1888</v>
      </c>
      <c r="D348" s="1708">
        <v>1800</v>
      </c>
      <c r="E348" s="1709">
        <v>1100</v>
      </c>
      <c r="F348" s="1630"/>
      <c r="G348" s="1630"/>
      <c r="H348" s="1630"/>
      <c r="I348" s="1630"/>
      <c r="J348" s="1630"/>
      <c r="K348" s="1630"/>
      <c r="L348" s="1630"/>
      <c r="M348" s="1630"/>
      <c r="N348" s="1630"/>
      <c r="O348" s="1630"/>
      <c r="P348" s="1630"/>
      <c r="Q348" s="1630"/>
      <c r="R348" s="1630"/>
      <c r="S348" s="1630"/>
      <c r="T348" s="1630"/>
      <c r="U348" s="1630"/>
      <c r="V348" s="1630"/>
      <c r="W348" s="1630"/>
      <c r="X348" s="1630"/>
      <c r="Y348" s="1630"/>
      <c r="Z348" s="1630"/>
      <c r="AA348" s="1630"/>
      <c r="AB348" s="1630"/>
      <c r="AC348" s="1544">
        <f t="shared" si="74"/>
        <v>600</v>
      </c>
      <c r="AD348" s="1706">
        <v>600</v>
      </c>
      <c r="AE348" s="1630"/>
      <c r="AF348" s="1630"/>
      <c r="AG348" s="1630"/>
      <c r="AH348" s="1699" t="s">
        <v>423</v>
      </c>
      <c r="AI348" s="1630"/>
      <c r="AJ348" s="1574"/>
      <c r="AK348" s="1668"/>
    </row>
    <row r="349" spans="1:37" s="1519" customFormat="1" ht="22.5" x14ac:dyDescent="0.25">
      <c r="A349" s="1693" t="s">
        <v>2323</v>
      </c>
      <c r="B349" s="1712" t="s">
        <v>1654</v>
      </c>
      <c r="C349" s="1705" t="s">
        <v>1889</v>
      </c>
      <c r="D349" s="1696">
        <v>1900</v>
      </c>
      <c r="E349" s="1697">
        <v>1710</v>
      </c>
      <c r="F349" s="1630"/>
      <c r="G349" s="1630"/>
      <c r="H349" s="1630"/>
      <c r="I349" s="1630"/>
      <c r="J349" s="1630"/>
      <c r="K349" s="1630"/>
      <c r="L349" s="1630"/>
      <c r="M349" s="1630"/>
      <c r="N349" s="1630"/>
      <c r="O349" s="1630"/>
      <c r="P349" s="1630"/>
      <c r="Q349" s="1630"/>
      <c r="R349" s="1630"/>
      <c r="S349" s="1630"/>
      <c r="T349" s="1630"/>
      <c r="U349" s="1630"/>
      <c r="V349" s="1630"/>
      <c r="W349" s="1630"/>
      <c r="X349" s="1630"/>
      <c r="Y349" s="1630"/>
      <c r="Z349" s="1630"/>
      <c r="AA349" s="1630"/>
      <c r="AB349" s="1630"/>
      <c r="AC349" s="1544">
        <f t="shared" si="74"/>
        <v>1200</v>
      </c>
      <c r="AD349" s="1706">
        <v>1200</v>
      </c>
      <c r="AE349" s="1630"/>
      <c r="AF349" s="1630"/>
      <c r="AG349" s="1630"/>
      <c r="AH349" s="1699" t="s">
        <v>421</v>
      </c>
      <c r="AI349" s="1630"/>
      <c r="AJ349" s="1574"/>
      <c r="AK349" s="1668"/>
    </row>
    <row r="350" spans="1:37" s="1519" customFormat="1" ht="22.5" x14ac:dyDescent="0.25">
      <c r="A350" s="1703" t="s">
        <v>2324</v>
      </c>
      <c r="B350" s="1714" t="s">
        <v>981</v>
      </c>
      <c r="C350" s="1695" t="s">
        <v>982</v>
      </c>
      <c r="D350" s="1696">
        <v>13316</v>
      </c>
      <c r="E350" s="1697">
        <v>5000</v>
      </c>
      <c r="F350" s="1630"/>
      <c r="G350" s="1630"/>
      <c r="H350" s="1630"/>
      <c r="I350" s="1630"/>
      <c r="J350" s="1630"/>
      <c r="K350" s="1630"/>
      <c r="L350" s="1630"/>
      <c r="M350" s="1630"/>
      <c r="N350" s="1630"/>
      <c r="O350" s="1630"/>
      <c r="P350" s="1630"/>
      <c r="Q350" s="1630"/>
      <c r="R350" s="1630"/>
      <c r="S350" s="1630"/>
      <c r="T350" s="1630"/>
      <c r="U350" s="1630"/>
      <c r="V350" s="1630"/>
      <c r="W350" s="1630"/>
      <c r="X350" s="1630"/>
      <c r="Y350" s="1630"/>
      <c r="Z350" s="1630"/>
      <c r="AA350" s="1630"/>
      <c r="AB350" s="1630"/>
      <c r="AC350" s="1544">
        <f t="shared" si="74"/>
        <v>3765</v>
      </c>
      <c r="AD350" s="1710">
        <v>3765</v>
      </c>
      <c r="AE350" s="1630"/>
      <c r="AF350" s="1630"/>
      <c r="AG350" s="1630"/>
      <c r="AH350" s="1715" t="s">
        <v>980</v>
      </c>
      <c r="AI350" s="1630"/>
      <c r="AJ350" s="1574"/>
      <c r="AK350" s="1668"/>
    </row>
    <row r="351" spans="1:37" s="1519" customFormat="1" ht="12.75" customHeight="1" x14ac:dyDescent="0.25">
      <c r="A351" s="1574" t="s">
        <v>11</v>
      </c>
      <c r="B351" s="1716" t="s">
        <v>1249</v>
      </c>
      <c r="C351" s="1630"/>
      <c r="D351" s="1630">
        <f>D352</f>
        <v>5197</v>
      </c>
      <c r="E351" s="1630">
        <f>E352</f>
        <v>4300</v>
      </c>
      <c r="F351" s="1630"/>
      <c r="G351" s="1630"/>
      <c r="H351" s="1630"/>
      <c r="I351" s="1630"/>
      <c r="J351" s="1630"/>
      <c r="K351" s="1630"/>
      <c r="L351" s="1630"/>
      <c r="M351" s="1630"/>
      <c r="N351" s="1630"/>
      <c r="O351" s="1630"/>
      <c r="P351" s="1630"/>
      <c r="Q351" s="1630"/>
      <c r="R351" s="1630"/>
      <c r="S351" s="1630"/>
      <c r="T351" s="1630"/>
      <c r="U351" s="1630"/>
      <c r="V351" s="1630"/>
      <c r="W351" s="1630"/>
      <c r="X351" s="1630"/>
      <c r="Y351" s="1630"/>
      <c r="Z351" s="1630"/>
      <c r="AA351" s="1630"/>
      <c r="AB351" s="1630"/>
      <c r="AC351" s="1630">
        <f t="shared" si="74"/>
        <v>100</v>
      </c>
      <c r="AD351" s="1630">
        <f>AD352</f>
        <v>100</v>
      </c>
      <c r="AE351" s="1630"/>
      <c r="AF351" s="1630"/>
      <c r="AG351" s="1630"/>
      <c r="AH351" s="1630"/>
      <c r="AI351" s="1630"/>
      <c r="AJ351" s="1574"/>
      <c r="AK351" s="1668"/>
    </row>
    <row r="352" spans="1:37" s="1519" customFormat="1" ht="13.5" customHeight="1" x14ac:dyDescent="0.25">
      <c r="A352" s="1574"/>
      <c r="B352" s="1717" t="s">
        <v>956</v>
      </c>
      <c r="C352" s="1717"/>
      <c r="D352" s="1630">
        <f>SUM(D353:D353)</f>
        <v>5197</v>
      </c>
      <c r="E352" s="1630">
        <f>SUM(E353:E353)</f>
        <v>4300</v>
      </c>
      <c r="F352" s="1630"/>
      <c r="G352" s="1630"/>
      <c r="H352" s="1630"/>
      <c r="I352" s="1630"/>
      <c r="J352" s="1630"/>
      <c r="K352" s="1630"/>
      <c r="L352" s="1630"/>
      <c r="M352" s="1630"/>
      <c r="N352" s="1630"/>
      <c r="O352" s="1630"/>
      <c r="P352" s="1630"/>
      <c r="Q352" s="1630"/>
      <c r="R352" s="1630"/>
      <c r="S352" s="1630"/>
      <c r="T352" s="1630"/>
      <c r="U352" s="1630"/>
      <c r="V352" s="1630"/>
      <c r="W352" s="1630"/>
      <c r="X352" s="1630"/>
      <c r="Y352" s="1630"/>
      <c r="Z352" s="1630"/>
      <c r="AA352" s="1630"/>
      <c r="AB352" s="1630"/>
      <c r="AC352" s="1630">
        <f t="shared" si="74"/>
        <v>100</v>
      </c>
      <c r="AD352" s="1630">
        <f>SUM(AD353:AD353)</f>
        <v>100</v>
      </c>
      <c r="AE352" s="1630"/>
      <c r="AF352" s="1630"/>
      <c r="AG352" s="1630"/>
      <c r="AH352" s="1630"/>
      <c r="AI352" s="1630"/>
      <c r="AJ352" s="1574"/>
      <c r="AK352" s="1668"/>
    </row>
    <row r="353" spans="1:37" s="1519" customFormat="1" ht="22.5" x14ac:dyDescent="0.25">
      <c r="A353" s="1574"/>
      <c r="B353" s="1718" t="s">
        <v>1250</v>
      </c>
      <c r="C353" s="1719" t="s">
        <v>1032</v>
      </c>
      <c r="D353" s="1720">
        <v>5197</v>
      </c>
      <c r="E353" s="1720">
        <v>4300</v>
      </c>
      <c r="F353" s="1630"/>
      <c r="G353" s="1630"/>
      <c r="H353" s="1630"/>
      <c r="I353" s="1630"/>
      <c r="J353" s="1630"/>
      <c r="K353" s="1630"/>
      <c r="L353" s="1630"/>
      <c r="M353" s="1630"/>
      <c r="N353" s="1630"/>
      <c r="O353" s="1630"/>
      <c r="P353" s="1630"/>
      <c r="Q353" s="1630"/>
      <c r="R353" s="1630"/>
      <c r="S353" s="1630"/>
      <c r="T353" s="1630"/>
      <c r="U353" s="1630"/>
      <c r="V353" s="1630"/>
      <c r="W353" s="1630"/>
      <c r="X353" s="1630"/>
      <c r="Y353" s="1630"/>
      <c r="Z353" s="1630"/>
      <c r="AA353" s="1630"/>
      <c r="AB353" s="1630"/>
      <c r="AC353" s="1544">
        <f t="shared" si="74"/>
        <v>100</v>
      </c>
      <c r="AD353" s="1720">
        <v>100</v>
      </c>
      <c r="AE353" s="1630"/>
      <c r="AF353" s="1630"/>
      <c r="AG353" s="1630"/>
      <c r="AH353" s="1721" t="s">
        <v>421</v>
      </c>
      <c r="AI353" s="1630"/>
      <c r="AJ353" s="1574"/>
      <c r="AK353" s="1668"/>
    </row>
    <row r="354" spans="1:37" s="1519" customFormat="1" ht="10.5" x14ac:dyDescent="0.25">
      <c r="A354" s="1722" t="s">
        <v>14</v>
      </c>
      <c r="B354" s="1716" t="s">
        <v>1251</v>
      </c>
      <c r="C354" s="1630"/>
      <c r="D354" s="1723">
        <f>D355</f>
        <v>7395</v>
      </c>
      <c r="E354" s="1723">
        <f>E355</f>
        <v>6284</v>
      </c>
      <c r="F354" s="1630"/>
      <c r="G354" s="1630"/>
      <c r="H354" s="1630"/>
      <c r="I354" s="1630"/>
      <c r="J354" s="1630"/>
      <c r="K354" s="1630"/>
      <c r="L354" s="1630"/>
      <c r="M354" s="1630"/>
      <c r="N354" s="1630"/>
      <c r="O354" s="1630"/>
      <c r="P354" s="1630"/>
      <c r="Q354" s="1630"/>
      <c r="R354" s="1630"/>
      <c r="S354" s="1630"/>
      <c r="T354" s="1630"/>
      <c r="U354" s="1630"/>
      <c r="V354" s="1630"/>
      <c r="W354" s="1630"/>
      <c r="X354" s="1630"/>
      <c r="Y354" s="1630"/>
      <c r="Z354" s="1630"/>
      <c r="AA354" s="1630"/>
      <c r="AB354" s="1630"/>
      <c r="AC354" s="1630">
        <f t="shared" si="74"/>
        <v>2106</v>
      </c>
      <c r="AD354" s="1630">
        <f>AD355</f>
        <v>2106</v>
      </c>
      <c r="AE354" s="1630"/>
      <c r="AF354" s="1630"/>
      <c r="AG354" s="1630"/>
      <c r="AH354" s="1630"/>
      <c r="AI354" s="1630"/>
      <c r="AJ354" s="1574"/>
      <c r="AK354" s="1668"/>
    </row>
    <row r="355" spans="1:37" s="1519" customFormat="1" ht="10.5" x14ac:dyDescent="0.25">
      <c r="A355" s="1724"/>
      <c r="B355" s="1725" t="s">
        <v>956</v>
      </c>
      <c r="C355" s="1726"/>
      <c r="D355" s="1727">
        <f>SUM(D356:D362)</f>
        <v>7395</v>
      </c>
      <c r="E355" s="1728">
        <f>SUM(E356:E362)</f>
        <v>6284</v>
      </c>
      <c r="F355" s="1630"/>
      <c r="G355" s="1630"/>
      <c r="H355" s="1630"/>
      <c r="I355" s="1630"/>
      <c r="J355" s="1630"/>
      <c r="K355" s="1630"/>
      <c r="L355" s="1630"/>
      <c r="M355" s="1630"/>
      <c r="N355" s="1630"/>
      <c r="O355" s="1630"/>
      <c r="P355" s="1630"/>
      <c r="Q355" s="1630"/>
      <c r="R355" s="1630"/>
      <c r="S355" s="1630"/>
      <c r="T355" s="1630"/>
      <c r="U355" s="1630"/>
      <c r="V355" s="1630"/>
      <c r="W355" s="1630"/>
      <c r="X355" s="1630"/>
      <c r="Y355" s="1630"/>
      <c r="Z355" s="1630"/>
      <c r="AA355" s="1630"/>
      <c r="AB355" s="1630"/>
      <c r="AC355" s="1630">
        <f t="shared" si="74"/>
        <v>2106</v>
      </c>
      <c r="AD355" s="1630">
        <f>SUM(AD356:AD362)</f>
        <v>2106</v>
      </c>
      <c r="AE355" s="1630"/>
      <c r="AF355" s="1630"/>
      <c r="AG355" s="1630"/>
      <c r="AH355" s="1630"/>
      <c r="AI355" s="1630"/>
      <c r="AJ355" s="1574"/>
      <c r="AK355" s="1668"/>
    </row>
    <row r="356" spans="1:37" s="1519" customFormat="1" ht="22.5" x14ac:dyDescent="0.25">
      <c r="A356" s="1729">
        <v>3</v>
      </c>
      <c r="B356" s="1730" t="s">
        <v>1022</v>
      </c>
      <c r="C356" s="1695" t="s">
        <v>1023</v>
      </c>
      <c r="D356" s="1696">
        <v>1150</v>
      </c>
      <c r="E356" s="1697">
        <v>900</v>
      </c>
      <c r="F356" s="1630"/>
      <c r="G356" s="1630"/>
      <c r="H356" s="1630"/>
      <c r="I356" s="1630"/>
      <c r="J356" s="1630"/>
      <c r="K356" s="1630"/>
      <c r="L356" s="1630"/>
      <c r="M356" s="1630"/>
      <c r="N356" s="1630"/>
      <c r="O356" s="1630"/>
      <c r="P356" s="1630"/>
      <c r="Q356" s="1630"/>
      <c r="R356" s="1630"/>
      <c r="S356" s="1630"/>
      <c r="T356" s="1630"/>
      <c r="U356" s="1630"/>
      <c r="V356" s="1630"/>
      <c r="W356" s="1630"/>
      <c r="X356" s="1630"/>
      <c r="Y356" s="1630"/>
      <c r="Z356" s="1630"/>
      <c r="AA356" s="1630"/>
      <c r="AB356" s="1630"/>
      <c r="AC356" s="1544">
        <f t="shared" si="74"/>
        <v>100</v>
      </c>
      <c r="AD356" s="1696">
        <v>100</v>
      </c>
      <c r="AE356" s="1630"/>
      <c r="AF356" s="1630"/>
      <c r="AG356" s="1630"/>
      <c r="AH356" s="1699" t="s">
        <v>420</v>
      </c>
      <c r="AI356" s="1630"/>
      <c r="AJ356" s="1574"/>
      <c r="AK356" s="1668"/>
    </row>
    <row r="357" spans="1:37" s="1519" customFormat="1" ht="22.5" x14ac:dyDescent="0.25">
      <c r="A357" s="1729">
        <v>4</v>
      </c>
      <c r="B357" s="1712" t="s">
        <v>1027</v>
      </c>
      <c r="C357" s="1695" t="s">
        <v>1890</v>
      </c>
      <c r="D357" s="1696">
        <v>899</v>
      </c>
      <c r="E357" s="1697">
        <v>856</v>
      </c>
      <c r="F357" s="1630"/>
      <c r="G357" s="1630"/>
      <c r="H357" s="1630"/>
      <c r="I357" s="1630"/>
      <c r="J357" s="1630"/>
      <c r="K357" s="1630"/>
      <c r="L357" s="1630"/>
      <c r="M357" s="1630"/>
      <c r="N357" s="1630"/>
      <c r="O357" s="1630"/>
      <c r="P357" s="1630"/>
      <c r="Q357" s="1630"/>
      <c r="R357" s="1630"/>
      <c r="S357" s="1630"/>
      <c r="T357" s="1630"/>
      <c r="U357" s="1630"/>
      <c r="V357" s="1630"/>
      <c r="W357" s="1630"/>
      <c r="X357" s="1630"/>
      <c r="Y357" s="1630"/>
      <c r="Z357" s="1630"/>
      <c r="AA357" s="1630"/>
      <c r="AB357" s="1630"/>
      <c r="AC357" s="1544">
        <f t="shared" si="74"/>
        <v>356</v>
      </c>
      <c r="AD357" s="1696">
        <v>356</v>
      </c>
      <c r="AE357" s="1630"/>
      <c r="AF357" s="1630"/>
      <c r="AG357" s="1630"/>
      <c r="AH357" s="1699" t="s">
        <v>424</v>
      </c>
      <c r="AI357" s="1630"/>
      <c r="AJ357" s="1574"/>
      <c r="AK357" s="1668"/>
    </row>
    <row r="358" spans="1:37" s="1519" customFormat="1" ht="22.5" x14ac:dyDescent="0.25">
      <c r="A358" s="1729">
        <v>5</v>
      </c>
      <c r="B358" s="1731" t="s">
        <v>1039</v>
      </c>
      <c r="C358" s="1695" t="s">
        <v>1040</v>
      </c>
      <c r="D358" s="1732">
        <v>1100</v>
      </c>
      <c r="E358" s="1733">
        <v>900</v>
      </c>
      <c r="F358" s="1630"/>
      <c r="G358" s="1630"/>
      <c r="H358" s="1630"/>
      <c r="I358" s="1630"/>
      <c r="J358" s="1630"/>
      <c r="K358" s="1630"/>
      <c r="L358" s="1630"/>
      <c r="M358" s="1630"/>
      <c r="N358" s="1630"/>
      <c r="O358" s="1630"/>
      <c r="P358" s="1630"/>
      <c r="Q358" s="1630"/>
      <c r="R358" s="1630"/>
      <c r="S358" s="1630"/>
      <c r="T358" s="1630"/>
      <c r="U358" s="1630"/>
      <c r="V358" s="1630"/>
      <c r="W358" s="1630"/>
      <c r="X358" s="1630"/>
      <c r="Y358" s="1630"/>
      <c r="Z358" s="1630"/>
      <c r="AA358" s="1630"/>
      <c r="AB358" s="1630"/>
      <c r="AC358" s="1544">
        <f t="shared" si="74"/>
        <v>100</v>
      </c>
      <c r="AD358" s="1696">
        <v>100</v>
      </c>
      <c r="AE358" s="1630"/>
      <c r="AF358" s="1630"/>
      <c r="AG358" s="1630"/>
      <c r="AH358" s="1699" t="s">
        <v>421</v>
      </c>
      <c r="AI358" s="1630"/>
      <c r="AJ358" s="1574"/>
      <c r="AK358" s="1668"/>
    </row>
    <row r="359" spans="1:37" s="1519" customFormat="1" ht="22.5" x14ac:dyDescent="0.25">
      <c r="A359" s="1729">
        <v>6</v>
      </c>
      <c r="B359" s="1734" t="s">
        <v>1024</v>
      </c>
      <c r="C359" s="1695" t="s">
        <v>1891</v>
      </c>
      <c r="D359" s="1720">
        <v>938</v>
      </c>
      <c r="E359" s="1697">
        <v>907</v>
      </c>
      <c r="F359" s="1630"/>
      <c r="G359" s="1630"/>
      <c r="H359" s="1630"/>
      <c r="I359" s="1630"/>
      <c r="J359" s="1630"/>
      <c r="K359" s="1630"/>
      <c r="L359" s="1630"/>
      <c r="M359" s="1630"/>
      <c r="N359" s="1630"/>
      <c r="O359" s="1630"/>
      <c r="P359" s="1630"/>
      <c r="Q359" s="1630"/>
      <c r="R359" s="1630"/>
      <c r="S359" s="1630"/>
      <c r="T359" s="1630"/>
      <c r="U359" s="1630"/>
      <c r="V359" s="1630"/>
      <c r="W359" s="1630"/>
      <c r="X359" s="1630"/>
      <c r="Y359" s="1630"/>
      <c r="Z359" s="1630"/>
      <c r="AA359" s="1630"/>
      <c r="AB359" s="1630"/>
      <c r="AC359" s="1544">
        <f t="shared" si="74"/>
        <v>100</v>
      </c>
      <c r="AD359" s="1720">
        <v>100</v>
      </c>
      <c r="AE359" s="1630"/>
      <c r="AF359" s="1630"/>
      <c r="AG359" s="1630"/>
      <c r="AH359" s="1699" t="s">
        <v>425</v>
      </c>
      <c r="AI359" s="1630"/>
      <c r="AJ359" s="1574"/>
      <c r="AK359" s="1668"/>
    </row>
    <row r="360" spans="1:37" s="1519" customFormat="1" ht="22.5" x14ac:dyDescent="0.25">
      <c r="A360" s="1729">
        <v>7</v>
      </c>
      <c r="B360" s="1735" t="s">
        <v>1025</v>
      </c>
      <c r="C360" s="1695" t="s">
        <v>1892</v>
      </c>
      <c r="D360" s="1736">
        <v>1066</v>
      </c>
      <c r="E360" s="1737">
        <v>907</v>
      </c>
      <c r="F360" s="1630"/>
      <c r="G360" s="1630"/>
      <c r="H360" s="1630"/>
      <c r="I360" s="1630"/>
      <c r="J360" s="1630"/>
      <c r="K360" s="1630"/>
      <c r="L360" s="1630"/>
      <c r="M360" s="1630"/>
      <c r="N360" s="1630"/>
      <c r="O360" s="1630"/>
      <c r="P360" s="1630"/>
      <c r="Q360" s="1630"/>
      <c r="R360" s="1630"/>
      <c r="S360" s="1630"/>
      <c r="T360" s="1630"/>
      <c r="U360" s="1630"/>
      <c r="V360" s="1630"/>
      <c r="W360" s="1630"/>
      <c r="X360" s="1630"/>
      <c r="Y360" s="1630"/>
      <c r="Z360" s="1630"/>
      <c r="AA360" s="1630"/>
      <c r="AB360" s="1630"/>
      <c r="AC360" s="1544">
        <f t="shared" si="74"/>
        <v>400</v>
      </c>
      <c r="AD360" s="1696">
        <v>400</v>
      </c>
      <c r="AE360" s="1630"/>
      <c r="AF360" s="1630"/>
      <c r="AG360" s="1630"/>
      <c r="AH360" s="1699" t="s">
        <v>425</v>
      </c>
      <c r="AI360" s="1630"/>
      <c r="AJ360" s="1574"/>
      <c r="AK360" s="1668"/>
    </row>
    <row r="361" spans="1:37" s="1519" customFormat="1" ht="22.5" x14ac:dyDescent="0.25">
      <c r="A361" s="1729">
        <v>8</v>
      </c>
      <c r="B361" s="1735" t="s">
        <v>1026</v>
      </c>
      <c r="C361" s="1695" t="s">
        <v>1893</v>
      </c>
      <c r="D361" s="1736">
        <v>1109</v>
      </c>
      <c r="E361" s="1737">
        <v>907</v>
      </c>
      <c r="F361" s="1630"/>
      <c r="G361" s="1630"/>
      <c r="H361" s="1630"/>
      <c r="I361" s="1630"/>
      <c r="J361" s="1630"/>
      <c r="K361" s="1630"/>
      <c r="L361" s="1630"/>
      <c r="M361" s="1630"/>
      <c r="N361" s="1630"/>
      <c r="O361" s="1630"/>
      <c r="P361" s="1630"/>
      <c r="Q361" s="1630"/>
      <c r="R361" s="1630"/>
      <c r="S361" s="1630"/>
      <c r="T361" s="1630"/>
      <c r="U361" s="1630"/>
      <c r="V361" s="1630"/>
      <c r="W361" s="1630"/>
      <c r="X361" s="1630"/>
      <c r="Y361" s="1630"/>
      <c r="Z361" s="1630"/>
      <c r="AA361" s="1630"/>
      <c r="AB361" s="1630"/>
      <c r="AC361" s="1544">
        <f t="shared" si="74"/>
        <v>400</v>
      </c>
      <c r="AD361" s="1696">
        <v>400</v>
      </c>
      <c r="AE361" s="1630"/>
      <c r="AF361" s="1630"/>
      <c r="AG361" s="1630"/>
      <c r="AH361" s="1699" t="s">
        <v>425</v>
      </c>
      <c r="AI361" s="1630"/>
      <c r="AJ361" s="1574"/>
      <c r="AK361" s="1668"/>
    </row>
    <row r="362" spans="1:37" s="1519" customFormat="1" ht="22.5" x14ac:dyDescent="0.25">
      <c r="A362" s="1729">
        <v>9</v>
      </c>
      <c r="B362" s="1735" t="s">
        <v>1766</v>
      </c>
      <c r="C362" s="1695" t="s">
        <v>1894</v>
      </c>
      <c r="D362" s="1736">
        <v>1133</v>
      </c>
      <c r="E362" s="1737">
        <v>907</v>
      </c>
      <c r="F362" s="1630"/>
      <c r="G362" s="1630"/>
      <c r="H362" s="1630"/>
      <c r="I362" s="1630"/>
      <c r="J362" s="1630"/>
      <c r="K362" s="1630"/>
      <c r="L362" s="1630"/>
      <c r="M362" s="1630"/>
      <c r="N362" s="1630"/>
      <c r="O362" s="1630"/>
      <c r="P362" s="1630"/>
      <c r="Q362" s="1630"/>
      <c r="R362" s="1630"/>
      <c r="S362" s="1630"/>
      <c r="T362" s="1630"/>
      <c r="U362" s="1630"/>
      <c r="V362" s="1630"/>
      <c r="W362" s="1630"/>
      <c r="X362" s="1630"/>
      <c r="Y362" s="1630"/>
      <c r="Z362" s="1630"/>
      <c r="AA362" s="1630"/>
      <c r="AB362" s="1630"/>
      <c r="AC362" s="1544">
        <f t="shared" si="74"/>
        <v>650</v>
      </c>
      <c r="AD362" s="1696">
        <v>650</v>
      </c>
      <c r="AE362" s="1630"/>
      <c r="AF362" s="1630"/>
      <c r="AG362" s="1630"/>
      <c r="AH362" s="1699" t="s">
        <v>425</v>
      </c>
      <c r="AI362" s="1630"/>
      <c r="AJ362" s="1574"/>
      <c r="AK362" s="1668"/>
    </row>
    <row r="363" spans="1:37" s="1519" customFormat="1" ht="18.75" customHeight="1" x14ac:dyDescent="0.25">
      <c r="A363" s="1574" t="s">
        <v>193</v>
      </c>
      <c r="B363" s="1630" t="s">
        <v>1253</v>
      </c>
      <c r="C363" s="1630"/>
      <c r="D363" s="1630"/>
      <c r="E363" s="1630"/>
      <c r="F363" s="1630"/>
      <c r="G363" s="1630"/>
      <c r="H363" s="1630"/>
      <c r="I363" s="1630"/>
      <c r="J363" s="1630"/>
      <c r="K363" s="1630"/>
      <c r="L363" s="1630"/>
      <c r="M363" s="1630"/>
      <c r="N363" s="1630"/>
      <c r="O363" s="1630"/>
      <c r="P363" s="1630"/>
      <c r="Q363" s="1630"/>
      <c r="R363" s="1630"/>
      <c r="S363" s="1630"/>
      <c r="T363" s="1630"/>
      <c r="U363" s="1630"/>
      <c r="V363" s="1630"/>
      <c r="W363" s="1630"/>
      <c r="X363" s="1630"/>
      <c r="Y363" s="1630"/>
      <c r="Z363" s="1630"/>
      <c r="AA363" s="1630"/>
      <c r="AB363" s="1630"/>
      <c r="AC363" s="1630">
        <f t="shared" ref="AC363:AC372" si="75">AD363</f>
        <v>78000</v>
      </c>
      <c r="AD363" s="1630">
        <f>SUM(AD364:AD372)</f>
        <v>78000</v>
      </c>
      <c r="AE363" s="1630"/>
      <c r="AF363" s="1630"/>
      <c r="AG363" s="1630"/>
      <c r="AH363" s="1630"/>
      <c r="AI363" s="1630"/>
      <c r="AJ363" s="1630"/>
    </row>
    <row r="364" spans="1:37" ht="13.5" customHeight="1" x14ac:dyDescent="0.25">
      <c r="A364" s="1509">
        <v>1</v>
      </c>
      <c r="B364" s="1554" t="s">
        <v>1037</v>
      </c>
      <c r="C364" s="1544"/>
      <c r="D364" s="1544"/>
      <c r="E364" s="1544"/>
      <c r="F364" s="1544"/>
      <c r="G364" s="1544"/>
      <c r="H364" s="1544"/>
      <c r="I364" s="1544"/>
      <c r="J364" s="1544"/>
      <c r="K364" s="1544"/>
      <c r="L364" s="1544"/>
      <c r="M364" s="1544"/>
      <c r="N364" s="1544"/>
      <c r="O364" s="1544"/>
      <c r="P364" s="1544"/>
      <c r="Q364" s="1544"/>
      <c r="R364" s="1544"/>
      <c r="S364" s="1544"/>
      <c r="T364" s="1544"/>
      <c r="U364" s="1544"/>
      <c r="V364" s="1544"/>
      <c r="W364" s="1544"/>
      <c r="X364" s="1544"/>
      <c r="Y364" s="1544"/>
      <c r="Z364" s="1544"/>
      <c r="AA364" s="1544"/>
      <c r="AB364" s="1544"/>
      <c r="AC364" s="1544">
        <f t="shared" si="75"/>
        <v>7800</v>
      </c>
      <c r="AD364" s="1544">
        <f>'Biểu số 48'!X32</f>
        <v>7800</v>
      </c>
      <c r="AE364" s="1544"/>
      <c r="AF364" s="1544"/>
      <c r="AG364" s="1544"/>
      <c r="AH364" s="1544"/>
      <c r="AI364" s="1544"/>
      <c r="AJ364" s="1544"/>
    </row>
    <row r="365" spans="1:37" ht="13.5" customHeight="1" x14ac:dyDescent="0.25">
      <c r="A365" s="1509">
        <v>2</v>
      </c>
      <c r="B365" s="1606" t="s">
        <v>154</v>
      </c>
      <c r="C365" s="1544"/>
      <c r="D365" s="1544"/>
      <c r="E365" s="1544"/>
      <c r="F365" s="1544"/>
      <c r="G365" s="1544"/>
      <c r="H365" s="1544"/>
      <c r="I365" s="1544"/>
      <c r="J365" s="1544"/>
      <c r="K365" s="1544"/>
      <c r="L365" s="1544"/>
      <c r="M365" s="1544"/>
      <c r="N365" s="1544"/>
      <c r="O365" s="1544"/>
      <c r="P365" s="1544"/>
      <c r="Q365" s="1544"/>
      <c r="R365" s="1544"/>
      <c r="S365" s="1544"/>
      <c r="T365" s="1544"/>
      <c r="U365" s="1544"/>
      <c r="V365" s="1544"/>
      <c r="W365" s="1544"/>
      <c r="X365" s="1544"/>
      <c r="Y365" s="1544"/>
      <c r="Z365" s="1544"/>
      <c r="AA365" s="1544"/>
      <c r="AB365" s="1544"/>
      <c r="AC365" s="1544">
        <f t="shared" si="75"/>
        <v>9000</v>
      </c>
      <c r="AD365" s="1544">
        <f>'Biểu 09DT'!J17</f>
        <v>9000</v>
      </c>
      <c r="AE365" s="1544"/>
      <c r="AF365" s="1544"/>
      <c r="AG365" s="1544"/>
      <c r="AH365" s="1544"/>
      <c r="AI365" s="1544"/>
      <c r="AJ365" s="1544"/>
    </row>
    <row r="366" spans="1:37" ht="13.5" customHeight="1" x14ac:dyDescent="0.25">
      <c r="A366" s="1509">
        <v>3</v>
      </c>
      <c r="B366" s="1606" t="s">
        <v>149</v>
      </c>
      <c r="C366" s="1544"/>
      <c r="D366" s="1544"/>
      <c r="E366" s="1544"/>
      <c r="F366" s="1544"/>
      <c r="G366" s="1544"/>
      <c r="H366" s="1544"/>
      <c r="I366" s="1544"/>
      <c r="J366" s="1544"/>
      <c r="K366" s="1544"/>
      <c r="L366" s="1544"/>
      <c r="M366" s="1544"/>
      <c r="N366" s="1544"/>
      <c r="O366" s="1544"/>
      <c r="P366" s="1544"/>
      <c r="Q366" s="1544"/>
      <c r="R366" s="1544"/>
      <c r="S366" s="1544"/>
      <c r="T366" s="1544"/>
      <c r="U366" s="1544"/>
      <c r="V366" s="1544"/>
      <c r="W366" s="1544"/>
      <c r="X366" s="1544"/>
      <c r="Y366" s="1544"/>
      <c r="Z366" s="1544"/>
      <c r="AA366" s="1544"/>
      <c r="AB366" s="1544"/>
      <c r="AC366" s="1544">
        <f t="shared" si="75"/>
        <v>1530</v>
      </c>
      <c r="AD366" s="1544">
        <f>'Biểu 09DT'!E17</f>
        <v>1530</v>
      </c>
      <c r="AE366" s="1544"/>
      <c r="AF366" s="1544"/>
      <c r="AG366" s="1544"/>
      <c r="AH366" s="1544"/>
      <c r="AI366" s="1544"/>
      <c r="AJ366" s="1544"/>
    </row>
    <row r="367" spans="1:37" ht="13.5" customHeight="1" x14ac:dyDescent="0.25">
      <c r="A367" s="1509">
        <v>4</v>
      </c>
      <c r="B367" s="1606" t="s">
        <v>151</v>
      </c>
      <c r="C367" s="1544"/>
      <c r="D367" s="1544"/>
      <c r="E367" s="1544"/>
      <c r="F367" s="1544"/>
      <c r="G367" s="1544"/>
      <c r="H367" s="1544"/>
      <c r="I367" s="1544"/>
      <c r="J367" s="1544"/>
      <c r="K367" s="1544"/>
      <c r="L367" s="1544"/>
      <c r="M367" s="1544"/>
      <c r="N367" s="1544"/>
      <c r="O367" s="1544"/>
      <c r="P367" s="1544"/>
      <c r="Q367" s="1544"/>
      <c r="R367" s="1544"/>
      <c r="S367" s="1544"/>
      <c r="T367" s="1544"/>
      <c r="U367" s="1544"/>
      <c r="V367" s="1544"/>
      <c r="W367" s="1544"/>
      <c r="X367" s="1544"/>
      <c r="Y367" s="1544"/>
      <c r="Z367" s="1544"/>
      <c r="AA367" s="1544"/>
      <c r="AB367" s="1544"/>
      <c r="AC367" s="1544">
        <f t="shared" si="75"/>
        <v>4500</v>
      </c>
      <c r="AD367" s="1544">
        <f>'Biểu 09DT'!G17</f>
        <v>4500</v>
      </c>
      <c r="AE367" s="1544"/>
      <c r="AF367" s="1544"/>
      <c r="AG367" s="1544"/>
      <c r="AH367" s="1544"/>
      <c r="AI367" s="1544"/>
      <c r="AJ367" s="1544"/>
    </row>
    <row r="368" spans="1:37" ht="13.5" customHeight="1" x14ac:dyDescent="0.25">
      <c r="A368" s="1509">
        <v>5</v>
      </c>
      <c r="B368" s="1606" t="s">
        <v>385</v>
      </c>
      <c r="C368" s="1544"/>
      <c r="D368" s="1544"/>
      <c r="E368" s="1544"/>
      <c r="F368" s="1544"/>
      <c r="G368" s="1544"/>
      <c r="H368" s="1544"/>
      <c r="I368" s="1544"/>
      <c r="J368" s="1544"/>
      <c r="K368" s="1544"/>
      <c r="L368" s="1544"/>
      <c r="M368" s="1544"/>
      <c r="N368" s="1544"/>
      <c r="O368" s="1544"/>
      <c r="P368" s="1544"/>
      <c r="Q368" s="1544"/>
      <c r="R368" s="1544"/>
      <c r="S368" s="1544"/>
      <c r="T368" s="1544"/>
      <c r="U368" s="1544"/>
      <c r="V368" s="1544"/>
      <c r="W368" s="1544"/>
      <c r="X368" s="1544"/>
      <c r="Y368" s="1544"/>
      <c r="Z368" s="1544"/>
      <c r="AA368" s="1544"/>
      <c r="AB368" s="1544"/>
      <c r="AC368" s="1544">
        <f t="shared" si="75"/>
        <v>2070</v>
      </c>
      <c r="AD368" s="1544">
        <f>'Biểu 09DT'!F17</f>
        <v>2070</v>
      </c>
      <c r="AE368" s="1544"/>
      <c r="AF368" s="1544"/>
      <c r="AG368" s="1544"/>
      <c r="AH368" s="1544"/>
      <c r="AI368" s="1544"/>
      <c r="AJ368" s="1544"/>
    </row>
    <row r="369" spans="1:36" ht="13.5" customHeight="1" x14ac:dyDescent="0.25">
      <c r="A369" s="1509">
        <v>6</v>
      </c>
      <c r="B369" s="1606" t="s">
        <v>152</v>
      </c>
      <c r="C369" s="1544"/>
      <c r="D369" s="1544"/>
      <c r="E369" s="1544"/>
      <c r="F369" s="1544"/>
      <c r="G369" s="1544"/>
      <c r="H369" s="1544"/>
      <c r="I369" s="1544"/>
      <c r="J369" s="1544"/>
      <c r="K369" s="1544"/>
      <c r="L369" s="1544"/>
      <c r="M369" s="1544"/>
      <c r="N369" s="1544"/>
      <c r="O369" s="1544"/>
      <c r="P369" s="1544"/>
      <c r="Q369" s="1544"/>
      <c r="R369" s="1544"/>
      <c r="S369" s="1544"/>
      <c r="T369" s="1544"/>
      <c r="U369" s="1544"/>
      <c r="V369" s="1544"/>
      <c r="W369" s="1544"/>
      <c r="X369" s="1544"/>
      <c r="Y369" s="1544"/>
      <c r="Z369" s="1544"/>
      <c r="AA369" s="1544"/>
      <c r="AB369" s="1544"/>
      <c r="AC369" s="1544">
        <f t="shared" si="75"/>
        <v>2700</v>
      </c>
      <c r="AD369" s="1544">
        <f>'Biểu 09DT'!H17</f>
        <v>2700</v>
      </c>
      <c r="AE369" s="1544"/>
      <c r="AF369" s="1544"/>
      <c r="AG369" s="1544"/>
      <c r="AH369" s="1544"/>
      <c r="AI369" s="1544"/>
      <c r="AJ369" s="1544"/>
    </row>
    <row r="370" spans="1:36" ht="13.5" customHeight="1" x14ac:dyDescent="0.25">
      <c r="A370" s="1509">
        <v>7</v>
      </c>
      <c r="B370" s="1606" t="s">
        <v>153</v>
      </c>
      <c r="C370" s="1544"/>
      <c r="D370" s="1544"/>
      <c r="E370" s="1544"/>
      <c r="F370" s="1544"/>
      <c r="G370" s="1544"/>
      <c r="H370" s="1544"/>
      <c r="I370" s="1544"/>
      <c r="J370" s="1544"/>
      <c r="K370" s="1544"/>
      <c r="L370" s="1544"/>
      <c r="M370" s="1544"/>
      <c r="N370" s="1544"/>
      <c r="O370" s="1544"/>
      <c r="P370" s="1544"/>
      <c r="Q370" s="1544"/>
      <c r="R370" s="1544"/>
      <c r="S370" s="1544"/>
      <c r="T370" s="1544"/>
      <c r="U370" s="1544"/>
      <c r="V370" s="1544"/>
      <c r="W370" s="1544"/>
      <c r="X370" s="1544"/>
      <c r="Y370" s="1544"/>
      <c r="Z370" s="1544"/>
      <c r="AA370" s="1544"/>
      <c r="AB370" s="1544"/>
      <c r="AC370" s="1544">
        <f t="shared" si="75"/>
        <v>450</v>
      </c>
      <c r="AD370" s="1544">
        <f>'Biểu 09DT'!I17</f>
        <v>450</v>
      </c>
      <c r="AE370" s="1544"/>
      <c r="AF370" s="1544"/>
      <c r="AG370" s="1544"/>
      <c r="AH370" s="1544"/>
      <c r="AI370" s="1544"/>
      <c r="AJ370" s="1544"/>
    </row>
    <row r="371" spans="1:36" ht="13.5" customHeight="1" x14ac:dyDescent="0.25">
      <c r="A371" s="1509">
        <v>8</v>
      </c>
      <c r="B371" s="1606" t="s">
        <v>155</v>
      </c>
      <c r="C371" s="1544"/>
      <c r="D371" s="1544"/>
      <c r="E371" s="1544"/>
      <c r="F371" s="1544"/>
      <c r="G371" s="1544"/>
      <c r="H371" s="1544"/>
      <c r="I371" s="1544"/>
      <c r="J371" s="1544"/>
      <c r="K371" s="1544"/>
      <c r="L371" s="1544"/>
      <c r="M371" s="1544"/>
      <c r="N371" s="1544"/>
      <c r="O371" s="1544"/>
      <c r="P371" s="1544"/>
      <c r="Q371" s="1544"/>
      <c r="R371" s="1544"/>
      <c r="S371" s="1544"/>
      <c r="T371" s="1544"/>
      <c r="U371" s="1544"/>
      <c r="V371" s="1544"/>
      <c r="W371" s="1544"/>
      <c r="X371" s="1544"/>
      <c r="Y371" s="1544"/>
      <c r="Z371" s="1544"/>
      <c r="AA371" s="1544"/>
      <c r="AB371" s="1544"/>
      <c r="AC371" s="1544">
        <f t="shared" si="75"/>
        <v>2700</v>
      </c>
      <c r="AD371" s="1544">
        <f>'Biểu 09DT'!K17</f>
        <v>2700</v>
      </c>
      <c r="AE371" s="1544"/>
      <c r="AF371" s="1544"/>
      <c r="AG371" s="1544"/>
      <c r="AH371" s="1544"/>
      <c r="AI371" s="1544"/>
      <c r="AJ371" s="1544"/>
    </row>
    <row r="372" spans="1:36" ht="13.5" customHeight="1" x14ac:dyDescent="0.25">
      <c r="A372" s="1509">
        <v>9</v>
      </c>
      <c r="B372" s="1606" t="s">
        <v>148</v>
      </c>
      <c r="C372" s="1544"/>
      <c r="D372" s="1544"/>
      <c r="E372" s="1544"/>
      <c r="F372" s="1544"/>
      <c r="G372" s="1544"/>
      <c r="H372" s="1544"/>
      <c r="I372" s="1544"/>
      <c r="J372" s="1544"/>
      <c r="K372" s="1544"/>
      <c r="L372" s="1544"/>
      <c r="M372" s="1544"/>
      <c r="N372" s="1544"/>
      <c r="O372" s="1544"/>
      <c r="P372" s="1544"/>
      <c r="Q372" s="1544"/>
      <c r="R372" s="1544"/>
      <c r="S372" s="1544"/>
      <c r="T372" s="1544"/>
      <c r="U372" s="1544"/>
      <c r="V372" s="1544"/>
      <c r="W372" s="1544"/>
      <c r="X372" s="1544"/>
      <c r="Y372" s="1544"/>
      <c r="Z372" s="1544"/>
      <c r="AA372" s="1544"/>
      <c r="AB372" s="1544"/>
      <c r="AC372" s="1544">
        <f t="shared" si="75"/>
        <v>47250</v>
      </c>
      <c r="AD372" s="1544">
        <f>'Biểu 09DT'!D17</f>
        <v>47250</v>
      </c>
      <c r="AE372" s="1544"/>
      <c r="AF372" s="1544"/>
      <c r="AG372" s="1544"/>
      <c r="AH372" s="1544"/>
      <c r="AI372" s="1544"/>
      <c r="AJ372" s="1544"/>
    </row>
    <row r="373" spans="1:36" ht="25.5" customHeight="1" x14ac:dyDescent="0.25">
      <c r="A373" s="1574" t="s">
        <v>207</v>
      </c>
      <c r="B373" s="1630" t="s">
        <v>1252</v>
      </c>
      <c r="C373" s="1544"/>
      <c r="D373" s="1544"/>
      <c r="E373" s="1544"/>
      <c r="F373" s="1544"/>
      <c r="G373" s="1544"/>
      <c r="H373" s="1544"/>
      <c r="I373" s="1544"/>
      <c r="J373" s="1544"/>
      <c r="K373" s="1544"/>
      <c r="L373" s="1544"/>
      <c r="M373" s="1544"/>
      <c r="N373" s="1544"/>
      <c r="O373" s="1544"/>
      <c r="P373" s="1544"/>
      <c r="Q373" s="1544"/>
      <c r="R373" s="1544"/>
      <c r="S373" s="1544"/>
      <c r="T373" s="1544"/>
      <c r="U373" s="1544"/>
      <c r="V373" s="1544"/>
      <c r="W373" s="1544"/>
      <c r="X373" s="1544"/>
      <c r="Y373" s="1544"/>
      <c r="Z373" s="1544"/>
      <c r="AA373" s="1544"/>
      <c r="AB373" s="1544"/>
      <c r="AC373" s="1630">
        <f>AC374+AC382</f>
        <v>14700</v>
      </c>
      <c r="AD373" s="1630">
        <f>AD374+AD382</f>
        <v>14700</v>
      </c>
      <c r="AE373" s="1544"/>
      <c r="AF373" s="1544"/>
      <c r="AG373" s="1544"/>
      <c r="AH373" s="1544"/>
      <c r="AI373" s="1544"/>
      <c r="AJ373" s="1544"/>
    </row>
    <row r="374" spans="1:36" s="1519" customFormat="1" ht="12.75" customHeight="1" x14ac:dyDescent="0.25">
      <c r="A374" s="1574" t="s">
        <v>9</v>
      </c>
      <c r="B374" s="1630" t="s">
        <v>1895</v>
      </c>
      <c r="C374" s="1630"/>
      <c r="D374" s="1630"/>
      <c r="E374" s="1630"/>
      <c r="F374" s="1630"/>
      <c r="G374" s="1630"/>
      <c r="H374" s="1630"/>
      <c r="I374" s="1630"/>
      <c r="J374" s="1630"/>
      <c r="K374" s="1630"/>
      <c r="L374" s="1630"/>
      <c r="M374" s="1630"/>
      <c r="N374" s="1630"/>
      <c r="O374" s="1630"/>
      <c r="P374" s="1630"/>
      <c r="Q374" s="1630"/>
      <c r="R374" s="1630"/>
      <c r="S374" s="1630"/>
      <c r="T374" s="1630"/>
      <c r="U374" s="1630"/>
      <c r="V374" s="1630"/>
      <c r="W374" s="1630"/>
      <c r="X374" s="1630"/>
      <c r="Y374" s="1630"/>
      <c r="Z374" s="1630"/>
      <c r="AA374" s="1630"/>
      <c r="AB374" s="1630"/>
      <c r="AC374" s="1630">
        <f>AD374</f>
        <v>6700</v>
      </c>
      <c r="AD374" s="1630">
        <f>SUM(AD375:AD381)</f>
        <v>6700</v>
      </c>
      <c r="AE374" s="1630"/>
      <c r="AF374" s="1630"/>
      <c r="AG374" s="1630"/>
      <c r="AH374" s="1630"/>
      <c r="AI374" s="1630"/>
      <c r="AJ374" s="1630"/>
    </row>
    <row r="375" spans="1:36" ht="12.75" customHeight="1" x14ac:dyDescent="0.25">
      <c r="A375" s="1509">
        <v>1</v>
      </c>
      <c r="B375" s="1606" t="s">
        <v>154</v>
      </c>
      <c r="C375" s="1544"/>
      <c r="D375" s="1544"/>
      <c r="E375" s="1544"/>
      <c r="F375" s="1544"/>
      <c r="G375" s="1544"/>
      <c r="H375" s="1544"/>
      <c r="I375" s="1544"/>
      <c r="J375" s="1544"/>
      <c r="K375" s="1544"/>
      <c r="L375" s="1544"/>
      <c r="M375" s="1544"/>
      <c r="N375" s="1544"/>
      <c r="O375" s="1544"/>
      <c r="P375" s="1544"/>
      <c r="Q375" s="1544"/>
      <c r="R375" s="1544"/>
      <c r="S375" s="1544"/>
      <c r="T375" s="1544"/>
      <c r="U375" s="1544"/>
      <c r="V375" s="1544"/>
      <c r="W375" s="1544"/>
      <c r="X375" s="1544"/>
      <c r="Y375" s="1544"/>
      <c r="Z375" s="1544"/>
      <c r="AA375" s="1544"/>
      <c r="AB375" s="1544"/>
      <c r="AC375" s="1544">
        <f t="shared" ref="AC375:AC382" si="76">AD375</f>
        <v>1000</v>
      </c>
      <c r="AD375" s="1544">
        <v>1000</v>
      </c>
      <c r="AE375" s="1544"/>
      <c r="AF375" s="1544"/>
      <c r="AG375" s="1544"/>
      <c r="AH375" s="1544"/>
      <c r="AI375" s="1544"/>
      <c r="AJ375" s="1544"/>
    </row>
    <row r="376" spans="1:36" ht="12.75" customHeight="1" x14ac:dyDescent="0.25">
      <c r="A376" s="1509">
        <v>2</v>
      </c>
      <c r="B376" s="1606" t="s">
        <v>149</v>
      </c>
      <c r="C376" s="1544"/>
      <c r="D376" s="1544"/>
      <c r="E376" s="1544"/>
      <c r="F376" s="1544"/>
      <c r="G376" s="1544"/>
      <c r="H376" s="1544"/>
      <c r="I376" s="1544"/>
      <c r="J376" s="1544"/>
      <c r="K376" s="1544"/>
      <c r="L376" s="1544"/>
      <c r="M376" s="1544"/>
      <c r="N376" s="1544"/>
      <c r="O376" s="1544"/>
      <c r="P376" s="1544"/>
      <c r="Q376" s="1544"/>
      <c r="R376" s="1544"/>
      <c r="S376" s="1544"/>
      <c r="T376" s="1544"/>
      <c r="U376" s="1544"/>
      <c r="V376" s="1544"/>
      <c r="W376" s="1544"/>
      <c r="X376" s="1544"/>
      <c r="Y376" s="1544"/>
      <c r="Z376" s="1544"/>
      <c r="AA376" s="1544"/>
      <c r="AB376" s="1544"/>
      <c r="AC376" s="1544">
        <f t="shared" si="76"/>
        <v>1000</v>
      </c>
      <c r="AD376" s="1544">
        <v>1000</v>
      </c>
      <c r="AE376" s="1544"/>
      <c r="AF376" s="1544"/>
      <c r="AG376" s="1544"/>
      <c r="AH376" s="1544"/>
      <c r="AI376" s="1544"/>
      <c r="AJ376" s="1544"/>
    </row>
    <row r="377" spans="1:36" ht="12.75" customHeight="1" x14ac:dyDescent="0.25">
      <c r="A377" s="1509">
        <v>3</v>
      </c>
      <c r="B377" s="1606" t="s">
        <v>151</v>
      </c>
      <c r="C377" s="1544"/>
      <c r="D377" s="1544"/>
      <c r="E377" s="1544"/>
      <c r="F377" s="1544"/>
      <c r="G377" s="1544"/>
      <c r="H377" s="1544"/>
      <c r="I377" s="1544"/>
      <c r="J377" s="1544"/>
      <c r="K377" s="1544"/>
      <c r="L377" s="1544"/>
      <c r="M377" s="1544"/>
      <c r="N377" s="1544"/>
      <c r="O377" s="1544"/>
      <c r="P377" s="1544"/>
      <c r="Q377" s="1544"/>
      <c r="R377" s="1544"/>
      <c r="S377" s="1544"/>
      <c r="T377" s="1544"/>
      <c r="U377" s="1544"/>
      <c r="V377" s="1544"/>
      <c r="W377" s="1544"/>
      <c r="X377" s="1544"/>
      <c r="Y377" s="1544"/>
      <c r="Z377" s="1544"/>
      <c r="AA377" s="1544"/>
      <c r="AB377" s="1544"/>
      <c r="AC377" s="1544">
        <f t="shared" si="76"/>
        <v>1000</v>
      </c>
      <c r="AD377" s="1544">
        <v>1000</v>
      </c>
      <c r="AE377" s="1544"/>
      <c r="AF377" s="1544"/>
      <c r="AG377" s="1544"/>
      <c r="AH377" s="1544"/>
      <c r="AI377" s="1544"/>
      <c r="AJ377" s="1544"/>
    </row>
    <row r="378" spans="1:36" ht="12.75" customHeight="1" x14ac:dyDescent="0.25">
      <c r="A378" s="1509">
        <v>4</v>
      </c>
      <c r="B378" s="1606" t="s">
        <v>385</v>
      </c>
      <c r="C378" s="1544"/>
      <c r="D378" s="1544"/>
      <c r="E378" s="1544"/>
      <c r="F378" s="1544"/>
      <c r="G378" s="1544"/>
      <c r="H378" s="1544"/>
      <c r="I378" s="1544"/>
      <c r="J378" s="1544"/>
      <c r="K378" s="1544"/>
      <c r="L378" s="1544"/>
      <c r="M378" s="1544"/>
      <c r="N378" s="1544"/>
      <c r="O378" s="1544"/>
      <c r="P378" s="1544"/>
      <c r="Q378" s="1544"/>
      <c r="R378" s="1544"/>
      <c r="S378" s="1544"/>
      <c r="T378" s="1544"/>
      <c r="U378" s="1544"/>
      <c r="V378" s="1544"/>
      <c r="W378" s="1544"/>
      <c r="X378" s="1544"/>
      <c r="Y378" s="1544"/>
      <c r="Z378" s="1544"/>
      <c r="AA378" s="1544"/>
      <c r="AB378" s="1544"/>
      <c r="AC378" s="1544">
        <f t="shared" si="76"/>
        <v>700</v>
      </c>
      <c r="AD378" s="1544">
        <v>700</v>
      </c>
      <c r="AE378" s="1544"/>
      <c r="AF378" s="1544"/>
      <c r="AG378" s="1544"/>
      <c r="AH378" s="1544"/>
      <c r="AI378" s="1544"/>
      <c r="AJ378" s="1544"/>
    </row>
    <row r="379" spans="1:36" ht="12.75" customHeight="1" x14ac:dyDescent="0.25">
      <c r="A379" s="1509">
        <v>5</v>
      </c>
      <c r="B379" s="1606" t="s">
        <v>152</v>
      </c>
      <c r="C379" s="1544"/>
      <c r="D379" s="1544"/>
      <c r="E379" s="1544"/>
      <c r="F379" s="1544"/>
      <c r="G379" s="1544"/>
      <c r="H379" s="1544"/>
      <c r="I379" s="1544"/>
      <c r="J379" s="1544"/>
      <c r="K379" s="1544"/>
      <c r="L379" s="1544"/>
      <c r="M379" s="1544"/>
      <c r="N379" s="1544"/>
      <c r="O379" s="1544"/>
      <c r="P379" s="1544"/>
      <c r="Q379" s="1544"/>
      <c r="R379" s="1544"/>
      <c r="S379" s="1544"/>
      <c r="T379" s="1544"/>
      <c r="U379" s="1544"/>
      <c r="V379" s="1544"/>
      <c r="W379" s="1544"/>
      <c r="X379" s="1544"/>
      <c r="Y379" s="1544"/>
      <c r="Z379" s="1544"/>
      <c r="AA379" s="1544"/>
      <c r="AB379" s="1544"/>
      <c r="AC379" s="1544">
        <f t="shared" si="76"/>
        <v>1000</v>
      </c>
      <c r="AD379" s="1544">
        <v>1000</v>
      </c>
      <c r="AE379" s="1544"/>
      <c r="AF379" s="1544"/>
      <c r="AG379" s="1544"/>
      <c r="AH379" s="1544"/>
      <c r="AI379" s="1544"/>
      <c r="AJ379" s="1544"/>
    </row>
    <row r="380" spans="1:36" ht="12.75" customHeight="1" x14ac:dyDescent="0.25">
      <c r="A380" s="1509">
        <v>6</v>
      </c>
      <c r="B380" s="1606" t="s">
        <v>153</v>
      </c>
      <c r="C380" s="1544"/>
      <c r="D380" s="1544"/>
      <c r="E380" s="1544"/>
      <c r="F380" s="1544"/>
      <c r="G380" s="1544"/>
      <c r="H380" s="1544"/>
      <c r="I380" s="1544"/>
      <c r="J380" s="1544"/>
      <c r="K380" s="1544"/>
      <c r="L380" s="1544"/>
      <c r="M380" s="1544"/>
      <c r="N380" s="1544"/>
      <c r="O380" s="1544"/>
      <c r="P380" s="1544"/>
      <c r="Q380" s="1544"/>
      <c r="R380" s="1544"/>
      <c r="S380" s="1544"/>
      <c r="T380" s="1544"/>
      <c r="U380" s="1544"/>
      <c r="V380" s="1544"/>
      <c r="W380" s="1544"/>
      <c r="X380" s="1544"/>
      <c r="Y380" s="1544"/>
      <c r="Z380" s="1544"/>
      <c r="AA380" s="1544"/>
      <c r="AB380" s="1544"/>
      <c r="AC380" s="1544">
        <f t="shared" si="76"/>
        <v>1000</v>
      </c>
      <c r="AD380" s="1544">
        <v>1000</v>
      </c>
      <c r="AE380" s="1544"/>
      <c r="AF380" s="1544"/>
      <c r="AG380" s="1544"/>
      <c r="AH380" s="1544"/>
      <c r="AI380" s="1544"/>
      <c r="AJ380" s="1544"/>
    </row>
    <row r="381" spans="1:36" ht="12.75" customHeight="1" x14ac:dyDescent="0.25">
      <c r="A381" s="1509">
        <v>7</v>
      </c>
      <c r="B381" s="1606" t="s">
        <v>155</v>
      </c>
      <c r="C381" s="1544"/>
      <c r="D381" s="1544"/>
      <c r="E381" s="1544"/>
      <c r="F381" s="1544"/>
      <c r="G381" s="1544"/>
      <c r="H381" s="1544"/>
      <c r="I381" s="1544"/>
      <c r="J381" s="1544"/>
      <c r="K381" s="1544"/>
      <c r="L381" s="1544"/>
      <c r="M381" s="1544"/>
      <c r="N381" s="1544"/>
      <c r="O381" s="1544"/>
      <c r="P381" s="1544"/>
      <c r="Q381" s="1544"/>
      <c r="R381" s="1544"/>
      <c r="S381" s="1544"/>
      <c r="T381" s="1544"/>
      <c r="U381" s="1544"/>
      <c r="V381" s="1544"/>
      <c r="W381" s="1544"/>
      <c r="X381" s="1544"/>
      <c r="Y381" s="1544"/>
      <c r="Z381" s="1544"/>
      <c r="AA381" s="1544"/>
      <c r="AB381" s="1544"/>
      <c r="AC381" s="1544">
        <f t="shared" si="76"/>
        <v>1000</v>
      </c>
      <c r="AD381" s="1544">
        <v>1000</v>
      </c>
      <c r="AE381" s="1544"/>
      <c r="AF381" s="1544"/>
      <c r="AG381" s="1544"/>
      <c r="AH381" s="1544"/>
      <c r="AI381" s="1544"/>
      <c r="AJ381" s="1544"/>
    </row>
    <row r="382" spans="1:36" s="1519" customFormat="1" ht="12.75" customHeight="1" x14ac:dyDescent="0.25">
      <c r="A382" s="1738" t="s">
        <v>11</v>
      </c>
      <c r="B382" s="1739" t="s">
        <v>1896</v>
      </c>
      <c r="C382" s="1739"/>
      <c r="D382" s="1739"/>
      <c r="E382" s="1739"/>
      <c r="F382" s="1739"/>
      <c r="G382" s="1739"/>
      <c r="H382" s="1739"/>
      <c r="I382" s="1739"/>
      <c r="J382" s="1739"/>
      <c r="K382" s="1739"/>
      <c r="L382" s="1739"/>
      <c r="M382" s="1739"/>
      <c r="N382" s="1739"/>
      <c r="O382" s="1739"/>
      <c r="P382" s="1739"/>
      <c r="Q382" s="1739"/>
      <c r="R382" s="1739"/>
      <c r="S382" s="1739"/>
      <c r="T382" s="1739"/>
      <c r="U382" s="1739"/>
      <c r="V382" s="1739"/>
      <c r="W382" s="1739"/>
      <c r="X382" s="1739"/>
      <c r="Y382" s="1739"/>
      <c r="Z382" s="1739"/>
      <c r="AA382" s="1739"/>
      <c r="AB382" s="1739"/>
      <c r="AC382" s="1739">
        <f t="shared" si="76"/>
        <v>8000</v>
      </c>
      <c r="AD382" s="1739">
        <v>8000</v>
      </c>
      <c r="AE382" s="1739"/>
      <c r="AF382" s="1739"/>
      <c r="AG382" s="1739"/>
      <c r="AH382" s="1739"/>
      <c r="AI382" s="1739"/>
      <c r="AJ382" s="1630"/>
    </row>
    <row r="383" spans="1:36" ht="21" customHeight="1" x14ac:dyDescent="0.25">
      <c r="A383" s="1551"/>
      <c r="C383" s="1551"/>
      <c r="D383" s="1551"/>
      <c r="E383" s="1551"/>
      <c r="F383" s="1551"/>
      <c r="G383" s="1551"/>
      <c r="H383" s="1551"/>
      <c r="I383" s="1551"/>
      <c r="J383" s="1551"/>
      <c r="K383" s="1551"/>
      <c r="L383" s="1551"/>
      <c r="M383" s="1551"/>
      <c r="N383" s="1551"/>
      <c r="O383" s="1551"/>
      <c r="P383" s="1551"/>
      <c r="Q383" s="1551"/>
      <c r="R383" s="1551"/>
      <c r="S383" s="1551"/>
      <c r="T383" s="1551"/>
      <c r="U383" s="1551"/>
      <c r="V383" s="1551"/>
      <c r="W383" s="1551"/>
      <c r="X383" s="1551"/>
      <c r="Y383" s="1551"/>
      <c r="Z383" s="1551"/>
      <c r="AA383" s="1551"/>
      <c r="AB383" s="1551"/>
      <c r="AC383" s="1551"/>
      <c r="AD383" s="1551"/>
      <c r="AE383" s="1551"/>
      <c r="AF383" s="1551"/>
      <c r="AG383" s="1551"/>
      <c r="AH383" s="1551"/>
      <c r="AI383" s="1551"/>
      <c r="AJ383" s="1551"/>
    </row>
    <row r="384" spans="1:36" x14ac:dyDescent="0.25">
      <c r="A384" s="1551"/>
      <c r="C384" s="1551"/>
      <c r="D384" s="1551"/>
      <c r="E384" s="1551"/>
      <c r="F384" s="1551"/>
      <c r="G384" s="1551"/>
      <c r="H384" s="1551"/>
      <c r="I384" s="1551"/>
      <c r="J384" s="1551"/>
      <c r="K384" s="1551"/>
      <c r="L384" s="1551"/>
      <c r="M384" s="1551"/>
      <c r="N384" s="1551"/>
      <c r="O384" s="1551"/>
      <c r="P384" s="1551"/>
      <c r="Q384" s="1551"/>
      <c r="R384" s="1551"/>
      <c r="S384" s="1551"/>
      <c r="T384" s="1551"/>
      <c r="U384" s="1551"/>
      <c r="V384" s="1551"/>
      <c r="W384" s="1551"/>
      <c r="X384" s="1551"/>
      <c r="Y384" s="1551"/>
      <c r="Z384" s="1551"/>
      <c r="AA384" s="1551"/>
      <c r="AB384" s="1551"/>
      <c r="AC384" s="1551"/>
      <c r="AD384" s="1551"/>
      <c r="AE384" s="1551"/>
      <c r="AF384" s="1551"/>
      <c r="AG384" s="1551"/>
      <c r="AH384" s="1551"/>
      <c r="AI384" s="1551"/>
      <c r="AJ384" s="1551"/>
    </row>
    <row r="385" spans="1:36" x14ac:dyDescent="0.25">
      <c r="A385" s="1551"/>
      <c r="C385" s="1551"/>
      <c r="D385" s="1551"/>
      <c r="E385" s="1551"/>
      <c r="F385" s="1551"/>
      <c r="G385" s="1551"/>
      <c r="H385" s="1551"/>
      <c r="I385" s="1551"/>
      <c r="J385" s="1551"/>
      <c r="K385" s="1551"/>
      <c r="L385" s="1551"/>
      <c r="M385" s="1551"/>
      <c r="N385" s="1551"/>
      <c r="O385" s="1551"/>
      <c r="P385" s="1551"/>
      <c r="Q385" s="1551"/>
      <c r="R385" s="1551"/>
      <c r="S385" s="1551"/>
      <c r="T385" s="1551"/>
      <c r="U385" s="1551"/>
      <c r="V385" s="1551"/>
      <c r="W385" s="1551"/>
      <c r="X385" s="1551"/>
      <c r="Y385" s="1551"/>
      <c r="Z385" s="1551"/>
      <c r="AA385" s="1551"/>
      <c r="AB385" s="1551"/>
      <c r="AC385" s="1551"/>
      <c r="AD385" s="1551"/>
      <c r="AE385" s="1551"/>
      <c r="AF385" s="1551"/>
      <c r="AG385" s="1551"/>
      <c r="AH385" s="1551"/>
      <c r="AI385" s="1551"/>
      <c r="AJ385" s="1551"/>
    </row>
    <row r="386" spans="1:36" x14ac:dyDescent="0.25">
      <c r="A386" s="1551"/>
      <c r="C386" s="1551"/>
      <c r="D386" s="1551"/>
      <c r="E386" s="1551"/>
      <c r="F386" s="1551"/>
      <c r="G386" s="1551"/>
      <c r="H386" s="1551"/>
      <c r="I386" s="1551"/>
      <c r="J386" s="1551"/>
      <c r="K386" s="1551"/>
      <c r="L386" s="1551"/>
      <c r="M386" s="1551"/>
      <c r="N386" s="1551"/>
      <c r="O386" s="1551"/>
      <c r="P386" s="1551"/>
      <c r="Q386" s="1551"/>
      <c r="R386" s="1551"/>
      <c r="S386" s="1551"/>
      <c r="T386" s="1551"/>
      <c r="U386" s="1551"/>
      <c r="V386" s="1551"/>
      <c r="W386" s="1551"/>
      <c r="X386" s="1551"/>
      <c r="Y386" s="1551"/>
      <c r="Z386" s="1551"/>
      <c r="AA386" s="1551"/>
      <c r="AB386" s="1551"/>
      <c r="AC386" s="1551"/>
      <c r="AD386" s="1551"/>
      <c r="AE386" s="1551"/>
      <c r="AF386" s="1551"/>
      <c r="AG386" s="1551"/>
      <c r="AH386" s="1551"/>
      <c r="AI386" s="1551"/>
      <c r="AJ386" s="1551"/>
    </row>
    <row r="387" spans="1:36" x14ac:dyDescent="0.25">
      <c r="A387" s="1551"/>
      <c r="C387" s="1551"/>
      <c r="D387" s="1551"/>
      <c r="E387" s="1551"/>
      <c r="F387" s="1551"/>
      <c r="G387" s="1551"/>
      <c r="H387" s="1551"/>
      <c r="I387" s="1551"/>
      <c r="J387" s="1551"/>
      <c r="K387" s="1551"/>
      <c r="L387" s="1551"/>
      <c r="M387" s="1551"/>
      <c r="N387" s="1551"/>
      <c r="O387" s="1551"/>
      <c r="P387" s="1551"/>
      <c r="Q387" s="1551"/>
      <c r="R387" s="1551"/>
      <c r="S387" s="1551"/>
      <c r="T387" s="1551"/>
      <c r="U387" s="1551"/>
      <c r="V387" s="1551"/>
      <c r="W387" s="1551"/>
      <c r="X387" s="1551"/>
      <c r="Y387" s="1551"/>
      <c r="Z387" s="1551"/>
      <c r="AA387" s="1551"/>
      <c r="AB387" s="1551"/>
      <c r="AC387" s="1551"/>
      <c r="AD387" s="1551"/>
      <c r="AE387" s="1551"/>
      <c r="AF387" s="1551"/>
      <c r="AG387" s="1551"/>
      <c r="AH387" s="1551"/>
      <c r="AI387" s="1551"/>
      <c r="AJ387" s="1551"/>
    </row>
    <row r="388" spans="1:36" x14ac:dyDescent="0.25">
      <c r="A388" s="1551"/>
      <c r="C388" s="1551"/>
      <c r="D388" s="1551"/>
      <c r="E388" s="1551"/>
      <c r="F388" s="1551"/>
      <c r="G388" s="1551"/>
      <c r="H388" s="1551"/>
      <c r="I388" s="1551"/>
      <c r="J388" s="1551"/>
      <c r="K388" s="1551"/>
      <c r="L388" s="1551"/>
      <c r="M388" s="1551"/>
      <c r="N388" s="1551"/>
      <c r="O388" s="1551"/>
      <c r="P388" s="1551"/>
      <c r="Q388" s="1551"/>
      <c r="R388" s="1551"/>
      <c r="S388" s="1551"/>
      <c r="T388" s="1551"/>
      <c r="U388" s="1551"/>
      <c r="V388" s="1551"/>
      <c r="W388" s="1551"/>
      <c r="X388" s="1551"/>
      <c r="Y388" s="1551"/>
      <c r="Z388" s="1551"/>
      <c r="AA388" s="1551"/>
      <c r="AB388" s="1551"/>
      <c r="AC388" s="1551"/>
      <c r="AD388" s="1551"/>
      <c r="AE388" s="1551"/>
      <c r="AF388" s="1551"/>
      <c r="AG388" s="1551"/>
      <c r="AH388" s="1551"/>
      <c r="AI388" s="1551"/>
      <c r="AJ388" s="1551"/>
    </row>
    <row r="389" spans="1:36" x14ac:dyDescent="0.25">
      <c r="A389" s="1551"/>
      <c r="C389" s="1551"/>
      <c r="D389" s="1551"/>
      <c r="E389" s="1551"/>
      <c r="F389" s="1551"/>
      <c r="G389" s="1551"/>
      <c r="H389" s="1551"/>
      <c r="I389" s="1551"/>
      <c r="J389" s="1551"/>
      <c r="K389" s="1551"/>
      <c r="L389" s="1551"/>
      <c r="M389" s="1551"/>
      <c r="N389" s="1551"/>
      <c r="O389" s="1551"/>
      <c r="P389" s="1551"/>
      <c r="Q389" s="1551"/>
      <c r="R389" s="1551"/>
      <c r="S389" s="1551"/>
      <c r="T389" s="1551"/>
      <c r="U389" s="1551"/>
      <c r="V389" s="1551"/>
      <c r="W389" s="1551"/>
      <c r="X389" s="1551"/>
      <c r="Y389" s="1551"/>
      <c r="Z389" s="1551"/>
      <c r="AA389" s="1551"/>
      <c r="AB389" s="1551"/>
      <c r="AC389" s="1551"/>
      <c r="AD389" s="1551"/>
      <c r="AE389" s="1551"/>
      <c r="AF389" s="1551"/>
      <c r="AG389" s="1551"/>
      <c r="AH389" s="1551"/>
      <c r="AI389" s="1551"/>
      <c r="AJ389" s="1551"/>
    </row>
    <row r="390" spans="1:36" x14ac:dyDescent="0.25">
      <c r="A390" s="1551"/>
      <c r="C390" s="1551"/>
      <c r="D390" s="1551"/>
      <c r="E390" s="1551"/>
      <c r="F390" s="1551"/>
      <c r="G390" s="1551"/>
      <c r="H390" s="1551"/>
      <c r="I390" s="1551"/>
      <c r="J390" s="1551"/>
      <c r="K390" s="1551"/>
      <c r="L390" s="1551"/>
      <c r="M390" s="1551"/>
      <c r="N390" s="1551"/>
      <c r="O390" s="1551"/>
      <c r="P390" s="1551"/>
      <c r="Q390" s="1551"/>
      <c r="R390" s="1551"/>
      <c r="S390" s="1551"/>
      <c r="T390" s="1551"/>
      <c r="U390" s="1551"/>
      <c r="V390" s="1551"/>
      <c r="W390" s="1551"/>
      <c r="X390" s="1551"/>
      <c r="Y390" s="1551"/>
      <c r="Z390" s="1551"/>
      <c r="AA390" s="1551"/>
      <c r="AB390" s="1551"/>
      <c r="AC390" s="1551"/>
      <c r="AD390" s="1551"/>
      <c r="AE390" s="1551"/>
      <c r="AF390" s="1551"/>
      <c r="AG390" s="1551"/>
      <c r="AH390" s="1551"/>
      <c r="AI390" s="1551"/>
      <c r="AJ390" s="1551"/>
    </row>
    <row r="391" spans="1:36" x14ac:dyDescent="0.25">
      <c r="A391" s="1551"/>
      <c r="C391" s="1551"/>
      <c r="D391" s="1551"/>
      <c r="E391" s="1551"/>
      <c r="F391" s="1551"/>
      <c r="G391" s="1551"/>
      <c r="H391" s="1551"/>
      <c r="I391" s="1551"/>
      <c r="J391" s="1551"/>
      <c r="K391" s="1551"/>
      <c r="L391" s="1551"/>
      <c r="M391" s="1551"/>
      <c r="N391" s="1551"/>
      <c r="O391" s="1551"/>
      <c r="P391" s="1551"/>
      <c r="Q391" s="1551"/>
      <c r="R391" s="1551"/>
      <c r="S391" s="1551"/>
      <c r="T391" s="1551"/>
      <c r="U391" s="1551"/>
      <c r="V391" s="1551"/>
      <c r="W391" s="1551"/>
      <c r="X391" s="1551"/>
      <c r="Y391" s="1551"/>
      <c r="Z391" s="1551"/>
      <c r="AA391" s="1551"/>
      <c r="AB391" s="1551"/>
      <c r="AC391" s="1551"/>
      <c r="AD391" s="1551"/>
      <c r="AE391" s="1551"/>
      <c r="AF391" s="1551"/>
      <c r="AG391" s="1551"/>
      <c r="AH391" s="1551"/>
      <c r="AI391" s="1551"/>
      <c r="AJ391" s="1551"/>
    </row>
    <row r="392" spans="1:36" x14ac:dyDescent="0.25">
      <c r="A392" s="1551"/>
      <c r="C392" s="1551"/>
      <c r="D392" s="1551"/>
      <c r="E392" s="1551"/>
      <c r="F392" s="1551"/>
      <c r="G392" s="1551"/>
      <c r="H392" s="1551"/>
      <c r="I392" s="1551"/>
      <c r="J392" s="1551"/>
      <c r="K392" s="1551"/>
      <c r="L392" s="1551"/>
      <c r="M392" s="1551"/>
      <c r="N392" s="1551"/>
      <c r="O392" s="1551"/>
      <c r="P392" s="1551"/>
      <c r="Q392" s="1551"/>
      <c r="R392" s="1551"/>
      <c r="S392" s="1551"/>
      <c r="T392" s="1551"/>
      <c r="U392" s="1551"/>
      <c r="V392" s="1551"/>
      <c r="W392" s="1551"/>
      <c r="X392" s="1551"/>
      <c r="Y392" s="1551"/>
      <c r="Z392" s="1551"/>
      <c r="AA392" s="1551"/>
      <c r="AB392" s="1551"/>
      <c r="AC392" s="1551"/>
      <c r="AD392" s="1551"/>
      <c r="AE392" s="1551"/>
      <c r="AF392" s="1551"/>
      <c r="AG392" s="1551"/>
      <c r="AH392" s="1551"/>
      <c r="AI392" s="1551"/>
      <c r="AJ392" s="1551"/>
    </row>
    <row r="393" spans="1:36" x14ac:dyDescent="0.25">
      <c r="A393" s="1551"/>
      <c r="C393" s="1551"/>
      <c r="D393" s="1551"/>
      <c r="E393" s="1551"/>
      <c r="F393" s="1551"/>
      <c r="G393" s="1551"/>
      <c r="H393" s="1551"/>
      <c r="I393" s="1551"/>
      <c r="J393" s="1551"/>
      <c r="K393" s="1551"/>
      <c r="L393" s="1551"/>
      <c r="M393" s="1551"/>
      <c r="N393" s="1551"/>
      <c r="O393" s="1551"/>
      <c r="P393" s="1551"/>
      <c r="Q393" s="1551"/>
      <c r="R393" s="1551"/>
      <c r="S393" s="1551"/>
      <c r="T393" s="1551"/>
      <c r="U393" s="1551"/>
      <c r="V393" s="1551"/>
      <c r="W393" s="1551"/>
      <c r="X393" s="1551"/>
      <c r="Y393" s="1551"/>
      <c r="Z393" s="1551"/>
      <c r="AA393" s="1551"/>
      <c r="AB393" s="1551"/>
      <c r="AC393" s="1551"/>
      <c r="AD393" s="1551"/>
      <c r="AE393" s="1551"/>
      <c r="AF393" s="1551"/>
      <c r="AG393" s="1551"/>
      <c r="AH393" s="1551"/>
      <c r="AI393" s="1551"/>
      <c r="AJ393" s="1551"/>
    </row>
    <row r="394" spans="1:36" x14ac:dyDescent="0.25">
      <c r="A394" s="1551"/>
      <c r="C394" s="1551"/>
      <c r="D394" s="1551"/>
      <c r="E394" s="1551"/>
      <c r="F394" s="1551"/>
      <c r="G394" s="1551"/>
      <c r="H394" s="1551"/>
      <c r="I394" s="1551"/>
      <c r="J394" s="1551"/>
      <c r="K394" s="1551"/>
      <c r="L394" s="1551"/>
      <c r="M394" s="1551"/>
      <c r="N394" s="1551"/>
      <c r="O394" s="1551"/>
      <c r="P394" s="1551"/>
      <c r="Q394" s="1551"/>
      <c r="R394" s="1551"/>
      <c r="S394" s="1551"/>
      <c r="T394" s="1551"/>
      <c r="U394" s="1551"/>
      <c r="V394" s="1551"/>
      <c r="W394" s="1551"/>
      <c r="X394" s="1551"/>
      <c r="Y394" s="1551"/>
      <c r="Z394" s="1551"/>
      <c r="AA394" s="1551"/>
      <c r="AB394" s="1551"/>
      <c r="AC394" s="1551"/>
      <c r="AD394" s="1551"/>
      <c r="AE394" s="1551"/>
      <c r="AF394" s="1551"/>
      <c r="AG394" s="1551"/>
      <c r="AH394" s="1551"/>
      <c r="AI394" s="1551"/>
      <c r="AJ394" s="1551"/>
    </row>
    <row r="395" spans="1:36" x14ac:dyDescent="0.25">
      <c r="A395" s="1551"/>
      <c r="C395" s="1551"/>
      <c r="D395" s="1551"/>
      <c r="E395" s="1551"/>
      <c r="F395" s="1551"/>
      <c r="G395" s="1551"/>
      <c r="H395" s="1551"/>
      <c r="I395" s="1551"/>
      <c r="J395" s="1551"/>
      <c r="K395" s="1551"/>
      <c r="L395" s="1551"/>
      <c r="M395" s="1551"/>
      <c r="N395" s="1551"/>
      <c r="O395" s="1551"/>
      <c r="P395" s="1551"/>
      <c r="Q395" s="1551"/>
      <c r="R395" s="1551"/>
      <c r="S395" s="1551"/>
      <c r="T395" s="1551"/>
      <c r="U395" s="1551"/>
      <c r="V395" s="1551"/>
      <c r="W395" s="1551"/>
      <c r="X395" s="1551"/>
      <c r="Y395" s="1551"/>
      <c r="Z395" s="1551"/>
      <c r="AA395" s="1551"/>
      <c r="AB395" s="1551"/>
      <c r="AC395" s="1551"/>
      <c r="AD395" s="1551"/>
      <c r="AE395" s="1551"/>
      <c r="AF395" s="1551"/>
      <c r="AG395" s="1551"/>
      <c r="AH395" s="1551"/>
      <c r="AI395" s="1551"/>
      <c r="AJ395" s="1551"/>
    </row>
    <row r="396" spans="1:36" x14ac:dyDescent="0.25">
      <c r="A396" s="1551"/>
      <c r="C396" s="1551"/>
      <c r="D396" s="1551"/>
      <c r="E396" s="1551"/>
      <c r="F396" s="1551"/>
      <c r="G396" s="1551"/>
      <c r="H396" s="1551"/>
      <c r="I396" s="1551"/>
      <c r="J396" s="1551"/>
      <c r="K396" s="1551"/>
      <c r="L396" s="1551"/>
      <c r="M396" s="1551"/>
      <c r="N396" s="1551"/>
      <c r="O396" s="1551"/>
      <c r="P396" s="1551"/>
      <c r="Q396" s="1551"/>
      <c r="R396" s="1551"/>
      <c r="S396" s="1551"/>
      <c r="T396" s="1551"/>
      <c r="U396" s="1551"/>
      <c r="V396" s="1551"/>
      <c r="W396" s="1551"/>
      <c r="X396" s="1551"/>
      <c r="Y396" s="1551"/>
      <c r="Z396" s="1551"/>
      <c r="AA396" s="1551"/>
      <c r="AB396" s="1551"/>
      <c r="AC396" s="1551"/>
      <c r="AD396" s="1551"/>
      <c r="AE396" s="1551"/>
      <c r="AF396" s="1551"/>
      <c r="AG396" s="1551"/>
      <c r="AH396" s="1551"/>
      <c r="AI396" s="1551"/>
      <c r="AJ396" s="1551"/>
    </row>
    <row r="397" spans="1:36" x14ac:dyDescent="0.25">
      <c r="A397" s="1551"/>
      <c r="C397" s="1551"/>
      <c r="D397" s="1551"/>
      <c r="E397" s="1551"/>
      <c r="F397" s="1551"/>
      <c r="G397" s="1551"/>
      <c r="H397" s="1551"/>
      <c r="I397" s="1551"/>
      <c r="J397" s="1551"/>
      <c r="K397" s="1551"/>
      <c r="L397" s="1551"/>
      <c r="M397" s="1551"/>
      <c r="N397" s="1551"/>
      <c r="O397" s="1551"/>
      <c r="P397" s="1551"/>
      <c r="Q397" s="1551"/>
      <c r="R397" s="1551"/>
      <c r="S397" s="1551"/>
      <c r="T397" s="1551"/>
      <c r="U397" s="1551"/>
      <c r="V397" s="1551"/>
      <c r="W397" s="1551"/>
      <c r="X397" s="1551"/>
      <c r="Y397" s="1551"/>
      <c r="Z397" s="1551"/>
      <c r="AA397" s="1551"/>
      <c r="AB397" s="1551"/>
      <c r="AC397" s="1551"/>
      <c r="AD397" s="1551"/>
      <c r="AE397" s="1551"/>
      <c r="AF397" s="1551"/>
      <c r="AG397" s="1551"/>
      <c r="AH397" s="1551"/>
      <c r="AI397" s="1551"/>
      <c r="AJ397" s="1551"/>
    </row>
    <row r="398" spans="1:36" x14ac:dyDescent="0.25">
      <c r="A398" s="1551"/>
      <c r="C398" s="1551"/>
      <c r="D398" s="1551"/>
      <c r="E398" s="1551"/>
      <c r="F398" s="1551"/>
      <c r="G398" s="1551"/>
      <c r="H398" s="1551"/>
      <c r="I398" s="1551"/>
      <c r="J398" s="1551"/>
      <c r="K398" s="1551"/>
      <c r="L398" s="1551"/>
      <c r="M398" s="1551"/>
      <c r="N398" s="1551"/>
      <c r="O398" s="1551"/>
      <c r="P398" s="1551"/>
      <c r="Q398" s="1551"/>
      <c r="R398" s="1551"/>
      <c r="S398" s="1551"/>
      <c r="T398" s="1551"/>
      <c r="U398" s="1551"/>
      <c r="V398" s="1551"/>
      <c r="W398" s="1551"/>
      <c r="X398" s="1551"/>
      <c r="Y398" s="1551"/>
      <c r="Z398" s="1551"/>
      <c r="AA398" s="1551"/>
      <c r="AB398" s="1551"/>
      <c r="AC398" s="1551"/>
      <c r="AD398" s="1551"/>
      <c r="AE398" s="1551"/>
      <c r="AF398" s="1551"/>
      <c r="AG398" s="1551"/>
      <c r="AH398" s="1551"/>
      <c r="AI398" s="1551"/>
      <c r="AJ398" s="1551"/>
    </row>
    <row r="399" spans="1:36" x14ac:dyDescent="0.25">
      <c r="A399" s="1551"/>
      <c r="C399" s="1551"/>
      <c r="D399" s="1551"/>
      <c r="E399" s="1551"/>
      <c r="F399" s="1551"/>
      <c r="G399" s="1551"/>
      <c r="H399" s="1551"/>
      <c r="I399" s="1551"/>
      <c r="J399" s="1551"/>
      <c r="K399" s="1551"/>
      <c r="L399" s="1551"/>
      <c r="M399" s="1551"/>
      <c r="N399" s="1551"/>
      <c r="O399" s="1551"/>
      <c r="P399" s="1551"/>
      <c r="Q399" s="1551"/>
      <c r="R399" s="1551"/>
      <c r="S399" s="1551"/>
      <c r="T399" s="1551"/>
      <c r="U399" s="1551"/>
      <c r="V399" s="1551"/>
      <c r="W399" s="1551"/>
      <c r="X399" s="1551"/>
      <c r="Y399" s="1551"/>
      <c r="Z399" s="1551"/>
      <c r="AA399" s="1551"/>
      <c r="AB399" s="1551"/>
      <c r="AC399" s="1551"/>
      <c r="AD399" s="1551"/>
      <c r="AE399" s="1551"/>
      <c r="AF399" s="1551"/>
      <c r="AG399" s="1551"/>
      <c r="AH399" s="1551"/>
      <c r="AI399" s="1551"/>
      <c r="AJ399" s="1551"/>
    </row>
    <row r="400" spans="1:36" x14ac:dyDescent="0.25">
      <c r="A400" s="1551"/>
      <c r="C400" s="1551"/>
      <c r="D400" s="1551"/>
      <c r="E400" s="1551"/>
      <c r="F400" s="1551"/>
      <c r="G400" s="1551"/>
      <c r="H400" s="1551"/>
      <c r="I400" s="1551"/>
      <c r="J400" s="1551"/>
      <c r="K400" s="1551"/>
      <c r="L400" s="1551"/>
      <c r="M400" s="1551"/>
      <c r="N400" s="1551"/>
      <c r="O400" s="1551"/>
      <c r="P400" s="1551"/>
      <c r="Q400" s="1551"/>
      <c r="R400" s="1551"/>
      <c r="S400" s="1551"/>
      <c r="T400" s="1551"/>
      <c r="U400" s="1551"/>
      <c r="V400" s="1551"/>
      <c r="W400" s="1551"/>
      <c r="X400" s="1551"/>
      <c r="Y400" s="1551"/>
      <c r="Z400" s="1551"/>
      <c r="AA400" s="1551"/>
      <c r="AB400" s="1551"/>
      <c r="AC400" s="1551"/>
      <c r="AD400" s="1551"/>
      <c r="AE400" s="1551"/>
      <c r="AF400" s="1551"/>
      <c r="AG400" s="1551"/>
      <c r="AH400" s="1551"/>
      <c r="AI400" s="1551"/>
      <c r="AJ400" s="1551"/>
    </row>
    <row r="401" spans="1:36" x14ac:dyDescent="0.25">
      <c r="A401" s="1551"/>
      <c r="C401" s="1551"/>
      <c r="D401" s="1551"/>
      <c r="E401" s="1551"/>
      <c r="F401" s="1551"/>
      <c r="G401" s="1551"/>
      <c r="H401" s="1551"/>
      <c r="I401" s="1551"/>
      <c r="J401" s="1551"/>
      <c r="K401" s="1551"/>
      <c r="L401" s="1551"/>
      <c r="M401" s="1551"/>
      <c r="N401" s="1551"/>
      <c r="O401" s="1551"/>
      <c r="P401" s="1551"/>
      <c r="Q401" s="1551"/>
      <c r="R401" s="1551"/>
      <c r="S401" s="1551"/>
      <c r="T401" s="1551"/>
      <c r="U401" s="1551"/>
      <c r="V401" s="1551"/>
      <c r="W401" s="1551"/>
      <c r="X401" s="1551"/>
      <c r="Y401" s="1551"/>
      <c r="Z401" s="1551"/>
      <c r="AA401" s="1551"/>
      <c r="AB401" s="1551"/>
      <c r="AC401" s="1551"/>
      <c r="AD401" s="1551"/>
      <c r="AE401" s="1551"/>
      <c r="AF401" s="1551"/>
      <c r="AG401" s="1551"/>
      <c r="AH401" s="1551"/>
      <c r="AI401" s="1551"/>
      <c r="AJ401" s="1551"/>
    </row>
    <row r="402" spans="1:36" x14ac:dyDescent="0.25">
      <c r="A402" s="1551"/>
      <c r="C402" s="1551"/>
      <c r="D402" s="1551"/>
      <c r="E402" s="1551"/>
      <c r="F402" s="1551"/>
      <c r="G402" s="1551"/>
      <c r="H402" s="1551"/>
      <c r="I402" s="1551"/>
      <c r="J402" s="1551"/>
      <c r="K402" s="1551"/>
      <c r="L402" s="1551"/>
      <c r="M402" s="1551"/>
      <c r="N402" s="1551"/>
      <c r="O402" s="1551"/>
      <c r="P402" s="1551"/>
      <c r="Q402" s="1551"/>
      <c r="R402" s="1551"/>
      <c r="S402" s="1551"/>
      <c r="T402" s="1551"/>
      <c r="U402" s="1551"/>
      <c r="V402" s="1551"/>
      <c r="W402" s="1551"/>
      <c r="X402" s="1551"/>
      <c r="Y402" s="1551"/>
      <c r="Z402" s="1551"/>
      <c r="AA402" s="1551"/>
      <c r="AB402" s="1551"/>
      <c r="AC402" s="1551"/>
      <c r="AD402" s="1551"/>
      <c r="AE402" s="1551"/>
      <c r="AF402" s="1551"/>
      <c r="AG402" s="1551"/>
      <c r="AH402" s="1551"/>
      <c r="AI402" s="1551"/>
      <c r="AJ402" s="1551"/>
    </row>
    <row r="403" spans="1:36" x14ac:dyDescent="0.25">
      <c r="A403" s="1551"/>
      <c r="C403" s="1551"/>
      <c r="D403" s="1551"/>
      <c r="E403" s="1551"/>
      <c r="F403" s="1551"/>
      <c r="G403" s="1551"/>
      <c r="H403" s="1551"/>
      <c r="I403" s="1551"/>
      <c r="J403" s="1551"/>
      <c r="K403" s="1551"/>
      <c r="L403" s="1551"/>
      <c r="M403" s="1551"/>
      <c r="N403" s="1551"/>
      <c r="O403" s="1551"/>
      <c r="P403" s="1551"/>
      <c r="Q403" s="1551"/>
      <c r="R403" s="1551"/>
      <c r="S403" s="1551"/>
      <c r="T403" s="1551"/>
      <c r="U403" s="1551"/>
      <c r="V403" s="1551"/>
      <c r="W403" s="1551"/>
      <c r="X403" s="1551"/>
      <c r="Y403" s="1551"/>
      <c r="Z403" s="1551"/>
      <c r="AA403" s="1551"/>
      <c r="AB403" s="1551"/>
      <c r="AC403" s="1551"/>
      <c r="AD403" s="1551"/>
      <c r="AE403" s="1551"/>
      <c r="AF403" s="1551"/>
      <c r="AG403" s="1551"/>
      <c r="AH403" s="1551"/>
      <c r="AI403" s="1551"/>
      <c r="AJ403" s="1551"/>
    </row>
    <row r="404" spans="1:36" x14ac:dyDescent="0.25">
      <c r="A404" s="1551"/>
      <c r="C404" s="1551"/>
      <c r="D404" s="1551"/>
      <c r="E404" s="1551"/>
      <c r="F404" s="1551"/>
      <c r="G404" s="1551"/>
      <c r="H404" s="1551"/>
      <c r="I404" s="1551"/>
      <c r="J404" s="1551"/>
      <c r="K404" s="1551"/>
      <c r="L404" s="1551"/>
      <c r="M404" s="1551"/>
      <c r="N404" s="1551"/>
      <c r="O404" s="1551"/>
      <c r="P404" s="1551"/>
      <c r="Q404" s="1551"/>
      <c r="R404" s="1551"/>
      <c r="S404" s="1551"/>
      <c r="T404" s="1551"/>
      <c r="U404" s="1551"/>
      <c r="V404" s="1551"/>
      <c r="W404" s="1551"/>
      <c r="X404" s="1551"/>
      <c r="Y404" s="1551"/>
      <c r="Z404" s="1551"/>
      <c r="AA404" s="1551"/>
      <c r="AB404" s="1551"/>
      <c r="AC404" s="1551"/>
      <c r="AD404" s="1551"/>
      <c r="AE404" s="1551"/>
      <c r="AF404" s="1551"/>
      <c r="AG404" s="1551"/>
      <c r="AH404" s="1551"/>
      <c r="AI404" s="1551"/>
      <c r="AJ404" s="1551"/>
    </row>
    <row r="405" spans="1:36" x14ac:dyDescent="0.25">
      <c r="A405" s="1551"/>
      <c r="C405" s="1551"/>
      <c r="D405" s="1551"/>
      <c r="E405" s="1551"/>
      <c r="F405" s="1551"/>
      <c r="G405" s="1551"/>
      <c r="H405" s="1551"/>
      <c r="I405" s="1551"/>
      <c r="J405" s="1551"/>
      <c r="K405" s="1551"/>
      <c r="L405" s="1551"/>
      <c r="M405" s="1551"/>
      <c r="N405" s="1551"/>
      <c r="O405" s="1551"/>
      <c r="P405" s="1551"/>
      <c r="Q405" s="1551"/>
      <c r="R405" s="1551"/>
      <c r="S405" s="1551"/>
      <c r="T405" s="1551"/>
      <c r="U405" s="1551"/>
      <c r="V405" s="1551"/>
      <c r="W405" s="1551"/>
      <c r="X405" s="1551"/>
      <c r="Y405" s="1551"/>
      <c r="Z405" s="1551"/>
      <c r="AA405" s="1551"/>
      <c r="AB405" s="1551"/>
      <c r="AC405" s="1551"/>
      <c r="AD405" s="1551"/>
      <c r="AE405" s="1551"/>
      <c r="AF405" s="1551"/>
      <c r="AG405" s="1551"/>
      <c r="AH405" s="1551"/>
      <c r="AI405" s="1551"/>
      <c r="AJ405" s="1551"/>
    </row>
    <row r="406" spans="1:36" x14ac:dyDescent="0.25">
      <c r="A406" s="1551"/>
      <c r="C406" s="1551"/>
      <c r="D406" s="1551"/>
      <c r="E406" s="1551"/>
      <c r="F406" s="1551"/>
      <c r="G406" s="1551"/>
      <c r="H406" s="1551"/>
      <c r="I406" s="1551"/>
      <c r="J406" s="1551"/>
      <c r="K406" s="1551"/>
      <c r="L406" s="1551"/>
      <c r="M406" s="1551"/>
      <c r="N406" s="1551"/>
      <c r="O406" s="1551"/>
      <c r="P406" s="1551"/>
      <c r="Q406" s="1551"/>
      <c r="R406" s="1551"/>
      <c r="S406" s="1551"/>
      <c r="T406" s="1551"/>
      <c r="U406" s="1551"/>
      <c r="V406" s="1551"/>
      <c r="W406" s="1551"/>
      <c r="X406" s="1551"/>
      <c r="Y406" s="1551"/>
      <c r="Z406" s="1551"/>
      <c r="AA406" s="1551"/>
      <c r="AB406" s="1551"/>
      <c r="AC406" s="1551"/>
      <c r="AD406" s="1551"/>
      <c r="AE406" s="1551"/>
      <c r="AF406" s="1551"/>
      <c r="AG406" s="1551"/>
      <c r="AH406" s="1551"/>
      <c r="AI406" s="1551"/>
      <c r="AJ406" s="1551"/>
    </row>
    <row r="407" spans="1:36" x14ac:dyDescent="0.25">
      <c r="A407" s="1551"/>
      <c r="C407" s="1551"/>
      <c r="D407" s="1551"/>
      <c r="E407" s="1551"/>
      <c r="F407" s="1551"/>
      <c r="G407" s="1551"/>
      <c r="H407" s="1551"/>
      <c r="I407" s="1551"/>
      <c r="J407" s="1551"/>
      <c r="K407" s="1551"/>
      <c r="L407" s="1551"/>
      <c r="M407" s="1551"/>
      <c r="N407" s="1551"/>
      <c r="O407" s="1551"/>
      <c r="P407" s="1551"/>
      <c r="Q407" s="1551"/>
      <c r="R407" s="1551"/>
      <c r="S407" s="1551"/>
      <c r="T407" s="1551"/>
      <c r="U407" s="1551"/>
      <c r="V407" s="1551"/>
      <c r="W407" s="1551"/>
      <c r="X407" s="1551"/>
      <c r="Y407" s="1551"/>
      <c r="Z407" s="1551"/>
      <c r="AA407" s="1551"/>
      <c r="AB407" s="1551"/>
      <c r="AC407" s="1551"/>
      <c r="AD407" s="1551"/>
      <c r="AE407" s="1551"/>
      <c r="AF407" s="1551"/>
      <c r="AG407" s="1551"/>
      <c r="AH407" s="1551"/>
      <c r="AI407" s="1551"/>
      <c r="AJ407" s="1551"/>
    </row>
    <row r="408" spans="1:36" x14ac:dyDescent="0.25">
      <c r="A408" s="1551"/>
      <c r="C408" s="1551"/>
      <c r="D408" s="1551"/>
      <c r="E408" s="1551"/>
      <c r="F408" s="1551"/>
      <c r="G408" s="1551"/>
      <c r="H408" s="1551"/>
      <c r="I408" s="1551"/>
      <c r="J408" s="1551"/>
      <c r="K408" s="1551"/>
      <c r="L408" s="1551"/>
      <c r="M408" s="1551"/>
      <c r="N408" s="1551"/>
      <c r="O408" s="1551"/>
      <c r="P408" s="1551"/>
      <c r="Q408" s="1551"/>
      <c r="R408" s="1551"/>
      <c r="S408" s="1551"/>
      <c r="T408" s="1551"/>
      <c r="U408" s="1551"/>
      <c r="V408" s="1551"/>
      <c r="W408" s="1551"/>
      <c r="X408" s="1551"/>
      <c r="Y408" s="1551"/>
      <c r="Z408" s="1551"/>
      <c r="AA408" s="1551"/>
      <c r="AB408" s="1551"/>
      <c r="AC408" s="1551"/>
      <c r="AD408" s="1551"/>
      <c r="AE408" s="1551"/>
      <c r="AF408" s="1551"/>
      <c r="AG408" s="1551"/>
      <c r="AH408" s="1551"/>
      <c r="AI408" s="1551"/>
      <c r="AJ408" s="1551"/>
    </row>
    <row r="409" spans="1:36" x14ac:dyDescent="0.25">
      <c r="A409" s="1551"/>
      <c r="C409" s="1551"/>
      <c r="D409" s="1551"/>
      <c r="E409" s="1551"/>
      <c r="F409" s="1551"/>
      <c r="G409" s="1551"/>
      <c r="H409" s="1551"/>
      <c r="I409" s="1551"/>
      <c r="J409" s="1551"/>
      <c r="K409" s="1551"/>
      <c r="L409" s="1551"/>
      <c r="M409" s="1551"/>
      <c r="N409" s="1551"/>
      <c r="O409" s="1551"/>
      <c r="P409" s="1551"/>
      <c r="Q409" s="1551"/>
      <c r="R409" s="1551"/>
      <c r="S409" s="1551"/>
      <c r="T409" s="1551"/>
      <c r="U409" s="1551"/>
      <c r="V409" s="1551"/>
      <c r="W409" s="1551"/>
      <c r="X409" s="1551"/>
      <c r="Y409" s="1551"/>
      <c r="Z409" s="1551"/>
      <c r="AA409" s="1551"/>
      <c r="AB409" s="1551"/>
      <c r="AC409" s="1551"/>
      <c r="AD409" s="1551"/>
      <c r="AE409" s="1551"/>
      <c r="AF409" s="1551"/>
      <c r="AG409" s="1551"/>
      <c r="AH409" s="1551"/>
      <c r="AI409" s="1551"/>
      <c r="AJ409" s="1551"/>
    </row>
    <row r="410" spans="1:36" x14ac:dyDescent="0.25">
      <c r="A410" s="1551"/>
      <c r="C410" s="1551"/>
      <c r="D410" s="1551"/>
      <c r="E410" s="1551"/>
      <c r="F410" s="1551"/>
      <c r="G410" s="1551"/>
      <c r="H410" s="1551"/>
      <c r="I410" s="1551"/>
      <c r="J410" s="1551"/>
      <c r="K410" s="1551"/>
      <c r="L410" s="1551"/>
      <c r="M410" s="1551"/>
      <c r="N410" s="1551"/>
      <c r="O410" s="1551"/>
      <c r="P410" s="1551"/>
      <c r="Q410" s="1551"/>
      <c r="R410" s="1551"/>
      <c r="S410" s="1551"/>
      <c r="T410" s="1551"/>
      <c r="U410" s="1551"/>
      <c r="V410" s="1551"/>
      <c r="W410" s="1551"/>
      <c r="X410" s="1551"/>
      <c r="Y410" s="1551"/>
      <c r="Z410" s="1551"/>
      <c r="AA410" s="1551"/>
      <c r="AB410" s="1551"/>
      <c r="AC410" s="1551"/>
      <c r="AD410" s="1551"/>
      <c r="AE410" s="1551"/>
      <c r="AF410" s="1551"/>
      <c r="AG410" s="1551"/>
      <c r="AH410" s="1551"/>
      <c r="AI410" s="1551"/>
      <c r="AJ410" s="1551"/>
    </row>
    <row r="411" spans="1:36" x14ac:dyDescent="0.25">
      <c r="A411" s="1551"/>
      <c r="C411" s="1551"/>
      <c r="D411" s="1551"/>
      <c r="E411" s="1551"/>
      <c r="F411" s="1551"/>
      <c r="G411" s="1551"/>
      <c r="H411" s="1551"/>
      <c r="I411" s="1551"/>
      <c r="J411" s="1551"/>
      <c r="K411" s="1551"/>
      <c r="L411" s="1551"/>
      <c r="M411" s="1551"/>
      <c r="N411" s="1551"/>
      <c r="O411" s="1551"/>
      <c r="P411" s="1551"/>
      <c r="Q411" s="1551"/>
      <c r="R411" s="1551"/>
      <c r="S411" s="1551"/>
      <c r="T411" s="1551"/>
      <c r="U411" s="1551"/>
      <c r="V411" s="1551"/>
      <c r="W411" s="1551"/>
      <c r="X411" s="1551"/>
      <c r="Y411" s="1551"/>
      <c r="Z411" s="1551"/>
      <c r="AA411" s="1551"/>
      <c r="AB411" s="1551"/>
      <c r="AC411" s="1551"/>
      <c r="AD411" s="1551"/>
      <c r="AE411" s="1551"/>
      <c r="AF411" s="1551"/>
      <c r="AG411" s="1551"/>
      <c r="AH411" s="1551"/>
      <c r="AI411" s="1551"/>
      <c r="AJ411" s="1551"/>
    </row>
    <row r="412" spans="1:36" x14ac:dyDescent="0.25">
      <c r="A412" s="1551"/>
      <c r="C412" s="1551"/>
      <c r="D412" s="1551"/>
      <c r="E412" s="1551"/>
      <c r="F412" s="1551"/>
      <c r="G412" s="1551"/>
      <c r="H412" s="1551"/>
      <c r="I412" s="1551"/>
      <c r="J412" s="1551"/>
      <c r="K412" s="1551"/>
      <c r="L412" s="1551"/>
      <c r="M412" s="1551"/>
      <c r="N412" s="1551"/>
      <c r="O412" s="1551"/>
      <c r="P412" s="1551"/>
      <c r="Q412" s="1551"/>
      <c r="R412" s="1551"/>
      <c r="S412" s="1551"/>
      <c r="T412" s="1551"/>
      <c r="U412" s="1551"/>
      <c r="V412" s="1551"/>
      <c r="W412" s="1551"/>
      <c r="X412" s="1551"/>
      <c r="Y412" s="1551"/>
      <c r="Z412" s="1551"/>
      <c r="AA412" s="1551"/>
      <c r="AB412" s="1551"/>
      <c r="AC412" s="1551"/>
      <c r="AD412" s="1551"/>
      <c r="AE412" s="1551"/>
      <c r="AF412" s="1551"/>
      <c r="AG412" s="1551"/>
      <c r="AH412" s="1551"/>
      <c r="AI412" s="1551"/>
      <c r="AJ412" s="1551"/>
    </row>
    <row r="413" spans="1:36" x14ac:dyDescent="0.25">
      <c r="A413" s="1551"/>
      <c r="C413" s="1551"/>
      <c r="D413" s="1551"/>
      <c r="E413" s="1551"/>
      <c r="F413" s="1551"/>
      <c r="G413" s="1551"/>
      <c r="H413" s="1551"/>
      <c r="I413" s="1551"/>
      <c r="J413" s="1551"/>
      <c r="K413" s="1551"/>
      <c r="L413" s="1551"/>
      <c r="M413" s="1551"/>
      <c r="N413" s="1551"/>
      <c r="O413" s="1551"/>
      <c r="P413" s="1551"/>
      <c r="Q413" s="1551"/>
      <c r="R413" s="1551"/>
      <c r="S413" s="1551"/>
      <c r="T413" s="1551"/>
      <c r="U413" s="1551"/>
      <c r="V413" s="1551"/>
      <c r="W413" s="1551"/>
      <c r="X413" s="1551"/>
      <c r="Y413" s="1551"/>
      <c r="Z413" s="1551"/>
      <c r="AA413" s="1551"/>
      <c r="AB413" s="1551"/>
      <c r="AC413" s="1551"/>
      <c r="AD413" s="1551"/>
      <c r="AE413" s="1551"/>
      <c r="AF413" s="1551"/>
      <c r="AG413" s="1551"/>
      <c r="AH413" s="1551"/>
      <c r="AI413" s="1551"/>
      <c r="AJ413" s="1551"/>
    </row>
    <row r="414" spans="1:36" x14ac:dyDescent="0.25">
      <c r="A414" s="1551"/>
      <c r="C414" s="1551"/>
      <c r="D414" s="1551"/>
      <c r="E414" s="1551"/>
      <c r="F414" s="1551"/>
      <c r="G414" s="1551"/>
      <c r="H414" s="1551"/>
      <c r="I414" s="1551"/>
      <c r="J414" s="1551"/>
      <c r="K414" s="1551"/>
      <c r="L414" s="1551"/>
      <c r="M414" s="1551"/>
      <c r="N414" s="1551"/>
      <c r="O414" s="1551"/>
      <c r="P414" s="1551"/>
      <c r="Q414" s="1551"/>
      <c r="R414" s="1551"/>
      <c r="S414" s="1551"/>
      <c r="T414" s="1551"/>
      <c r="U414" s="1551"/>
      <c r="V414" s="1551"/>
      <c r="W414" s="1551"/>
      <c r="X414" s="1551"/>
      <c r="Y414" s="1551"/>
      <c r="Z414" s="1551"/>
      <c r="AA414" s="1551"/>
      <c r="AB414" s="1551"/>
      <c r="AC414" s="1551"/>
      <c r="AD414" s="1551"/>
      <c r="AE414" s="1551"/>
      <c r="AF414" s="1551"/>
      <c r="AG414" s="1551"/>
      <c r="AH414" s="1551"/>
      <c r="AI414" s="1551"/>
      <c r="AJ414" s="1551"/>
    </row>
    <row r="415" spans="1:36" x14ac:dyDescent="0.25">
      <c r="A415" s="1551"/>
      <c r="C415" s="1551"/>
      <c r="D415" s="1551"/>
      <c r="E415" s="1551"/>
      <c r="F415" s="1551"/>
      <c r="G415" s="1551"/>
      <c r="H415" s="1551"/>
      <c r="I415" s="1551"/>
      <c r="J415" s="1551"/>
      <c r="K415" s="1551"/>
      <c r="L415" s="1551"/>
      <c r="M415" s="1551"/>
      <c r="N415" s="1551"/>
      <c r="O415" s="1551"/>
      <c r="P415" s="1551"/>
      <c r="Q415" s="1551"/>
      <c r="R415" s="1551"/>
      <c r="S415" s="1551"/>
      <c r="T415" s="1551"/>
      <c r="U415" s="1551"/>
      <c r="V415" s="1551"/>
      <c r="W415" s="1551"/>
      <c r="X415" s="1551"/>
      <c r="Y415" s="1551"/>
      <c r="Z415" s="1551"/>
      <c r="AA415" s="1551"/>
      <c r="AB415" s="1551"/>
      <c r="AC415" s="1551"/>
      <c r="AD415" s="1551"/>
      <c r="AE415" s="1551"/>
      <c r="AF415" s="1551"/>
      <c r="AG415" s="1551"/>
      <c r="AH415" s="1551"/>
      <c r="AI415" s="1551"/>
      <c r="AJ415" s="1551"/>
    </row>
    <row r="416" spans="1:36" x14ac:dyDescent="0.25">
      <c r="A416" s="1551"/>
      <c r="C416" s="1551"/>
      <c r="D416" s="1551"/>
      <c r="E416" s="1551"/>
      <c r="F416" s="1551"/>
      <c r="G416" s="1551"/>
      <c r="H416" s="1551"/>
      <c r="I416" s="1551"/>
      <c r="J416" s="1551"/>
      <c r="K416" s="1551"/>
      <c r="L416" s="1551"/>
      <c r="M416" s="1551"/>
      <c r="N416" s="1551"/>
      <c r="O416" s="1551"/>
      <c r="P416" s="1551"/>
      <c r="Q416" s="1551"/>
      <c r="R416" s="1551"/>
      <c r="S416" s="1551"/>
      <c r="T416" s="1551"/>
      <c r="U416" s="1551"/>
      <c r="V416" s="1551"/>
      <c r="W416" s="1551"/>
      <c r="X416" s="1551"/>
      <c r="Y416" s="1551"/>
      <c r="Z416" s="1551"/>
      <c r="AA416" s="1551"/>
      <c r="AB416" s="1551"/>
      <c r="AC416" s="1551"/>
      <c r="AD416" s="1551"/>
      <c r="AE416" s="1551"/>
      <c r="AF416" s="1551"/>
      <c r="AG416" s="1551"/>
      <c r="AH416" s="1551"/>
      <c r="AI416" s="1551"/>
      <c r="AJ416" s="1551"/>
    </row>
    <row r="417" spans="1:36" x14ac:dyDescent="0.25">
      <c r="A417" s="1551"/>
      <c r="C417" s="1551"/>
      <c r="D417" s="1551"/>
      <c r="E417" s="1551"/>
      <c r="F417" s="1551"/>
      <c r="G417" s="1551"/>
      <c r="H417" s="1551"/>
      <c r="I417" s="1551"/>
      <c r="J417" s="1551"/>
      <c r="K417" s="1551"/>
      <c r="L417" s="1551"/>
      <c r="M417" s="1551"/>
      <c r="N417" s="1551"/>
      <c r="O417" s="1551"/>
      <c r="P417" s="1551"/>
      <c r="Q417" s="1551"/>
      <c r="R417" s="1551"/>
      <c r="S417" s="1551"/>
      <c r="T417" s="1551"/>
      <c r="U417" s="1551"/>
      <c r="V417" s="1551"/>
      <c r="W417" s="1551"/>
      <c r="X417" s="1551"/>
      <c r="Y417" s="1551"/>
      <c r="Z417" s="1551"/>
      <c r="AA417" s="1551"/>
      <c r="AB417" s="1551"/>
      <c r="AC417" s="1551"/>
      <c r="AD417" s="1551"/>
      <c r="AE417" s="1551"/>
      <c r="AF417" s="1551"/>
      <c r="AG417" s="1551"/>
      <c r="AH417" s="1551"/>
      <c r="AI417" s="1551"/>
      <c r="AJ417" s="1551"/>
    </row>
    <row r="418" spans="1:36" x14ac:dyDescent="0.25">
      <c r="A418" s="1551"/>
      <c r="C418" s="1551"/>
      <c r="D418" s="1551"/>
      <c r="E418" s="1551"/>
      <c r="F418" s="1551"/>
      <c r="G418" s="1551"/>
      <c r="H418" s="1551"/>
      <c r="I418" s="1551"/>
      <c r="J418" s="1551"/>
      <c r="K418" s="1551"/>
      <c r="L418" s="1551"/>
      <c r="M418" s="1551"/>
      <c r="N418" s="1551"/>
      <c r="O418" s="1551"/>
      <c r="P418" s="1551"/>
      <c r="Q418" s="1551"/>
      <c r="R418" s="1551"/>
      <c r="S418" s="1551"/>
      <c r="T418" s="1551"/>
      <c r="U418" s="1551"/>
      <c r="V418" s="1551"/>
      <c r="W418" s="1551"/>
      <c r="X418" s="1551"/>
      <c r="Y418" s="1551"/>
      <c r="Z418" s="1551"/>
      <c r="AA418" s="1551"/>
      <c r="AB418" s="1551"/>
      <c r="AC418" s="1551"/>
      <c r="AD418" s="1551"/>
      <c r="AE418" s="1551"/>
      <c r="AF418" s="1551"/>
      <c r="AG418" s="1551"/>
      <c r="AH418" s="1551"/>
      <c r="AI418" s="1551"/>
      <c r="AJ418" s="1551"/>
    </row>
    <row r="419" spans="1:36" x14ac:dyDescent="0.25">
      <c r="A419" s="1551"/>
      <c r="C419" s="1551"/>
      <c r="D419" s="1551"/>
      <c r="E419" s="1551"/>
      <c r="F419" s="1551"/>
      <c r="G419" s="1551"/>
      <c r="H419" s="1551"/>
      <c r="I419" s="1551"/>
      <c r="J419" s="1551"/>
      <c r="K419" s="1551"/>
      <c r="L419" s="1551"/>
      <c r="M419" s="1551"/>
      <c r="N419" s="1551"/>
      <c r="O419" s="1551"/>
      <c r="P419" s="1551"/>
      <c r="Q419" s="1551"/>
      <c r="R419" s="1551"/>
      <c r="S419" s="1551"/>
      <c r="T419" s="1551"/>
      <c r="U419" s="1551"/>
      <c r="V419" s="1551"/>
      <c r="W419" s="1551"/>
      <c r="X419" s="1551"/>
      <c r="Y419" s="1551"/>
      <c r="Z419" s="1551"/>
      <c r="AA419" s="1551"/>
      <c r="AB419" s="1551"/>
      <c r="AC419" s="1551"/>
      <c r="AD419" s="1551"/>
      <c r="AE419" s="1551"/>
      <c r="AF419" s="1551"/>
      <c r="AG419" s="1551"/>
      <c r="AH419" s="1551"/>
      <c r="AI419" s="1551"/>
      <c r="AJ419" s="1551"/>
    </row>
    <row r="420" spans="1:36" x14ac:dyDescent="0.25">
      <c r="A420" s="1551"/>
      <c r="C420" s="1551"/>
      <c r="D420" s="1551"/>
      <c r="E420" s="1551"/>
      <c r="F420" s="1551"/>
      <c r="G420" s="1551"/>
      <c r="H420" s="1551"/>
      <c r="I420" s="1551"/>
      <c r="J420" s="1551"/>
      <c r="K420" s="1551"/>
      <c r="L420" s="1551"/>
      <c r="M420" s="1551"/>
      <c r="N420" s="1551"/>
      <c r="O420" s="1551"/>
      <c r="P420" s="1551"/>
      <c r="Q420" s="1551"/>
      <c r="R420" s="1551"/>
      <c r="S420" s="1551"/>
      <c r="T420" s="1551"/>
      <c r="U420" s="1551"/>
      <c r="V420" s="1551"/>
      <c r="W420" s="1551"/>
      <c r="X420" s="1551"/>
      <c r="Y420" s="1551"/>
      <c r="Z420" s="1551"/>
      <c r="AA420" s="1551"/>
      <c r="AB420" s="1551"/>
      <c r="AC420" s="1551"/>
      <c r="AD420" s="1551"/>
      <c r="AE420" s="1551"/>
      <c r="AF420" s="1551"/>
      <c r="AG420" s="1551"/>
      <c r="AH420" s="1551"/>
      <c r="AI420" s="1551"/>
      <c r="AJ420" s="1551"/>
    </row>
    <row r="421" spans="1:36" x14ac:dyDescent="0.25">
      <c r="A421" s="1551"/>
      <c r="C421" s="1551"/>
      <c r="D421" s="1551"/>
      <c r="E421" s="1551"/>
      <c r="F421" s="1551"/>
      <c r="G421" s="1551"/>
      <c r="H421" s="1551"/>
      <c r="I421" s="1551"/>
      <c r="J421" s="1551"/>
      <c r="K421" s="1551"/>
      <c r="L421" s="1551"/>
      <c r="M421" s="1551"/>
      <c r="N421" s="1551"/>
      <c r="O421" s="1551"/>
      <c r="P421" s="1551"/>
      <c r="Q421" s="1551"/>
      <c r="R421" s="1551"/>
      <c r="S421" s="1551"/>
      <c r="T421" s="1551"/>
      <c r="U421" s="1551"/>
      <c r="V421" s="1551"/>
      <c r="W421" s="1551"/>
      <c r="X421" s="1551"/>
      <c r="Y421" s="1551"/>
      <c r="Z421" s="1551"/>
      <c r="AA421" s="1551"/>
      <c r="AB421" s="1551"/>
      <c r="AC421" s="1551"/>
      <c r="AD421" s="1551"/>
      <c r="AE421" s="1551"/>
      <c r="AF421" s="1551"/>
      <c r="AG421" s="1551"/>
      <c r="AH421" s="1551"/>
      <c r="AI421" s="1551"/>
      <c r="AJ421" s="1551"/>
    </row>
    <row r="422" spans="1:36" x14ac:dyDescent="0.25">
      <c r="A422" s="1551"/>
      <c r="C422" s="1551"/>
      <c r="D422" s="1551"/>
      <c r="E422" s="1551"/>
      <c r="F422" s="1551"/>
      <c r="G422" s="1551"/>
      <c r="H422" s="1551"/>
      <c r="I422" s="1551"/>
      <c r="J422" s="1551"/>
      <c r="K422" s="1551"/>
      <c r="L422" s="1551"/>
      <c r="M422" s="1551"/>
      <c r="N422" s="1551"/>
      <c r="O422" s="1551"/>
      <c r="P422" s="1551"/>
      <c r="Q422" s="1551"/>
      <c r="R422" s="1551"/>
      <c r="S422" s="1551"/>
      <c r="T422" s="1551"/>
      <c r="U422" s="1551"/>
      <c r="V422" s="1551"/>
      <c r="W422" s="1551"/>
      <c r="X422" s="1551"/>
      <c r="Y422" s="1551"/>
      <c r="Z422" s="1551"/>
      <c r="AA422" s="1551"/>
      <c r="AB422" s="1551"/>
      <c r="AC422" s="1551"/>
      <c r="AD422" s="1551"/>
      <c r="AE422" s="1551"/>
      <c r="AF422" s="1551"/>
      <c r="AG422" s="1551"/>
      <c r="AH422" s="1551"/>
      <c r="AI422" s="1551"/>
      <c r="AJ422" s="1551"/>
    </row>
    <row r="423" spans="1:36" x14ac:dyDescent="0.25">
      <c r="A423" s="1551"/>
      <c r="C423" s="1551"/>
      <c r="D423" s="1551"/>
      <c r="E423" s="1551"/>
      <c r="F423" s="1551"/>
      <c r="G423" s="1551"/>
      <c r="H423" s="1551"/>
      <c r="I423" s="1551"/>
      <c r="J423" s="1551"/>
      <c r="K423" s="1551"/>
      <c r="L423" s="1551"/>
      <c r="M423" s="1551"/>
      <c r="N423" s="1551"/>
      <c r="O423" s="1551"/>
      <c r="P423" s="1551"/>
      <c r="Q423" s="1551"/>
      <c r="R423" s="1551"/>
      <c r="S423" s="1551"/>
      <c r="T423" s="1551"/>
      <c r="U423" s="1551"/>
      <c r="V423" s="1551"/>
      <c r="W423" s="1551"/>
      <c r="X423" s="1551"/>
      <c r="Y423" s="1551"/>
      <c r="Z423" s="1551"/>
      <c r="AA423" s="1551"/>
      <c r="AB423" s="1551"/>
      <c r="AC423" s="1551"/>
      <c r="AD423" s="1551"/>
      <c r="AE423" s="1551"/>
      <c r="AF423" s="1551"/>
      <c r="AG423" s="1551"/>
      <c r="AH423" s="1551"/>
      <c r="AI423" s="1551"/>
      <c r="AJ423" s="1551"/>
    </row>
    <row r="424" spans="1:36" x14ac:dyDescent="0.25">
      <c r="A424" s="1551"/>
      <c r="C424" s="1551"/>
      <c r="D424" s="1551"/>
      <c r="E424" s="1551"/>
      <c r="F424" s="1551"/>
      <c r="G424" s="1551"/>
      <c r="H424" s="1551"/>
      <c r="I424" s="1551"/>
      <c r="J424" s="1551"/>
      <c r="K424" s="1551"/>
      <c r="L424" s="1551"/>
      <c r="M424" s="1551"/>
      <c r="N424" s="1551"/>
      <c r="O424" s="1551"/>
      <c r="P424" s="1551"/>
      <c r="Q424" s="1551"/>
      <c r="R424" s="1551"/>
      <c r="S424" s="1551"/>
      <c r="T424" s="1551"/>
      <c r="U424" s="1551"/>
      <c r="V424" s="1551"/>
      <c r="W424" s="1551"/>
      <c r="X424" s="1551"/>
      <c r="Y424" s="1551"/>
      <c r="Z424" s="1551"/>
      <c r="AA424" s="1551"/>
      <c r="AB424" s="1551"/>
      <c r="AC424" s="1551"/>
      <c r="AD424" s="1551"/>
      <c r="AE424" s="1551"/>
      <c r="AF424" s="1551"/>
      <c r="AG424" s="1551"/>
      <c r="AH424" s="1551"/>
      <c r="AI424" s="1551"/>
      <c r="AJ424" s="1551"/>
    </row>
    <row r="425" spans="1:36" x14ac:dyDescent="0.25">
      <c r="A425" s="1551"/>
      <c r="C425" s="1551"/>
      <c r="D425" s="1551"/>
      <c r="E425" s="1551"/>
      <c r="F425" s="1551"/>
      <c r="G425" s="1551"/>
      <c r="H425" s="1551"/>
      <c r="I425" s="1551"/>
      <c r="J425" s="1551"/>
      <c r="K425" s="1551"/>
      <c r="L425" s="1551"/>
      <c r="M425" s="1551"/>
      <c r="N425" s="1551"/>
      <c r="O425" s="1551"/>
      <c r="P425" s="1551"/>
      <c r="Q425" s="1551"/>
      <c r="R425" s="1551"/>
      <c r="S425" s="1551"/>
      <c r="T425" s="1551"/>
      <c r="U425" s="1551"/>
      <c r="V425" s="1551"/>
      <c r="W425" s="1551"/>
      <c r="X425" s="1551"/>
      <c r="Y425" s="1551"/>
      <c r="Z425" s="1551"/>
      <c r="AA425" s="1551"/>
      <c r="AB425" s="1551"/>
      <c r="AC425" s="1551"/>
      <c r="AD425" s="1551"/>
      <c r="AE425" s="1551"/>
      <c r="AF425" s="1551"/>
      <c r="AG425" s="1551"/>
      <c r="AH425" s="1551"/>
      <c r="AI425" s="1551"/>
      <c r="AJ425" s="1551"/>
    </row>
    <row r="426" spans="1:36" x14ac:dyDescent="0.25">
      <c r="A426" s="1551"/>
      <c r="C426" s="1551"/>
      <c r="D426" s="1551"/>
      <c r="E426" s="1551"/>
      <c r="F426" s="1551"/>
      <c r="G426" s="1551"/>
      <c r="H426" s="1551"/>
      <c r="I426" s="1551"/>
      <c r="J426" s="1551"/>
      <c r="K426" s="1551"/>
      <c r="L426" s="1551"/>
      <c r="M426" s="1551"/>
      <c r="N426" s="1551"/>
      <c r="O426" s="1551"/>
      <c r="P426" s="1551"/>
      <c r="Q426" s="1551"/>
      <c r="R426" s="1551"/>
      <c r="S426" s="1551"/>
      <c r="T426" s="1551"/>
      <c r="U426" s="1551"/>
      <c r="V426" s="1551"/>
      <c r="W426" s="1551"/>
      <c r="X426" s="1551"/>
      <c r="Y426" s="1551"/>
      <c r="Z426" s="1551"/>
      <c r="AA426" s="1551"/>
      <c r="AB426" s="1551"/>
      <c r="AC426" s="1551"/>
      <c r="AD426" s="1551"/>
      <c r="AE426" s="1551"/>
      <c r="AF426" s="1551"/>
      <c r="AG426" s="1551"/>
      <c r="AH426" s="1551"/>
      <c r="AI426" s="1551"/>
      <c r="AJ426" s="1551"/>
    </row>
    <row r="427" spans="1:36" x14ac:dyDescent="0.25">
      <c r="A427" s="1551"/>
      <c r="C427" s="1551"/>
      <c r="D427" s="1551"/>
      <c r="E427" s="1551"/>
      <c r="F427" s="1551"/>
      <c r="G427" s="1551"/>
      <c r="H427" s="1551"/>
      <c r="I427" s="1551"/>
      <c r="J427" s="1551"/>
      <c r="K427" s="1551"/>
      <c r="L427" s="1551"/>
      <c r="M427" s="1551"/>
      <c r="N427" s="1551"/>
      <c r="O427" s="1551"/>
      <c r="P427" s="1551"/>
      <c r="Q427" s="1551"/>
      <c r="R427" s="1551"/>
      <c r="S427" s="1551"/>
      <c r="T427" s="1551"/>
      <c r="U427" s="1551"/>
      <c r="V427" s="1551"/>
      <c r="W427" s="1551"/>
      <c r="X427" s="1551"/>
      <c r="Y427" s="1551"/>
      <c r="Z427" s="1551"/>
      <c r="AA427" s="1551"/>
      <c r="AB427" s="1551"/>
      <c r="AC427" s="1551"/>
      <c r="AD427" s="1551"/>
      <c r="AE427" s="1551"/>
      <c r="AF427" s="1551"/>
      <c r="AG427" s="1551"/>
      <c r="AH427" s="1551"/>
      <c r="AI427" s="1551"/>
      <c r="AJ427" s="1551"/>
    </row>
    <row r="428" spans="1:36" x14ac:dyDescent="0.25">
      <c r="A428" s="1551"/>
      <c r="C428" s="1551"/>
      <c r="D428" s="1551"/>
      <c r="E428" s="1551"/>
      <c r="F428" s="1551"/>
      <c r="G428" s="1551"/>
      <c r="H428" s="1551"/>
      <c r="I428" s="1551"/>
      <c r="J428" s="1551"/>
      <c r="K428" s="1551"/>
      <c r="L428" s="1551"/>
      <c r="M428" s="1551"/>
      <c r="N428" s="1551"/>
      <c r="O428" s="1551"/>
      <c r="P428" s="1551"/>
      <c r="Q428" s="1551"/>
      <c r="R428" s="1551"/>
      <c r="S428" s="1551"/>
      <c r="T428" s="1551"/>
      <c r="U428" s="1551"/>
      <c r="V428" s="1551"/>
      <c r="W428" s="1551"/>
      <c r="X428" s="1551"/>
      <c r="Y428" s="1551"/>
      <c r="Z428" s="1551"/>
      <c r="AA428" s="1551"/>
      <c r="AB428" s="1551"/>
      <c r="AC428" s="1551"/>
      <c r="AD428" s="1551"/>
      <c r="AE428" s="1551"/>
      <c r="AF428" s="1551"/>
      <c r="AG428" s="1551"/>
      <c r="AH428" s="1551"/>
      <c r="AI428" s="1551"/>
      <c r="AJ428" s="1551"/>
    </row>
    <row r="429" spans="1:36" x14ac:dyDescent="0.25">
      <c r="AI429" s="1551"/>
      <c r="AJ429" s="1551"/>
    </row>
    <row r="430" spans="1:36" x14ac:dyDescent="0.25">
      <c r="AI430" s="1551"/>
      <c r="AJ430" s="1551"/>
    </row>
    <row r="431" spans="1:36" x14ac:dyDescent="0.25">
      <c r="AI431" s="1551"/>
      <c r="AJ431" s="1551"/>
    </row>
    <row r="432" spans="1:36" x14ac:dyDescent="0.25">
      <c r="AI432" s="1551"/>
      <c r="AJ432" s="1551"/>
    </row>
    <row r="433" spans="1:36" x14ac:dyDescent="0.25">
      <c r="AI433" s="1551"/>
      <c r="AJ433" s="1551"/>
    </row>
    <row r="434" spans="1:36" x14ac:dyDescent="0.25">
      <c r="A434" s="1551"/>
      <c r="C434" s="1551"/>
      <c r="D434" s="1551"/>
      <c r="E434" s="1551"/>
      <c r="F434" s="1551"/>
      <c r="G434" s="1551"/>
      <c r="H434" s="1551"/>
      <c r="I434" s="1551"/>
      <c r="J434" s="1551"/>
      <c r="K434" s="1551"/>
      <c r="L434" s="1551"/>
      <c r="M434" s="1551"/>
      <c r="N434" s="1551"/>
      <c r="O434" s="1551"/>
      <c r="P434" s="1551"/>
      <c r="Q434" s="1551"/>
      <c r="R434" s="1551"/>
      <c r="S434" s="1551"/>
      <c r="T434" s="1551"/>
      <c r="U434" s="1551"/>
      <c r="V434" s="1551"/>
      <c r="W434" s="1551"/>
      <c r="X434" s="1551"/>
      <c r="Y434" s="1551"/>
      <c r="Z434" s="1551"/>
      <c r="AA434" s="1551"/>
      <c r="AB434" s="1551"/>
      <c r="AC434" s="1551"/>
      <c r="AD434" s="1551"/>
      <c r="AE434" s="1551"/>
      <c r="AF434" s="1551"/>
      <c r="AG434" s="1551"/>
      <c r="AH434" s="1551"/>
      <c r="AI434" s="1551"/>
      <c r="AJ434" s="1551"/>
    </row>
    <row r="435" spans="1:36" x14ac:dyDescent="0.25">
      <c r="A435" s="1551"/>
      <c r="C435" s="1551"/>
      <c r="D435" s="1551"/>
      <c r="E435" s="1551"/>
      <c r="F435" s="1551"/>
      <c r="G435" s="1551"/>
      <c r="H435" s="1551"/>
      <c r="I435" s="1551"/>
      <c r="J435" s="1551"/>
      <c r="K435" s="1551"/>
      <c r="L435" s="1551"/>
      <c r="M435" s="1551"/>
      <c r="N435" s="1551"/>
      <c r="O435" s="1551"/>
      <c r="P435" s="1551"/>
      <c r="Q435" s="1551"/>
      <c r="R435" s="1551"/>
      <c r="S435" s="1551"/>
      <c r="T435" s="1551"/>
      <c r="U435" s="1551"/>
      <c r="V435" s="1551"/>
      <c r="W435" s="1551"/>
      <c r="X435" s="1551"/>
      <c r="Y435" s="1551"/>
      <c r="Z435" s="1551"/>
      <c r="AA435" s="1551"/>
      <c r="AB435" s="1551"/>
      <c r="AC435" s="1551"/>
      <c r="AD435" s="1551"/>
      <c r="AE435" s="1551"/>
      <c r="AF435" s="1551"/>
      <c r="AG435" s="1551"/>
      <c r="AH435" s="1551"/>
      <c r="AI435" s="1551"/>
      <c r="AJ435" s="1551"/>
    </row>
  </sheetData>
  <autoFilter ref="A9:AL382"/>
  <mergeCells count="48">
    <mergeCell ref="A1:AI1"/>
    <mergeCell ref="A2:AI2"/>
    <mergeCell ref="A3:AI3"/>
    <mergeCell ref="A4:A8"/>
    <mergeCell ref="B4:B8"/>
    <mergeCell ref="C4:E4"/>
    <mergeCell ref="F4:G6"/>
    <mergeCell ref="H4:K5"/>
    <mergeCell ref="L4:O5"/>
    <mergeCell ref="AG4:AG8"/>
    <mergeCell ref="AH4:AH8"/>
    <mergeCell ref="AI4:AI8"/>
    <mergeCell ref="C5:C8"/>
    <mergeCell ref="D5:E5"/>
    <mergeCell ref="V4:Y5"/>
    <mergeCell ref="Z4:AA5"/>
    <mergeCell ref="F7:F8"/>
    <mergeCell ref="G7:G8"/>
    <mergeCell ref="I7:I8"/>
    <mergeCell ref="J7:K7"/>
    <mergeCell ref="Z6:Z8"/>
    <mergeCell ref="H6:H8"/>
    <mergeCell ref="I6:K6"/>
    <mergeCell ref="L6:L8"/>
    <mergeCell ref="D6:D8"/>
    <mergeCell ref="E6:E8"/>
    <mergeCell ref="P4:S5"/>
    <mergeCell ref="T4:U6"/>
    <mergeCell ref="AC4:AF5"/>
    <mergeCell ref="M6:O6"/>
    <mergeCell ref="P6:P8"/>
    <mergeCell ref="Q6:S6"/>
    <mergeCell ref="V6:V8"/>
    <mergeCell ref="W6:Y6"/>
    <mergeCell ref="Q7:Q8"/>
    <mergeCell ref="R7:S7"/>
    <mergeCell ref="T7:T8"/>
    <mergeCell ref="U7:U8"/>
    <mergeCell ref="W7:W8"/>
    <mergeCell ref="X7:Y7"/>
    <mergeCell ref="AD7:AD8"/>
    <mergeCell ref="AE7:AF7"/>
    <mergeCell ref="M7:M8"/>
    <mergeCell ref="N7:O7"/>
    <mergeCell ref="AC6:AC8"/>
    <mergeCell ref="AD6:AF6"/>
    <mergeCell ref="AB4:AB8"/>
    <mergeCell ref="AA6:AA8"/>
  </mergeCells>
  <pageMargins left="0.45" right="0.2" top="0.49" bottom="0.43" header="0.3" footer="0.2"/>
  <pageSetup paperSize="9" scale="85" firstPageNumber="15" fitToHeight="0" orientation="landscape" useFirstPageNumber="1" r:id="rId1"/>
  <headerFooter>
    <oddHeader>&amp;RBiểu số 11DT</oddHeader>
    <oddFooter>&amp;C&amp;14&amp;P</oddFooter>
  </headerFooter>
  <legacyDrawing r:id="rId2"/>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sheetPr>
  <dimension ref="A1:AL229"/>
  <sheetViews>
    <sheetView zoomScale="120" zoomScaleNormal="120" workbookViewId="0">
      <pane xSplit="2" ySplit="9" topLeftCell="C10" activePane="bottomRight" state="frozen"/>
      <selection pane="topRight" activeCell="C1" sqref="C1"/>
      <selection pane="bottomLeft" activeCell="A9" sqref="A9"/>
      <selection pane="bottomRight" activeCell="AD11" sqref="AD11"/>
    </sheetView>
  </sheetViews>
  <sheetFormatPr defaultRowHeight="8.25" x14ac:dyDescent="0.25"/>
  <cols>
    <col min="1" max="1" width="2.25" style="1328" customWidth="1"/>
    <col min="2" max="2" width="25.75" style="1329" customWidth="1"/>
    <col min="3" max="3" width="9.375" style="1328" customWidth="1"/>
    <col min="4" max="4" width="5.875" style="1332" customWidth="1"/>
    <col min="5" max="5" width="5.75" style="1332" customWidth="1"/>
    <col min="6" max="15" width="9.625" style="1332" hidden="1" customWidth="1"/>
    <col min="16" max="17" width="11.25" style="1332" hidden="1" customWidth="1"/>
    <col min="18" max="19" width="9.625" style="1332" hidden="1" customWidth="1"/>
    <col min="20" max="20" width="5.875" style="1332" customWidth="1"/>
    <col min="21" max="21" width="5.25" style="1332" customWidth="1"/>
    <col min="22" max="22" width="6" style="1332" customWidth="1"/>
    <col min="23" max="23" width="5.125" style="1332" customWidth="1"/>
    <col min="24" max="24" width="3.75" style="1332" customWidth="1"/>
    <col min="25" max="25" width="4.625" style="1332" customWidth="1"/>
    <col min="26" max="26" width="5.25" style="1332" customWidth="1"/>
    <col min="27" max="27" width="5.125" style="1332" customWidth="1"/>
    <col min="28" max="28" width="5" style="1332" customWidth="1"/>
    <col min="29" max="29" width="5.25" style="1332" customWidth="1"/>
    <col min="30" max="30" width="5.125" style="1332" customWidth="1"/>
    <col min="31" max="31" width="3.5" style="1332" customWidth="1"/>
    <col min="32" max="32" width="4.375" style="1332" customWidth="1"/>
    <col min="33" max="33" width="3.5" style="1332" customWidth="1"/>
    <col min="34" max="34" width="9.625" style="1332" hidden="1" customWidth="1"/>
    <col min="35" max="35" width="9.25" style="1332" customWidth="1"/>
    <col min="36" max="36" width="7" style="1328" customWidth="1"/>
    <col min="37" max="37" width="15.375" style="1328" customWidth="1"/>
    <col min="38" max="38" width="11" style="1329" customWidth="1"/>
    <col min="39" max="39" width="8.125" style="1329" bestFit="1" customWidth="1"/>
    <col min="40" max="206" width="9" style="1329"/>
    <col min="207" max="207" width="4.5" style="1329" customWidth="1"/>
    <col min="208" max="208" width="28.375" style="1329" customWidth="1"/>
    <col min="209" max="211" width="9" style="1329" customWidth="1"/>
    <col min="212" max="213" width="10.875" style="1329" customWidth="1"/>
    <col min="214" max="214" width="9.875" style="1329" customWidth="1"/>
    <col min="215" max="215" width="10.875" style="1329" customWidth="1"/>
    <col min="216" max="216" width="9.875" style="1329" customWidth="1"/>
    <col min="217" max="217" width="10.875" style="1329" customWidth="1"/>
    <col min="218" max="218" width="9.875" style="1329" customWidth="1"/>
    <col min="219" max="219" width="10.875" style="1329" customWidth="1"/>
    <col min="220" max="220" width="9.875" style="1329" customWidth="1"/>
    <col min="221" max="221" width="10.875" style="1329" customWidth="1"/>
    <col min="222" max="222" width="9.875" style="1329" customWidth="1"/>
    <col min="223" max="223" width="12.375" style="1329" customWidth="1"/>
    <col min="224" max="224" width="9" style="1329" customWidth="1"/>
    <col min="225" max="225" width="15" style="1329" customWidth="1"/>
    <col min="226" max="226" width="10.5" style="1329" customWidth="1"/>
    <col min="227" max="227" width="12.375" style="1329" customWidth="1"/>
    <col min="228" max="228" width="9" style="1329" customWidth="1"/>
    <col min="229" max="229" width="15" style="1329" customWidth="1"/>
    <col min="230" max="230" width="10.5" style="1329" customWidth="1"/>
    <col min="231" max="231" width="9.375" style="1329" customWidth="1"/>
    <col min="232" max="234" width="7.875" style="1329" customWidth="1"/>
    <col min="235" max="462" width="9" style="1329"/>
    <col min="463" max="463" width="4.5" style="1329" customWidth="1"/>
    <col min="464" max="464" width="28.375" style="1329" customWidth="1"/>
    <col min="465" max="467" width="9" style="1329" customWidth="1"/>
    <col min="468" max="469" width="10.875" style="1329" customWidth="1"/>
    <col min="470" max="470" width="9.875" style="1329" customWidth="1"/>
    <col min="471" max="471" width="10.875" style="1329" customWidth="1"/>
    <col min="472" max="472" width="9.875" style="1329" customWidth="1"/>
    <col min="473" max="473" width="10.875" style="1329" customWidth="1"/>
    <col min="474" max="474" width="9.875" style="1329" customWidth="1"/>
    <col min="475" max="475" width="10.875" style="1329" customWidth="1"/>
    <col min="476" max="476" width="9.875" style="1329" customWidth="1"/>
    <col min="477" max="477" width="10.875" style="1329" customWidth="1"/>
    <col min="478" max="478" width="9.875" style="1329" customWidth="1"/>
    <col min="479" max="479" width="12.375" style="1329" customWidth="1"/>
    <col min="480" max="480" width="9" style="1329" customWidth="1"/>
    <col min="481" max="481" width="15" style="1329" customWidth="1"/>
    <col min="482" max="482" width="10.5" style="1329" customWidth="1"/>
    <col min="483" max="483" width="12.375" style="1329" customWidth="1"/>
    <col min="484" max="484" width="9" style="1329" customWidth="1"/>
    <col min="485" max="485" width="15" style="1329" customWidth="1"/>
    <col min="486" max="486" width="10.5" style="1329" customWidth="1"/>
    <col min="487" max="487" width="9.375" style="1329" customWidth="1"/>
    <col min="488" max="490" width="7.875" style="1329" customWidth="1"/>
    <col min="491" max="718" width="9" style="1329"/>
    <col min="719" max="719" width="4.5" style="1329" customWidth="1"/>
    <col min="720" max="720" width="28.375" style="1329" customWidth="1"/>
    <col min="721" max="723" width="9" style="1329" customWidth="1"/>
    <col min="724" max="725" width="10.875" style="1329" customWidth="1"/>
    <col min="726" max="726" width="9.875" style="1329" customWidth="1"/>
    <col min="727" max="727" width="10.875" style="1329" customWidth="1"/>
    <col min="728" max="728" width="9.875" style="1329" customWidth="1"/>
    <col min="729" max="729" width="10.875" style="1329" customWidth="1"/>
    <col min="730" max="730" width="9.875" style="1329" customWidth="1"/>
    <col min="731" max="731" width="10.875" style="1329" customWidth="1"/>
    <col min="732" max="732" width="9.875" style="1329" customWidth="1"/>
    <col min="733" max="733" width="10.875" style="1329" customWidth="1"/>
    <col min="734" max="734" width="9.875" style="1329" customWidth="1"/>
    <col min="735" max="735" width="12.375" style="1329" customWidth="1"/>
    <col min="736" max="736" width="9" style="1329" customWidth="1"/>
    <col min="737" max="737" width="15" style="1329" customWidth="1"/>
    <col min="738" max="738" width="10.5" style="1329" customWidth="1"/>
    <col min="739" max="739" width="12.375" style="1329" customWidth="1"/>
    <col min="740" max="740" width="9" style="1329" customWidth="1"/>
    <col min="741" max="741" width="15" style="1329" customWidth="1"/>
    <col min="742" max="742" width="10.5" style="1329" customWidth="1"/>
    <col min="743" max="743" width="9.375" style="1329" customWidth="1"/>
    <col min="744" max="746" width="7.875" style="1329" customWidth="1"/>
    <col min="747" max="974" width="9" style="1329"/>
    <col min="975" max="975" width="4.5" style="1329" customWidth="1"/>
    <col min="976" max="976" width="28.375" style="1329" customWidth="1"/>
    <col min="977" max="979" width="9" style="1329" customWidth="1"/>
    <col min="980" max="981" width="10.875" style="1329" customWidth="1"/>
    <col min="982" max="982" width="9.875" style="1329" customWidth="1"/>
    <col min="983" max="983" width="10.875" style="1329" customWidth="1"/>
    <col min="984" max="984" width="9.875" style="1329" customWidth="1"/>
    <col min="985" max="985" width="10.875" style="1329" customWidth="1"/>
    <col min="986" max="986" width="9.875" style="1329" customWidth="1"/>
    <col min="987" max="987" width="10.875" style="1329" customWidth="1"/>
    <col min="988" max="988" width="9.875" style="1329" customWidth="1"/>
    <col min="989" max="989" width="10.875" style="1329" customWidth="1"/>
    <col min="990" max="990" width="9.875" style="1329" customWidth="1"/>
    <col min="991" max="991" width="12.375" style="1329" customWidth="1"/>
    <col min="992" max="992" width="9" style="1329" customWidth="1"/>
    <col min="993" max="993" width="15" style="1329" customWidth="1"/>
    <col min="994" max="994" width="10.5" style="1329" customWidth="1"/>
    <col min="995" max="995" width="12.375" style="1329" customWidth="1"/>
    <col min="996" max="996" width="9" style="1329" customWidth="1"/>
    <col min="997" max="997" width="15" style="1329" customWidth="1"/>
    <col min="998" max="998" width="10.5" style="1329" customWidth="1"/>
    <col min="999" max="999" width="9.375" style="1329" customWidth="1"/>
    <col min="1000" max="1002" width="7.875" style="1329" customWidth="1"/>
    <col min="1003" max="1230" width="9" style="1329"/>
    <col min="1231" max="1231" width="4.5" style="1329" customWidth="1"/>
    <col min="1232" max="1232" width="28.375" style="1329" customWidth="1"/>
    <col min="1233" max="1235" width="9" style="1329" customWidth="1"/>
    <col min="1236" max="1237" width="10.875" style="1329" customWidth="1"/>
    <col min="1238" max="1238" width="9.875" style="1329" customWidth="1"/>
    <col min="1239" max="1239" width="10.875" style="1329" customWidth="1"/>
    <col min="1240" max="1240" width="9.875" style="1329" customWidth="1"/>
    <col min="1241" max="1241" width="10.875" style="1329" customWidth="1"/>
    <col min="1242" max="1242" width="9.875" style="1329" customWidth="1"/>
    <col min="1243" max="1243" width="10.875" style="1329" customWidth="1"/>
    <col min="1244" max="1244" width="9.875" style="1329" customWidth="1"/>
    <col min="1245" max="1245" width="10.875" style="1329" customWidth="1"/>
    <col min="1246" max="1246" width="9.875" style="1329" customWidth="1"/>
    <col min="1247" max="1247" width="12.375" style="1329" customWidth="1"/>
    <col min="1248" max="1248" width="9" style="1329" customWidth="1"/>
    <col min="1249" max="1249" width="15" style="1329" customWidth="1"/>
    <col min="1250" max="1250" width="10.5" style="1329" customWidth="1"/>
    <col min="1251" max="1251" width="12.375" style="1329" customWidth="1"/>
    <col min="1252" max="1252" width="9" style="1329" customWidth="1"/>
    <col min="1253" max="1253" width="15" style="1329" customWidth="1"/>
    <col min="1254" max="1254" width="10.5" style="1329" customWidth="1"/>
    <col min="1255" max="1255" width="9.375" style="1329" customWidth="1"/>
    <col min="1256" max="1258" width="7.875" style="1329" customWidth="1"/>
    <col min="1259" max="1486" width="9" style="1329"/>
    <col min="1487" max="1487" width="4.5" style="1329" customWidth="1"/>
    <col min="1488" max="1488" width="28.375" style="1329" customWidth="1"/>
    <col min="1489" max="1491" width="9" style="1329" customWidth="1"/>
    <col min="1492" max="1493" width="10.875" style="1329" customWidth="1"/>
    <col min="1494" max="1494" width="9.875" style="1329" customWidth="1"/>
    <col min="1495" max="1495" width="10.875" style="1329" customWidth="1"/>
    <col min="1496" max="1496" width="9.875" style="1329" customWidth="1"/>
    <col min="1497" max="1497" width="10.875" style="1329" customWidth="1"/>
    <col min="1498" max="1498" width="9.875" style="1329" customWidth="1"/>
    <col min="1499" max="1499" width="10.875" style="1329" customWidth="1"/>
    <col min="1500" max="1500" width="9.875" style="1329" customWidth="1"/>
    <col min="1501" max="1501" width="10.875" style="1329" customWidth="1"/>
    <col min="1502" max="1502" width="9.875" style="1329" customWidth="1"/>
    <col min="1503" max="1503" width="12.375" style="1329" customWidth="1"/>
    <col min="1504" max="1504" width="9" style="1329" customWidth="1"/>
    <col min="1505" max="1505" width="15" style="1329" customWidth="1"/>
    <col min="1506" max="1506" width="10.5" style="1329" customWidth="1"/>
    <col min="1507" max="1507" width="12.375" style="1329" customWidth="1"/>
    <col min="1508" max="1508" width="9" style="1329" customWidth="1"/>
    <col min="1509" max="1509" width="15" style="1329" customWidth="1"/>
    <col min="1510" max="1510" width="10.5" style="1329" customWidth="1"/>
    <col min="1511" max="1511" width="9.375" style="1329" customWidth="1"/>
    <col min="1512" max="1514" width="7.875" style="1329" customWidth="1"/>
    <col min="1515" max="1742" width="9" style="1329"/>
    <col min="1743" max="1743" width="4.5" style="1329" customWidth="1"/>
    <col min="1744" max="1744" width="28.375" style="1329" customWidth="1"/>
    <col min="1745" max="1747" width="9" style="1329" customWidth="1"/>
    <col min="1748" max="1749" width="10.875" style="1329" customWidth="1"/>
    <col min="1750" max="1750" width="9.875" style="1329" customWidth="1"/>
    <col min="1751" max="1751" width="10.875" style="1329" customWidth="1"/>
    <col min="1752" max="1752" width="9.875" style="1329" customWidth="1"/>
    <col min="1753" max="1753" width="10.875" style="1329" customWidth="1"/>
    <col min="1754" max="1754" width="9.875" style="1329" customWidth="1"/>
    <col min="1755" max="1755" width="10.875" style="1329" customWidth="1"/>
    <col min="1756" max="1756" width="9.875" style="1329" customWidth="1"/>
    <col min="1757" max="1757" width="10.875" style="1329" customWidth="1"/>
    <col min="1758" max="1758" width="9.875" style="1329" customWidth="1"/>
    <col min="1759" max="1759" width="12.375" style="1329" customWidth="1"/>
    <col min="1760" max="1760" width="9" style="1329" customWidth="1"/>
    <col min="1761" max="1761" width="15" style="1329" customWidth="1"/>
    <col min="1762" max="1762" width="10.5" style="1329" customWidth="1"/>
    <col min="1763" max="1763" width="12.375" style="1329" customWidth="1"/>
    <col min="1764" max="1764" width="9" style="1329" customWidth="1"/>
    <col min="1765" max="1765" width="15" style="1329" customWidth="1"/>
    <col min="1766" max="1766" width="10.5" style="1329" customWidth="1"/>
    <col min="1767" max="1767" width="9.375" style="1329" customWidth="1"/>
    <col min="1768" max="1770" width="7.875" style="1329" customWidth="1"/>
    <col min="1771" max="1998" width="9" style="1329"/>
    <col min="1999" max="1999" width="4.5" style="1329" customWidth="1"/>
    <col min="2000" max="2000" width="28.375" style="1329" customWidth="1"/>
    <col min="2001" max="2003" width="9" style="1329" customWidth="1"/>
    <col min="2004" max="2005" width="10.875" style="1329" customWidth="1"/>
    <col min="2006" max="2006" width="9.875" style="1329" customWidth="1"/>
    <col min="2007" max="2007" width="10.875" style="1329" customWidth="1"/>
    <col min="2008" max="2008" width="9.875" style="1329" customWidth="1"/>
    <col min="2009" max="2009" width="10.875" style="1329" customWidth="1"/>
    <col min="2010" max="2010" width="9.875" style="1329" customWidth="1"/>
    <col min="2011" max="2011" width="10.875" style="1329" customWidth="1"/>
    <col min="2012" max="2012" width="9.875" style="1329" customWidth="1"/>
    <col min="2013" max="2013" width="10.875" style="1329" customWidth="1"/>
    <col min="2014" max="2014" width="9.875" style="1329" customWidth="1"/>
    <col min="2015" max="2015" width="12.375" style="1329" customWidth="1"/>
    <col min="2016" max="2016" width="9" style="1329" customWidth="1"/>
    <col min="2017" max="2017" width="15" style="1329" customWidth="1"/>
    <col min="2018" max="2018" width="10.5" style="1329" customWidth="1"/>
    <col min="2019" max="2019" width="12.375" style="1329" customWidth="1"/>
    <col min="2020" max="2020" width="9" style="1329" customWidth="1"/>
    <col min="2021" max="2021" width="15" style="1329" customWidth="1"/>
    <col min="2022" max="2022" width="10.5" style="1329" customWidth="1"/>
    <col min="2023" max="2023" width="9.375" style="1329" customWidth="1"/>
    <col min="2024" max="2026" width="7.875" style="1329" customWidth="1"/>
    <col min="2027" max="2254" width="9" style="1329"/>
    <col min="2255" max="2255" width="4.5" style="1329" customWidth="1"/>
    <col min="2256" max="2256" width="28.375" style="1329" customWidth="1"/>
    <col min="2257" max="2259" width="9" style="1329" customWidth="1"/>
    <col min="2260" max="2261" width="10.875" style="1329" customWidth="1"/>
    <col min="2262" max="2262" width="9.875" style="1329" customWidth="1"/>
    <col min="2263" max="2263" width="10.875" style="1329" customWidth="1"/>
    <col min="2264" max="2264" width="9.875" style="1329" customWidth="1"/>
    <col min="2265" max="2265" width="10.875" style="1329" customWidth="1"/>
    <col min="2266" max="2266" width="9.875" style="1329" customWidth="1"/>
    <col min="2267" max="2267" width="10.875" style="1329" customWidth="1"/>
    <col min="2268" max="2268" width="9.875" style="1329" customWidth="1"/>
    <col min="2269" max="2269" width="10.875" style="1329" customWidth="1"/>
    <col min="2270" max="2270" width="9.875" style="1329" customWidth="1"/>
    <col min="2271" max="2271" width="12.375" style="1329" customWidth="1"/>
    <col min="2272" max="2272" width="9" style="1329" customWidth="1"/>
    <col min="2273" max="2273" width="15" style="1329" customWidth="1"/>
    <col min="2274" max="2274" width="10.5" style="1329" customWidth="1"/>
    <col min="2275" max="2275" width="12.375" style="1329" customWidth="1"/>
    <col min="2276" max="2276" width="9" style="1329" customWidth="1"/>
    <col min="2277" max="2277" width="15" style="1329" customWidth="1"/>
    <col min="2278" max="2278" width="10.5" style="1329" customWidth="1"/>
    <col min="2279" max="2279" width="9.375" style="1329" customWidth="1"/>
    <col min="2280" max="2282" width="7.875" style="1329" customWidth="1"/>
    <col min="2283" max="2510" width="9" style="1329"/>
    <col min="2511" max="2511" width="4.5" style="1329" customWidth="1"/>
    <col min="2512" max="2512" width="28.375" style="1329" customWidth="1"/>
    <col min="2513" max="2515" width="9" style="1329" customWidth="1"/>
    <col min="2516" max="2517" width="10.875" style="1329" customWidth="1"/>
    <col min="2518" max="2518" width="9.875" style="1329" customWidth="1"/>
    <col min="2519" max="2519" width="10.875" style="1329" customWidth="1"/>
    <col min="2520" max="2520" width="9.875" style="1329" customWidth="1"/>
    <col min="2521" max="2521" width="10.875" style="1329" customWidth="1"/>
    <col min="2522" max="2522" width="9.875" style="1329" customWidth="1"/>
    <col min="2523" max="2523" width="10.875" style="1329" customWidth="1"/>
    <col min="2524" max="2524" width="9.875" style="1329" customWidth="1"/>
    <col min="2525" max="2525" width="10.875" style="1329" customWidth="1"/>
    <col min="2526" max="2526" width="9.875" style="1329" customWidth="1"/>
    <col min="2527" max="2527" width="12.375" style="1329" customWidth="1"/>
    <col min="2528" max="2528" width="9" style="1329" customWidth="1"/>
    <col min="2529" max="2529" width="15" style="1329" customWidth="1"/>
    <col min="2530" max="2530" width="10.5" style="1329" customWidth="1"/>
    <col min="2531" max="2531" width="12.375" style="1329" customWidth="1"/>
    <col min="2532" max="2532" width="9" style="1329" customWidth="1"/>
    <col min="2533" max="2533" width="15" style="1329" customWidth="1"/>
    <col min="2534" max="2534" width="10.5" style="1329" customWidth="1"/>
    <col min="2535" max="2535" width="9.375" style="1329" customWidth="1"/>
    <col min="2536" max="2538" width="7.875" style="1329" customWidth="1"/>
    <col min="2539" max="2766" width="9" style="1329"/>
    <col min="2767" max="2767" width="4.5" style="1329" customWidth="1"/>
    <col min="2768" max="2768" width="28.375" style="1329" customWidth="1"/>
    <col min="2769" max="2771" width="9" style="1329" customWidth="1"/>
    <col min="2772" max="2773" width="10.875" style="1329" customWidth="1"/>
    <col min="2774" max="2774" width="9.875" style="1329" customWidth="1"/>
    <col min="2775" max="2775" width="10.875" style="1329" customWidth="1"/>
    <col min="2776" max="2776" width="9.875" style="1329" customWidth="1"/>
    <col min="2777" max="2777" width="10.875" style="1329" customWidth="1"/>
    <col min="2778" max="2778" width="9.875" style="1329" customWidth="1"/>
    <col min="2779" max="2779" width="10.875" style="1329" customWidth="1"/>
    <col min="2780" max="2780" width="9.875" style="1329" customWidth="1"/>
    <col min="2781" max="2781" width="10.875" style="1329" customWidth="1"/>
    <col min="2782" max="2782" width="9.875" style="1329" customWidth="1"/>
    <col min="2783" max="2783" width="12.375" style="1329" customWidth="1"/>
    <col min="2784" max="2784" width="9" style="1329" customWidth="1"/>
    <col min="2785" max="2785" width="15" style="1329" customWidth="1"/>
    <col min="2786" max="2786" width="10.5" style="1329" customWidth="1"/>
    <col min="2787" max="2787" width="12.375" style="1329" customWidth="1"/>
    <col min="2788" max="2788" width="9" style="1329" customWidth="1"/>
    <col min="2789" max="2789" width="15" style="1329" customWidth="1"/>
    <col min="2790" max="2790" width="10.5" style="1329" customWidth="1"/>
    <col min="2791" max="2791" width="9.375" style="1329" customWidth="1"/>
    <col min="2792" max="2794" width="7.875" style="1329" customWidth="1"/>
    <col min="2795" max="3022" width="9" style="1329"/>
    <col min="3023" max="3023" width="4.5" style="1329" customWidth="1"/>
    <col min="3024" max="3024" width="28.375" style="1329" customWidth="1"/>
    <col min="3025" max="3027" width="9" style="1329" customWidth="1"/>
    <col min="3028" max="3029" width="10.875" style="1329" customWidth="1"/>
    <col min="3030" max="3030" width="9.875" style="1329" customWidth="1"/>
    <col min="3031" max="3031" width="10.875" style="1329" customWidth="1"/>
    <col min="3032" max="3032" width="9.875" style="1329" customWidth="1"/>
    <col min="3033" max="3033" width="10.875" style="1329" customWidth="1"/>
    <col min="3034" max="3034" width="9.875" style="1329" customWidth="1"/>
    <col min="3035" max="3035" width="10.875" style="1329" customWidth="1"/>
    <col min="3036" max="3036" width="9.875" style="1329" customWidth="1"/>
    <col min="3037" max="3037" width="10.875" style="1329" customWidth="1"/>
    <col min="3038" max="3038" width="9.875" style="1329" customWidth="1"/>
    <col min="3039" max="3039" width="12.375" style="1329" customWidth="1"/>
    <col min="3040" max="3040" width="9" style="1329" customWidth="1"/>
    <col min="3041" max="3041" width="15" style="1329" customWidth="1"/>
    <col min="3042" max="3042" width="10.5" style="1329" customWidth="1"/>
    <col min="3043" max="3043" width="12.375" style="1329" customWidth="1"/>
    <col min="3044" max="3044" width="9" style="1329" customWidth="1"/>
    <col min="3045" max="3045" width="15" style="1329" customWidth="1"/>
    <col min="3046" max="3046" width="10.5" style="1329" customWidth="1"/>
    <col min="3047" max="3047" width="9.375" style="1329" customWidth="1"/>
    <col min="3048" max="3050" width="7.875" style="1329" customWidth="1"/>
    <col min="3051" max="3278" width="9" style="1329"/>
    <col min="3279" max="3279" width="4.5" style="1329" customWidth="1"/>
    <col min="3280" max="3280" width="28.375" style="1329" customWidth="1"/>
    <col min="3281" max="3283" width="9" style="1329" customWidth="1"/>
    <col min="3284" max="3285" width="10.875" style="1329" customWidth="1"/>
    <col min="3286" max="3286" width="9.875" style="1329" customWidth="1"/>
    <col min="3287" max="3287" width="10.875" style="1329" customWidth="1"/>
    <col min="3288" max="3288" width="9.875" style="1329" customWidth="1"/>
    <col min="3289" max="3289" width="10.875" style="1329" customWidth="1"/>
    <col min="3290" max="3290" width="9.875" style="1329" customWidth="1"/>
    <col min="3291" max="3291" width="10.875" style="1329" customWidth="1"/>
    <col min="3292" max="3292" width="9.875" style="1329" customWidth="1"/>
    <col min="3293" max="3293" width="10.875" style="1329" customWidth="1"/>
    <col min="3294" max="3294" width="9.875" style="1329" customWidth="1"/>
    <col min="3295" max="3295" width="12.375" style="1329" customWidth="1"/>
    <col min="3296" max="3296" width="9" style="1329" customWidth="1"/>
    <col min="3297" max="3297" width="15" style="1329" customWidth="1"/>
    <col min="3298" max="3298" width="10.5" style="1329" customWidth="1"/>
    <col min="3299" max="3299" width="12.375" style="1329" customWidth="1"/>
    <col min="3300" max="3300" width="9" style="1329" customWidth="1"/>
    <col min="3301" max="3301" width="15" style="1329" customWidth="1"/>
    <col min="3302" max="3302" width="10.5" style="1329" customWidth="1"/>
    <col min="3303" max="3303" width="9.375" style="1329" customWidth="1"/>
    <col min="3304" max="3306" width="7.875" style="1329" customWidth="1"/>
    <col min="3307" max="3534" width="9" style="1329"/>
    <col min="3535" max="3535" width="4.5" style="1329" customWidth="1"/>
    <col min="3536" max="3536" width="28.375" style="1329" customWidth="1"/>
    <col min="3537" max="3539" width="9" style="1329" customWidth="1"/>
    <col min="3540" max="3541" width="10.875" style="1329" customWidth="1"/>
    <col min="3542" max="3542" width="9.875" style="1329" customWidth="1"/>
    <col min="3543" max="3543" width="10.875" style="1329" customWidth="1"/>
    <col min="3544" max="3544" width="9.875" style="1329" customWidth="1"/>
    <col min="3545" max="3545" width="10.875" style="1329" customWidth="1"/>
    <col min="3546" max="3546" width="9.875" style="1329" customWidth="1"/>
    <col min="3547" max="3547" width="10.875" style="1329" customWidth="1"/>
    <col min="3548" max="3548" width="9.875" style="1329" customWidth="1"/>
    <col min="3549" max="3549" width="10.875" style="1329" customWidth="1"/>
    <col min="3550" max="3550" width="9.875" style="1329" customWidth="1"/>
    <col min="3551" max="3551" width="12.375" style="1329" customWidth="1"/>
    <col min="3552" max="3552" width="9" style="1329" customWidth="1"/>
    <col min="3553" max="3553" width="15" style="1329" customWidth="1"/>
    <col min="3554" max="3554" width="10.5" style="1329" customWidth="1"/>
    <col min="3555" max="3555" width="12.375" style="1329" customWidth="1"/>
    <col min="3556" max="3556" width="9" style="1329" customWidth="1"/>
    <col min="3557" max="3557" width="15" style="1329" customWidth="1"/>
    <col min="3558" max="3558" width="10.5" style="1329" customWidth="1"/>
    <col min="3559" max="3559" width="9.375" style="1329" customWidth="1"/>
    <col min="3560" max="3562" width="7.875" style="1329" customWidth="1"/>
    <col min="3563" max="3790" width="9" style="1329"/>
    <col min="3791" max="3791" width="4.5" style="1329" customWidth="1"/>
    <col min="3792" max="3792" width="28.375" style="1329" customWidth="1"/>
    <col min="3793" max="3795" width="9" style="1329" customWidth="1"/>
    <col min="3796" max="3797" width="10.875" style="1329" customWidth="1"/>
    <col min="3798" max="3798" width="9.875" style="1329" customWidth="1"/>
    <col min="3799" max="3799" width="10.875" style="1329" customWidth="1"/>
    <col min="3800" max="3800" width="9.875" style="1329" customWidth="1"/>
    <col min="3801" max="3801" width="10.875" style="1329" customWidth="1"/>
    <col min="3802" max="3802" width="9.875" style="1329" customWidth="1"/>
    <col min="3803" max="3803" width="10.875" style="1329" customWidth="1"/>
    <col min="3804" max="3804" width="9.875" style="1329" customWidth="1"/>
    <col min="3805" max="3805" width="10.875" style="1329" customWidth="1"/>
    <col min="3806" max="3806" width="9.875" style="1329" customWidth="1"/>
    <col min="3807" max="3807" width="12.375" style="1329" customWidth="1"/>
    <col min="3808" max="3808" width="9" style="1329" customWidth="1"/>
    <col min="3809" max="3809" width="15" style="1329" customWidth="1"/>
    <col min="3810" max="3810" width="10.5" style="1329" customWidth="1"/>
    <col min="3811" max="3811" width="12.375" style="1329" customWidth="1"/>
    <col min="3812" max="3812" width="9" style="1329" customWidth="1"/>
    <col min="3813" max="3813" width="15" style="1329" customWidth="1"/>
    <col min="3814" max="3814" width="10.5" style="1329" customWidth="1"/>
    <col min="3815" max="3815" width="9.375" style="1329" customWidth="1"/>
    <col min="3816" max="3818" width="7.875" style="1329" customWidth="1"/>
    <col min="3819" max="4046" width="9" style="1329"/>
    <col min="4047" max="4047" width="4.5" style="1329" customWidth="1"/>
    <col min="4048" max="4048" width="28.375" style="1329" customWidth="1"/>
    <col min="4049" max="4051" width="9" style="1329" customWidth="1"/>
    <col min="4052" max="4053" width="10.875" style="1329" customWidth="1"/>
    <col min="4054" max="4054" width="9.875" style="1329" customWidth="1"/>
    <col min="4055" max="4055" width="10.875" style="1329" customWidth="1"/>
    <col min="4056" max="4056" width="9.875" style="1329" customWidth="1"/>
    <col min="4057" max="4057" width="10.875" style="1329" customWidth="1"/>
    <col min="4058" max="4058" width="9.875" style="1329" customWidth="1"/>
    <col min="4059" max="4059" width="10.875" style="1329" customWidth="1"/>
    <col min="4060" max="4060" width="9.875" style="1329" customWidth="1"/>
    <col min="4061" max="4061" width="10.875" style="1329" customWidth="1"/>
    <col min="4062" max="4062" width="9.875" style="1329" customWidth="1"/>
    <col min="4063" max="4063" width="12.375" style="1329" customWidth="1"/>
    <col min="4064" max="4064" width="9" style="1329" customWidth="1"/>
    <col min="4065" max="4065" width="15" style="1329" customWidth="1"/>
    <col min="4066" max="4066" width="10.5" style="1329" customWidth="1"/>
    <col min="4067" max="4067" width="12.375" style="1329" customWidth="1"/>
    <col min="4068" max="4068" width="9" style="1329" customWidth="1"/>
    <col min="4069" max="4069" width="15" style="1329" customWidth="1"/>
    <col min="4070" max="4070" width="10.5" style="1329" customWidth="1"/>
    <col min="4071" max="4071" width="9.375" style="1329" customWidth="1"/>
    <col min="4072" max="4074" width="7.875" style="1329" customWidth="1"/>
    <col min="4075" max="4302" width="9" style="1329"/>
    <col min="4303" max="4303" width="4.5" style="1329" customWidth="1"/>
    <col min="4304" max="4304" width="28.375" style="1329" customWidth="1"/>
    <col min="4305" max="4307" width="9" style="1329" customWidth="1"/>
    <col min="4308" max="4309" width="10.875" style="1329" customWidth="1"/>
    <col min="4310" max="4310" width="9.875" style="1329" customWidth="1"/>
    <col min="4311" max="4311" width="10.875" style="1329" customWidth="1"/>
    <col min="4312" max="4312" width="9.875" style="1329" customWidth="1"/>
    <col min="4313" max="4313" width="10.875" style="1329" customWidth="1"/>
    <col min="4314" max="4314" width="9.875" style="1329" customWidth="1"/>
    <col min="4315" max="4315" width="10.875" style="1329" customWidth="1"/>
    <col min="4316" max="4316" width="9.875" style="1329" customWidth="1"/>
    <col min="4317" max="4317" width="10.875" style="1329" customWidth="1"/>
    <col min="4318" max="4318" width="9.875" style="1329" customWidth="1"/>
    <col min="4319" max="4319" width="12.375" style="1329" customWidth="1"/>
    <col min="4320" max="4320" width="9" style="1329" customWidth="1"/>
    <col min="4321" max="4321" width="15" style="1329" customWidth="1"/>
    <col min="4322" max="4322" width="10.5" style="1329" customWidth="1"/>
    <col min="4323" max="4323" width="12.375" style="1329" customWidth="1"/>
    <col min="4324" max="4324" width="9" style="1329" customWidth="1"/>
    <col min="4325" max="4325" width="15" style="1329" customWidth="1"/>
    <col min="4326" max="4326" width="10.5" style="1329" customWidth="1"/>
    <col min="4327" max="4327" width="9.375" style="1329" customWidth="1"/>
    <col min="4328" max="4330" width="7.875" style="1329" customWidth="1"/>
    <col min="4331" max="4558" width="9" style="1329"/>
    <col min="4559" max="4559" width="4.5" style="1329" customWidth="1"/>
    <col min="4560" max="4560" width="28.375" style="1329" customWidth="1"/>
    <col min="4561" max="4563" width="9" style="1329" customWidth="1"/>
    <col min="4564" max="4565" width="10.875" style="1329" customWidth="1"/>
    <col min="4566" max="4566" width="9.875" style="1329" customWidth="1"/>
    <col min="4567" max="4567" width="10.875" style="1329" customWidth="1"/>
    <col min="4568" max="4568" width="9.875" style="1329" customWidth="1"/>
    <col min="4569" max="4569" width="10.875" style="1329" customWidth="1"/>
    <col min="4570" max="4570" width="9.875" style="1329" customWidth="1"/>
    <col min="4571" max="4571" width="10.875" style="1329" customWidth="1"/>
    <col min="4572" max="4572" width="9.875" style="1329" customWidth="1"/>
    <col min="4573" max="4573" width="10.875" style="1329" customWidth="1"/>
    <col min="4574" max="4574" width="9.875" style="1329" customWidth="1"/>
    <col min="4575" max="4575" width="12.375" style="1329" customWidth="1"/>
    <col min="4576" max="4576" width="9" style="1329" customWidth="1"/>
    <col min="4577" max="4577" width="15" style="1329" customWidth="1"/>
    <col min="4578" max="4578" width="10.5" style="1329" customWidth="1"/>
    <col min="4579" max="4579" width="12.375" style="1329" customWidth="1"/>
    <col min="4580" max="4580" width="9" style="1329" customWidth="1"/>
    <col min="4581" max="4581" width="15" style="1329" customWidth="1"/>
    <col min="4582" max="4582" width="10.5" style="1329" customWidth="1"/>
    <col min="4583" max="4583" width="9.375" style="1329" customWidth="1"/>
    <col min="4584" max="4586" width="7.875" style="1329" customWidth="1"/>
    <col min="4587" max="4814" width="9" style="1329"/>
    <col min="4815" max="4815" width="4.5" style="1329" customWidth="1"/>
    <col min="4816" max="4816" width="28.375" style="1329" customWidth="1"/>
    <col min="4817" max="4819" width="9" style="1329" customWidth="1"/>
    <col min="4820" max="4821" width="10.875" style="1329" customWidth="1"/>
    <col min="4822" max="4822" width="9.875" style="1329" customWidth="1"/>
    <col min="4823" max="4823" width="10.875" style="1329" customWidth="1"/>
    <col min="4824" max="4824" width="9.875" style="1329" customWidth="1"/>
    <col min="4825" max="4825" width="10.875" style="1329" customWidth="1"/>
    <col min="4826" max="4826" width="9.875" style="1329" customWidth="1"/>
    <col min="4827" max="4827" width="10.875" style="1329" customWidth="1"/>
    <col min="4828" max="4828" width="9.875" style="1329" customWidth="1"/>
    <col min="4829" max="4829" width="10.875" style="1329" customWidth="1"/>
    <col min="4830" max="4830" width="9.875" style="1329" customWidth="1"/>
    <col min="4831" max="4831" width="12.375" style="1329" customWidth="1"/>
    <col min="4832" max="4832" width="9" style="1329" customWidth="1"/>
    <col min="4833" max="4833" width="15" style="1329" customWidth="1"/>
    <col min="4834" max="4834" width="10.5" style="1329" customWidth="1"/>
    <col min="4835" max="4835" width="12.375" style="1329" customWidth="1"/>
    <col min="4836" max="4836" width="9" style="1329" customWidth="1"/>
    <col min="4837" max="4837" width="15" style="1329" customWidth="1"/>
    <col min="4838" max="4838" width="10.5" style="1329" customWidth="1"/>
    <col min="4839" max="4839" width="9.375" style="1329" customWidth="1"/>
    <col min="4840" max="4842" width="7.875" style="1329" customWidth="1"/>
    <col min="4843" max="5070" width="9" style="1329"/>
    <col min="5071" max="5071" width="4.5" style="1329" customWidth="1"/>
    <col min="5072" max="5072" width="28.375" style="1329" customWidth="1"/>
    <col min="5073" max="5075" width="9" style="1329" customWidth="1"/>
    <col min="5076" max="5077" width="10.875" style="1329" customWidth="1"/>
    <col min="5078" max="5078" width="9.875" style="1329" customWidth="1"/>
    <col min="5079" max="5079" width="10.875" style="1329" customWidth="1"/>
    <col min="5080" max="5080" width="9.875" style="1329" customWidth="1"/>
    <col min="5081" max="5081" width="10.875" style="1329" customWidth="1"/>
    <col min="5082" max="5082" width="9.875" style="1329" customWidth="1"/>
    <col min="5083" max="5083" width="10.875" style="1329" customWidth="1"/>
    <col min="5084" max="5084" width="9.875" style="1329" customWidth="1"/>
    <col min="5085" max="5085" width="10.875" style="1329" customWidth="1"/>
    <col min="5086" max="5086" width="9.875" style="1329" customWidth="1"/>
    <col min="5087" max="5087" width="12.375" style="1329" customWidth="1"/>
    <col min="5088" max="5088" width="9" style="1329" customWidth="1"/>
    <col min="5089" max="5089" width="15" style="1329" customWidth="1"/>
    <col min="5090" max="5090" width="10.5" style="1329" customWidth="1"/>
    <col min="5091" max="5091" width="12.375" style="1329" customWidth="1"/>
    <col min="5092" max="5092" width="9" style="1329" customWidth="1"/>
    <col min="5093" max="5093" width="15" style="1329" customWidth="1"/>
    <col min="5094" max="5094" width="10.5" style="1329" customWidth="1"/>
    <col min="5095" max="5095" width="9.375" style="1329" customWidth="1"/>
    <col min="5096" max="5098" width="7.875" style="1329" customWidth="1"/>
    <col min="5099" max="5326" width="9" style="1329"/>
    <col min="5327" max="5327" width="4.5" style="1329" customWidth="1"/>
    <col min="5328" max="5328" width="28.375" style="1329" customWidth="1"/>
    <col min="5329" max="5331" width="9" style="1329" customWidth="1"/>
    <col min="5332" max="5333" width="10.875" style="1329" customWidth="1"/>
    <col min="5334" max="5334" width="9.875" style="1329" customWidth="1"/>
    <col min="5335" max="5335" width="10.875" style="1329" customWidth="1"/>
    <col min="5336" max="5336" width="9.875" style="1329" customWidth="1"/>
    <col min="5337" max="5337" width="10.875" style="1329" customWidth="1"/>
    <col min="5338" max="5338" width="9.875" style="1329" customWidth="1"/>
    <col min="5339" max="5339" width="10.875" style="1329" customWidth="1"/>
    <col min="5340" max="5340" width="9.875" style="1329" customWidth="1"/>
    <col min="5341" max="5341" width="10.875" style="1329" customWidth="1"/>
    <col min="5342" max="5342" width="9.875" style="1329" customWidth="1"/>
    <col min="5343" max="5343" width="12.375" style="1329" customWidth="1"/>
    <col min="5344" max="5344" width="9" style="1329" customWidth="1"/>
    <col min="5345" max="5345" width="15" style="1329" customWidth="1"/>
    <col min="5346" max="5346" width="10.5" style="1329" customWidth="1"/>
    <col min="5347" max="5347" width="12.375" style="1329" customWidth="1"/>
    <col min="5348" max="5348" width="9" style="1329" customWidth="1"/>
    <col min="5349" max="5349" width="15" style="1329" customWidth="1"/>
    <col min="5350" max="5350" width="10.5" style="1329" customWidth="1"/>
    <col min="5351" max="5351" width="9.375" style="1329" customWidth="1"/>
    <col min="5352" max="5354" width="7.875" style="1329" customWidth="1"/>
    <col min="5355" max="5582" width="9" style="1329"/>
    <col min="5583" max="5583" width="4.5" style="1329" customWidth="1"/>
    <col min="5584" max="5584" width="28.375" style="1329" customWidth="1"/>
    <col min="5585" max="5587" width="9" style="1329" customWidth="1"/>
    <col min="5588" max="5589" width="10.875" style="1329" customWidth="1"/>
    <col min="5590" max="5590" width="9.875" style="1329" customWidth="1"/>
    <col min="5591" max="5591" width="10.875" style="1329" customWidth="1"/>
    <col min="5592" max="5592" width="9.875" style="1329" customWidth="1"/>
    <col min="5593" max="5593" width="10.875" style="1329" customWidth="1"/>
    <col min="5594" max="5594" width="9.875" style="1329" customWidth="1"/>
    <col min="5595" max="5595" width="10.875" style="1329" customWidth="1"/>
    <col min="5596" max="5596" width="9.875" style="1329" customWidth="1"/>
    <col min="5597" max="5597" width="10.875" style="1329" customWidth="1"/>
    <col min="5598" max="5598" width="9.875" style="1329" customWidth="1"/>
    <col min="5599" max="5599" width="12.375" style="1329" customWidth="1"/>
    <col min="5600" max="5600" width="9" style="1329" customWidth="1"/>
    <col min="5601" max="5601" width="15" style="1329" customWidth="1"/>
    <col min="5602" max="5602" width="10.5" style="1329" customWidth="1"/>
    <col min="5603" max="5603" width="12.375" style="1329" customWidth="1"/>
    <col min="5604" max="5604" width="9" style="1329" customWidth="1"/>
    <col min="5605" max="5605" width="15" style="1329" customWidth="1"/>
    <col min="5606" max="5606" width="10.5" style="1329" customWidth="1"/>
    <col min="5607" max="5607" width="9.375" style="1329" customWidth="1"/>
    <col min="5608" max="5610" width="7.875" style="1329" customWidth="1"/>
    <col min="5611" max="5838" width="9" style="1329"/>
    <col min="5839" max="5839" width="4.5" style="1329" customWidth="1"/>
    <col min="5840" max="5840" width="28.375" style="1329" customWidth="1"/>
    <col min="5841" max="5843" width="9" style="1329" customWidth="1"/>
    <col min="5844" max="5845" width="10.875" style="1329" customWidth="1"/>
    <col min="5846" max="5846" width="9.875" style="1329" customWidth="1"/>
    <col min="5847" max="5847" width="10.875" style="1329" customWidth="1"/>
    <col min="5848" max="5848" width="9.875" style="1329" customWidth="1"/>
    <col min="5849" max="5849" width="10.875" style="1329" customWidth="1"/>
    <col min="5850" max="5850" width="9.875" style="1329" customWidth="1"/>
    <col min="5851" max="5851" width="10.875" style="1329" customWidth="1"/>
    <col min="5852" max="5852" width="9.875" style="1329" customWidth="1"/>
    <col min="5853" max="5853" width="10.875" style="1329" customWidth="1"/>
    <col min="5854" max="5854" width="9.875" style="1329" customWidth="1"/>
    <col min="5855" max="5855" width="12.375" style="1329" customWidth="1"/>
    <col min="5856" max="5856" width="9" style="1329" customWidth="1"/>
    <col min="5857" max="5857" width="15" style="1329" customWidth="1"/>
    <col min="5858" max="5858" width="10.5" style="1329" customWidth="1"/>
    <col min="5859" max="5859" width="12.375" style="1329" customWidth="1"/>
    <col min="5860" max="5860" width="9" style="1329" customWidth="1"/>
    <col min="5861" max="5861" width="15" style="1329" customWidth="1"/>
    <col min="5862" max="5862" width="10.5" style="1329" customWidth="1"/>
    <col min="5863" max="5863" width="9.375" style="1329" customWidth="1"/>
    <col min="5864" max="5866" width="7.875" style="1329" customWidth="1"/>
    <col min="5867" max="6094" width="9" style="1329"/>
    <col min="6095" max="6095" width="4.5" style="1329" customWidth="1"/>
    <col min="6096" max="6096" width="28.375" style="1329" customWidth="1"/>
    <col min="6097" max="6099" width="9" style="1329" customWidth="1"/>
    <col min="6100" max="6101" width="10.875" style="1329" customWidth="1"/>
    <col min="6102" max="6102" width="9.875" style="1329" customWidth="1"/>
    <col min="6103" max="6103" width="10.875" style="1329" customWidth="1"/>
    <col min="6104" max="6104" width="9.875" style="1329" customWidth="1"/>
    <col min="6105" max="6105" width="10.875" style="1329" customWidth="1"/>
    <col min="6106" max="6106" width="9.875" style="1329" customWidth="1"/>
    <col min="6107" max="6107" width="10.875" style="1329" customWidth="1"/>
    <col min="6108" max="6108" width="9.875" style="1329" customWidth="1"/>
    <col min="6109" max="6109" width="10.875" style="1329" customWidth="1"/>
    <col min="6110" max="6110" width="9.875" style="1329" customWidth="1"/>
    <col min="6111" max="6111" width="12.375" style="1329" customWidth="1"/>
    <col min="6112" max="6112" width="9" style="1329" customWidth="1"/>
    <col min="6113" max="6113" width="15" style="1329" customWidth="1"/>
    <col min="6114" max="6114" width="10.5" style="1329" customWidth="1"/>
    <col min="6115" max="6115" width="12.375" style="1329" customWidth="1"/>
    <col min="6116" max="6116" width="9" style="1329" customWidth="1"/>
    <col min="6117" max="6117" width="15" style="1329" customWidth="1"/>
    <col min="6118" max="6118" width="10.5" style="1329" customWidth="1"/>
    <col min="6119" max="6119" width="9.375" style="1329" customWidth="1"/>
    <col min="6120" max="6122" width="7.875" style="1329" customWidth="1"/>
    <col min="6123" max="6350" width="9" style="1329"/>
    <col min="6351" max="6351" width="4.5" style="1329" customWidth="1"/>
    <col min="6352" max="6352" width="28.375" style="1329" customWidth="1"/>
    <col min="6353" max="6355" width="9" style="1329" customWidth="1"/>
    <col min="6356" max="6357" width="10.875" style="1329" customWidth="1"/>
    <col min="6358" max="6358" width="9.875" style="1329" customWidth="1"/>
    <col min="6359" max="6359" width="10.875" style="1329" customWidth="1"/>
    <col min="6360" max="6360" width="9.875" style="1329" customWidth="1"/>
    <col min="6361" max="6361" width="10.875" style="1329" customWidth="1"/>
    <col min="6362" max="6362" width="9.875" style="1329" customWidth="1"/>
    <col min="6363" max="6363" width="10.875" style="1329" customWidth="1"/>
    <col min="6364" max="6364" width="9.875" style="1329" customWidth="1"/>
    <col min="6365" max="6365" width="10.875" style="1329" customWidth="1"/>
    <col min="6366" max="6366" width="9.875" style="1329" customWidth="1"/>
    <col min="6367" max="6367" width="12.375" style="1329" customWidth="1"/>
    <col min="6368" max="6368" width="9" style="1329" customWidth="1"/>
    <col min="6369" max="6369" width="15" style="1329" customWidth="1"/>
    <col min="6370" max="6370" width="10.5" style="1329" customWidth="1"/>
    <col min="6371" max="6371" width="12.375" style="1329" customWidth="1"/>
    <col min="6372" max="6372" width="9" style="1329" customWidth="1"/>
    <col min="6373" max="6373" width="15" style="1329" customWidth="1"/>
    <col min="6374" max="6374" width="10.5" style="1329" customWidth="1"/>
    <col min="6375" max="6375" width="9.375" style="1329" customWidth="1"/>
    <col min="6376" max="6378" width="7.875" style="1329" customWidth="1"/>
    <col min="6379" max="6606" width="9" style="1329"/>
    <col min="6607" max="6607" width="4.5" style="1329" customWidth="1"/>
    <col min="6608" max="6608" width="28.375" style="1329" customWidth="1"/>
    <col min="6609" max="6611" width="9" style="1329" customWidth="1"/>
    <col min="6612" max="6613" width="10.875" style="1329" customWidth="1"/>
    <col min="6614" max="6614" width="9.875" style="1329" customWidth="1"/>
    <col min="6615" max="6615" width="10.875" style="1329" customWidth="1"/>
    <col min="6616" max="6616" width="9.875" style="1329" customWidth="1"/>
    <col min="6617" max="6617" width="10.875" style="1329" customWidth="1"/>
    <col min="6618" max="6618" width="9.875" style="1329" customWidth="1"/>
    <col min="6619" max="6619" width="10.875" style="1329" customWidth="1"/>
    <col min="6620" max="6620" width="9.875" style="1329" customWidth="1"/>
    <col min="6621" max="6621" width="10.875" style="1329" customWidth="1"/>
    <col min="6622" max="6622" width="9.875" style="1329" customWidth="1"/>
    <col min="6623" max="6623" width="12.375" style="1329" customWidth="1"/>
    <col min="6624" max="6624" width="9" style="1329" customWidth="1"/>
    <col min="6625" max="6625" width="15" style="1329" customWidth="1"/>
    <col min="6626" max="6626" width="10.5" style="1329" customWidth="1"/>
    <col min="6627" max="6627" width="12.375" style="1329" customWidth="1"/>
    <col min="6628" max="6628" width="9" style="1329" customWidth="1"/>
    <col min="6629" max="6629" width="15" style="1329" customWidth="1"/>
    <col min="6630" max="6630" width="10.5" style="1329" customWidth="1"/>
    <col min="6631" max="6631" width="9.375" style="1329" customWidth="1"/>
    <col min="6632" max="6634" width="7.875" style="1329" customWidth="1"/>
    <col min="6635" max="6862" width="9" style="1329"/>
    <col min="6863" max="6863" width="4.5" style="1329" customWidth="1"/>
    <col min="6864" max="6864" width="28.375" style="1329" customWidth="1"/>
    <col min="6865" max="6867" width="9" style="1329" customWidth="1"/>
    <col min="6868" max="6869" width="10.875" style="1329" customWidth="1"/>
    <col min="6870" max="6870" width="9.875" style="1329" customWidth="1"/>
    <col min="6871" max="6871" width="10.875" style="1329" customWidth="1"/>
    <col min="6872" max="6872" width="9.875" style="1329" customWidth="1"/>
    <col min="6873" max="6873" width="10.875" style="1329" customWidth="1"/>
    <col min="6874" max="6874" width="9.875" style="1329" customWidth="1"/>
    <col min="6875" max="6875" width="10.875" style="1329" customWidth="1"/>
    <col min="6876" max="6876" width="9.875" style="1329" customWidth="1"/>
    <col min="6877" max="6877" width="10.875" style="1329" customWidth="1"/>
    <col min="6878" max="6878" width="9.875" style="1329" customWidth="1"/>
    <col min="6879" max="6879" width="12.375" style="1329" customWidth="1"/>
    <col min="6880" max="6880" width="9" style="1329" customWidth="1"/>
    <col min="6881" max="6881" width="15" style="1329" customWidth="1"/>
    <col min="6882" max="6882" width="10.5" style="1329" customWidth="1"/>
    <col min="6883" max="6883" width="12.375" style="1329" customWidth="1"/>
    <col min="6884" max="6884" width="9" style="1329" customWidth="1"/>
    <col min="6885" max="6885" width="15" style="1329" customWidth="1"/>
    <col min="6886" max="6886" width="10.5" style="1329" customWidth="1"/>
    <col min="6887" max="6887" width="9.375" style="1329" customWidth="1"/>
    <col min="6888" max="6890" width="7.875" style="1329" customWidth="1"/>
    <col min="6891" max="7118" width="9" style="1329"/>
    <col min="7119" max="7119" width="4.5" style="1329" customWidth="1"/>
    <col min="7120" max="7120" width="28.375" style="1329" customWidth="1"/>
    <col min="7121" max="7123" width="9" style="1329" customWidth="1"/>
    <col min="7124" max="7125" width="10.875" style="1329" customWidth="1"/>
    <col min="7126" max="7126" width="9.875" style="1329" customWidth="1"/>
    <col min="7127" max="7127" width="10.875" style="1329" customWidth="1"/>
    <col min="7128" max="7128" width="9.875" style="1329" customWidth="1"/>
    <col min="7129" max="7129" width="10.875" style="1329" customWidth="1"/>
    <col min="7130" max="7130" width="9.875" style="1329" customWidth="1"/>
    <col min="7131" max="7131" width="10.875" style="1329" customWidth="1"/>
    <col min="7132" max="7132" width="9.875" style="1329" customWidth="1"/>
    <col min="7133" max="7133" width="10.875" style="1329" customWidth="1"/>
    <col min="7134" max="7134" width="9.875" style="1329" customWidth="1"/>
    <col min="7135" max="7135" width="12.375" style="1329" customWidth="1"/>
    <col min="7136" max="7136" width="9" style="1329" customWidth="1"/>
    <col min="7137" max="7137" width="15" style="1329" customWidth="1"/>
    <col min="7138" max="7138" width="10.5" style="1329" customWidth="1"/>
    <col min="7139" max="7139" width="12.375" style="1329" customWidth="1"/>
    <col min="7140" max="7140" width="9" style="1329" customWidth="1"/>
    <col min="7141" max="7141" width="15" style="1329" customWidth="1"/>
    <col min="7142" max="7142" width="10.5" style="1329" customWidth="1"/>
    <col min="7143" max="7143" width="9.375" style="1329" customWidth="1"/>
    <col min="7144" max="7146" width="7.875" style="1329" customWidth="1"/>
    <col min="7147" max="7374" width="9" style="1329"/>
    <col min="7375" max="7375" width="4.5" style="1329" customWidth="1"/>
    <col min="7376" max="7376" width="28.375" style="1329" customWidth="1"/>
    <col min="7377" max="7379" width="9" style="1329" customWidth="1"/>
    <col min="7380" max="7381" width="10.875" style="1329" customWidth="1"/>
    <col min="7382" max="7382" width="9.875" style="1329" customWidth="1"/>
    <col min="7383" max="7383" width="10.875" style="1329" customWidth="1"/>
    <col min="7384" max="7384" width="9.875" style="1329" customWidth="1"/>
    <col min="7385" max="7385" width="10.875" style="1329" customWidth="1"/>
    <col min="7386" max="7386" width="9.875" style="1329" customWidth="1"/>
    <col min="7387" max="7387" width="10.875" style="1329" customWidth="1"/>
    <col min="7388" max="7388" width="9.875" style="1329" customWidth="1"/>
    <col min="7389" max="7389" width="10.875" style="1329" customWidth="1"/>
    <col min="7390" max="7390" width="9.875" style="1329" customWidth="1"/>
    <col min="7391" max="7391" width="12.375" style="1329" customWidth="1"/>
    <col min="7392" max="7392" width="9" style="1329" customWidth="1"/>
    <col min="7393" max="7393" width="15" style="1329" customWidth="1"/>
    <col min="7394" max="7394" width="10.5" style="1329" customWidth="1"/>
    <col min="7395" max="7395" width="12.375" style="1329" customWidth="1"/>
    <col min="7396" max="7396" width="9" style="1329" customWidth="1"/>
    <col min="7397" max="7397" width="15" style="1329" customWidth="1"/>
    <col min="7398" max="7398" width="10.5" style="1329" customWidth="1"/>
    <col min="7399" max="7399" width="9.375" style="1329" customWidth="1"/>
    <col min="7400" max="7402" width="7.875" style="1329" customWidth="1"/>
    <col min="7403" max="7630" width="9" style="1329"/>
    <col min="7631" max="7631" width="4.5" style="1329" customWidth="1"/>
    <col min="7632" max="7632" width="28.375" style="1329" customWidth="1"/>
    <col min="7633" max="7635" width="9" style="1329" customWidth="1"/>
    <col min="7636" max="7637" width="10.875" style="1329" customWidth="1"/>
    <col min="7638" max="7638" width="9.875" style="1329" customWidth="1"/>
    <col min="7639" max="7639" width="10.875" style="1329" customWidth="1"/>
    <col min="7640" max="7640" width="9.875" style="1329" customWidth="1"/>
    <col min="7641" max="7641" width="10.875" style="1329" customWidth="1"/>
    <col min="7642" max="7642" width="9.875" style="1329" customWidth="1"/>
    <col min="7643" max="7643" width="10.875" style="1329" customWidth="1"/>
    <col min="7644" max="7644" width="9.875" style="1329" customWidth="1"/>
    <col min="7645" max="7645" width="10.875" style="1329" customWidth="1"/>
    <col min="7646" max="7646" width="9.875" style="1329" customWidth="1"/>
    <col min="7647" max="7647" width="12.375" style="1329" customWidth="1"/>
    <col min="7648" max="7648" width="9" style="1329" customWidth="1"/>
    <col min="7649" max="7649" width="15" style="1329" customWidth="1"/>
    <col min="7650" max="7650" width="10.5" style="1329" customWidth="1"/>
    <col min="7651" max="7651" width="12.375" style="1329" customWidth="1"/>
    <col min="7652" max="7652" width="9" style="1329" customWidth="1"/>
    <col min="7653" max="7653" width="15" style="1329" customWidth="1"/>
    <col min="7654" max="7654" width="10.5" style="1329" customWidth="1"/>
    <col min="7655" max="7655" width="9.375" style="1329" customWidth="1"/>
    <col min="7656" max="7658" width="7.875" style="1329" customWidth="1"/>
    <col min="7659" max="7886" width="9" style="1329"/>
    <col min="7887" max="7887" width="4.5" style="1329" customWidth="1"/>
    <col min="7888" max="7888" width="28.375" style="1329" customWidth="1"/>
    <col min="7889" max="7891" width="9" style="1329" customWidth="1"/>
    <col min="7892" max="7893" width="10.875" style="1329" customWidth="1"/>
    <col min="7894" max="7894" width="9.875" style="1329" customWidth="1"/>
    <col min="7895" max="7895" width="10.875" style="1329" customWidth="1"/>
    <col min="7896" max="7896" width="9.875" style="1329" customWidth="1"/>
    <col min="7897" max="7897" width="10.875" style="1329" customWidth="1"/>
    <col min="7898" max="7898" width="9.875" style="1329" customWidth="1"/>
    <col min="7899" max="7899" width="10.875" style="1329" customWidth="1"/>
    <col min="7900" max="7900" width="9.875" style="1329" customWidth="1"/>
    <col min="7901" max="7901" width="10.875" style="1329" customWidth="1"/>
    <col min="7902" max="7902" width="9.875" style="1329" customWidth="1"/>
    <col min="7903" max="7903" width="12.375" style="1329" customWidth="1"/>
    <col min="7904" max="7904" width="9" style="1329" customWidth="1"/>
    <col min="7905" max="7905" width="15" style="1329" customWidth="1"/>
    <col min="7906" max="7906" width="10.5" style="1329" customWidth="1"/>
    <col min="7907" max="7907" width="12.375" style="1329" customWidth="1"/>
    <col min="7908" max="7908" width="9" style="1329" customWidth="1"/>
    <col min="7909" max="7909" width="15" style="1329" customWidth="1"/>
    <col min="7910" max="7910" width="10.5" style="1329" customWidth="1"/>
    <col min="7911" max="7911" width="9.375" style="1329" customWidth="1"/>
    <col min="7912" max="7914" width="7.875" style="1329" customWidth="1"/>
    <col min="7915" max="8142" width="9" style="1329"/>
    <col min="8143" max="8143" width="4.5" style="1329" customWidth="1"/>
    <col min="8144" max="8144" width="28.375" style="1329" customWidth="1"/>
    <col min="8145" max="8147" width="9" style="1329" customWidth="1"/>
    <col min="8148" max="8149" width="10.875" style="1329" customWidth="1"/>
    <col min="8150" max="8150" width="9.875" style="1329" customWidth="1"/>
    <col min="8151" max="8151" width="10.875" style="1329" customWidth="1"/>
    <col min="8152" max="8152" width="9.875" style="1329" customWidth="1"/>
    <col min="8153" max="8153" width="10.875" style="1329" customWidth="1"/>
    <col min="8154" max="8154" width="9.875" style="1329" customWidth="1"/>
    <col min="8155" max="8155" width="10.875" style="1329" customWidth="1"/>
    <col min="8156" max="8156" width="9.875" style="1329" customWidth="1"/>
    <col min="8157" max="8157" width="10.875" style="1329" customWidth="1"/>
    <col min="8158" max="8158" width="9.875" style="1329" customWidth="1"/>
    <col min="8159" max="8159" width="12.375" style="1329" customWidth="1"/>
    <col min="8160" max="8160" width="9" style="1329" customWidth="1"/>
    <col min="8161" max="8161" width="15" style="1329" customWidth="1"/>
    <col min="8162" max="8162" width="10.5" style="1329" customWidth="1"/>
    <col min="8163" max="8163" width="12.375" style="1329" customWidth="1"/>
    <col min="8164" max="8164" width="9" style="1329" customWidth="1"/>
    <col min="8165" max="8165" width="15" style="1329" customWidth="1"/>
    <col min="8166" max="8166" width="10.5" style="1329" customWidth="1"/>
    <col min="8167" max="8167" width="9.375" style="1329" customWidth="1"/>
    <col min="8168" max="8170" width="7.875" style="1329" customWidth="1"/>
    <col min="8171" max="8398" width="9" style="1329"/>
    <col min="8399" max="8399" width="4.5" style="1329" customWidth="1"/>
    <col min="8400" max="8400" width="28.375" style="1329" customWidth="1"/>
    <col min="8401" max="8403" width="9" style="1329" customWidth="1"/>
    <col min="8404" max="8405" width="10.875" style="1329" customWidth="1"/>
    <col min="8406" max="8406" width="9.875" style="1329" customWidth="1"/>
    <col min="8407" max="8407" width="10.875" style="1329" customWidth="1"/>
    <col min="8408" max="8408" width="9.875" style="1329" customWidth="1"/>
    <col min="8409" max="8409" width="10.875" style="1329" customWidth="1"/>
    <col min="8410" max="8410" width="9.875" style="1329" customWidth="1"/>
    <col min="8411" max="8411" width="10.875" style="1329" customWidth="1"/>
    <col min="8412" max="8412" width="9.875" style="1329" customWidth="1"/>
    <col min="8413" max="8413" width="10.875" style="1329" customWidth="1"/>
    <col min="8414" max="8414" width="9.875" style="1329" customWidth="1"/>
    <col min="8415" max="8415" width="12.375" style="1329" customWidth="1"/>
    <col min="8416" max="8416" width="9" style="1329" customWidth="1"/>
    <col min="8417" max="8417" width="15" style="1329" customWidth="1"/>
    <col min="8418" max="8418" width="10.5" style="1329" customWidth="1"/>
    <col min="8419" max="8419" width="12.375" style="1329" customWidth="1"/>
    <col min="8420" max="8420" width="9" style="1329" customWidth="1"/>
    <col min="8421" max="8421" width="15" style="1329" customWidth="1"/>
    <col min="8422" max="8422" width="10.5" style="1329" customWidth="1"/>
    <col min="8423" max="8423" width="9.375" style="1329" customWidth="1"/>
    <col min="8424" max="8426" width="7.875" style="1329" customWidth="1"/>
    <col min="8427" max="8654" width="9" style="1329"/>
    <col min="8655" max="8655" width="4.5" style="1329" customWidth="1"/>
    <col min="8656" max="8656" width="28.375" style="1329" customWidth="1"/>
    <col min="8657" max="8659" width="9" style="1329" customWidth="1"/>
    <col min="8660" max="8661" width="10.875" style="1329" customWidth="1"/>
    <col min="8662" max="8662" width="9.875" style="1329" customWidth="1"/>
    <col min="8663" max="8663" width="10.875" style="1329" customWidth="1"/>
    <col min="8664" max="8664" width="9.875" style="1329" customWidth="1"/>
    <col min="8665" max="8665" width="10.875" style="1329" customWidth="1"/>
    <col min="8666" max="8666" width="9.875" style="1329" customWidth="1"/>
    <col min="8667" max="8667" width="10.875" style="1329" customWidth="1"/>
    <col min="8668" max="8668" width="9.875" style="1329" customWidth="1"/>
    <col min="8669" max="8669" width="10.875" style="1329" customWidth="1"/>
    <col min="8670" max="8670" width="9.875" style="1329" customWidth="1"/>
    <col min="8671" max="8671" width="12.375" style="1329" customWidth="1"/>
    <col min="8672" max="8672" width="9" style="1329" customWidth="1"/>
    <col min="8673" max="8673" width="15" style="1329" customWidth="1"/>
    <col min="8674" max="8674" width="10.5" style="1329" customWidth="1"/>
    <col min="8675" max="8675" width="12.375" style="1329" customWidth="1"/>
    <col min="8676" max="8676" width="9" style="1329" customWidth="1"/>
    <col min="8677" max="8677" width="15" style="1329" customWidth="1"/>
    <col min="8678" max="8678" width="10.5" style="1329" customWidth="1"/>
    <col min="8679" max="8679" width="9.375" style="1329" customWidth="1"/>
    <col min="8680" max="8682" width="7.875" style="1329" customWidth="1"/>
    <col min="8683" max="8910" width="9" style="1329"/>
    <col min="8911" max="8911" width="4.5" style="1329" customWidth="1"/>
    <col min="8912" max="8912" width="28.375" style="1329" customWidth="1"/>
    <col min="8913" max="8915" width="9" style="1329" customWidth="1"/>
    <col min="8916" max="8917" width="10.875" style="1329" customWidth="1"/>
    <col min="8918" max="8918" width="9.875" style="1329" customWidth="1"/>
    <col min="8919" max="8919" width="10.875" style="1329" customWidth="1"/>
    <col min="8920" max="8920" width="9.875" style="1329" customWidth="1"/>
    <col min="8921" max="8921" width="10.875" style="1329" customWidth="1"/>
    <col min="8922" max="8922" width="9.875" style="1329" customWidth="1"/>
    <col min="8923" max="8923" width="10.875" style="1329" customWidth="1"/>
    <col min="8924" max="8924" width="9.875" style="1329" customWidth="1"/>
    <col min="8925" max="8925" width="10.875" style="1329" customWidth="1"/>
    <col min="8926" max="8926" width="9.875" style="1329" customWidth="1"/>
    <col min="8927" max="8927" width="12.375" style="1329" customWidth="1"/>
    <col min="8928" max="8928" width="9" style="1329" customWidth="1"/>
    <col min="8929" max="8929" width="15" style="1329" customWidth="1"/>
    <col min="8930" max="8930" width="10.5" style="1329" customWidth="1"/>
    <col min="8931" max="8931" width="12.375" style="1329" customWidth="1"/>
    <col min="8932" max="8932" width="9" style="1329" customWidth="1"/>
    <col min="8933" max="8933" width="15" style="1329" customWidth="1"/>
    <col min="8934" max="8934" width="10.5" style="1329" customWidth="1"/>
    <col min="8935" max="8935" width="9.375" style="1329" customWidth="1"/>
    <col min="8936" max="8938" width="7.875" style="1329" customWidth="1"/>
    <col min="8939" max="9166" width="9" style="1329"/>
    <col min="9167" max="9167" width="4.5" style="1329" customWidth="1"/>
    <col min="9168" max="9168" width="28.375" style="1329" customWidth="1"/>
    <col min="9169" max="9171" width="9" style="1329" customWidth="1"/>
    <col min="9172" max="9173" width="10.875" style="1329" customWidth="1"/>
    <col min="9174" max="9174" width="9.875" style="1329" customWidth="1"/>
    <col min="9175" max="9175" width="10.875" style="1329" customWidth="1"/>
    <col min="9176" max="9176" width="9.875" style="1329" customWidth="1"/>
    <col min="9177" max="9177" width="10.875" style="1329" customWidth="1"/>
    <col min="9178" max="9178" width="9.875" style="1329" customWidth="1"/>
    <col min="9179" max="9179" width="10.875" style="1329" customWidth="1"/>
    <col min="9180" max="9180" width="9.875" style="1329" customWidth="1"/>
    <col min="9181" max="9181" width="10.875" style="1329" customWidth="1"/>
    <col min="9182" max="9182" width="9.875" style="1329" customWidth="1"/>
    <col min="9183" max="9183" width="12.375" style="1329" customWidth="1"/>
    <col min="9184" max="9184" width="9" style="1329" customWidth="1"/>
    <col min="9185" max="9185" width="15" style="1329" customWidth="1"/>
    <col min="9186" max="9186" width="10.5" style="1329" customWidth="1"/>
    <col min="9187" max="9187" width="12.375" style="1329" customWidth="1"/>
    <col min="9188" max="9188" width="9" style="1329" customWidth="1"/>
    <col min="9189" max="9189" width="15" style="1329" customWidth="1"/>
    <col min="9190" max="9190" width="10.5" style="1329" customWidth="1"/>
    <col min="9191" max="9191" width="9.375" style="1329" customWidth="1"/>
    <col min="9192" max="9194" width="7.875" style="1329" customWidth="1"/>
    <col min="9195" max="9422" width="9" style="1329"/>
    <col min="9423" max="9423" width="4.5" style="1329" customWidth="1"/>
    <col min="9424" max="9424" width="28.375" style="1329" customWidth="1"/>
    <col min="9425" max="9427" width="9" style="1329" customWidth="1"/>
    <col min="9428" max="9429" width="10.875" style="1329" customWidth="1"/>
    <col min="9430" max="9430" width="9.875" style="1329" customWidth="1"/>
    <col min="9431" max="9431" width="10.875" style="1329" customWidth="1"/>
    <col min="9432" max="9432" width="9.875" style="1329" customWidth="1"/>
    <col min="9433" max="9433" width="10.875" style="1329" customWidth="1"/>
    <col min="9434" max="9434" width="9.875" style="1329" customWidth="1"/>
    <col min="9435" max="9435" width="10.875" style="1329" customWidth="1"/>
    <col min="9436" max="9436" width="9.875" style="1329" customWidth="1"/>
    <col min="9437" max="9437" width="10.875" style="1329" customWidth="1"/>
    <col min="9438" max="9438" width="9.875" style="1329" customWidth="1"/>
    <col min="9439" max="9439" width="12.375" style="1329" customWidth="1"/>
    <col min="9440" max="9440" width="9" style="1329" customWidth="1"/>
    <col min="9441" max="9441" width="15" style="1329" customWidth="1"/>
    <col min="9442" max="9442" width="10.5" style="1329" customWidth="1"/>
    <col min="9443" max="9443" width="12.375" style="1329" customWidth="1"/>
    <col min="9444" max="9444" width="9" style="1329" customWidth="1"/>
    <col min="9445" max="9445" width="15" style="1329" customWidth="1"/>
    <col min="9446" max="9446" width="10.5" style="1329" customWidth="1"/>
    <col min="9447" max="9447" width="9.375" style="1329" customWidth="1"/>
    <col min="9448" max="9450" width="7.875" style="1329" customWidth="1"/>
    <col min="9451" max="9678" width="9" style="1329"/>
    <col min="9679" max="9679" width="4.5" style="1329" customWidth="1"/>
    <col min="9680" max="9680" width="28.375" style="1329" customWidth="1"/>
    <col min="9681" max="9683" width="9" style="1329" customWidth="1"/>
    <col min="9684" max="9685" width="10.875" style="1329" customWidth="1"/>
    <col min="9686" max="9686" width="9.875" style="1329" customWidth="1"/>
    <col min="9687" max="9687" width="10.875" style="1329" customWidth="1"/>
    <col min="9688" max="9688" width="9.875" style="1329" customWidth="1"/>
    <col min="9689" max="9689" width="10.875" style="1329" customWidth="1"/>
    <col min="9690" max="9690" width="9.875" style="1329" customWidth="1"/>
    <col min="9691" max="9691" width="10.875" style="1329" customWidth="1"/>
    <col min="9692" max="9692" width="9.875" style="1329" customWidth="1"/>
    <col min="9693" max="9693" width="10.875" style="1329" customWidth="1"/>
    <col min="9694" max="9694" width="9.875" style="1329" customWidth="1"/>
    <col min="9695" max="9695" width="12.375" style="1329" customWidth="1"/>
    <col min="9696" max="9696" width="9" style="1329" customWidth="1"/>
    <col min="9697" max="9697" width="15" style="1329" customWidth="1"/>
    <col min="9698" max="9698" width="10.5" style="1329" customWidth="1"/>
    <col min="9699" max="9699" width="12.375" style="1329" customWidth="1"/>
    <col min="9700" max="9700" width="9" style="1329" customWidth="1"/>
    <col min="9701" max="9701" width="15" style="1329" customWidth="1"/>
    <col min="9702" max="9702" width="10.5" style="1329" customWidth="1"/>
    <col min="9703" max="9703" width="9.375" style="1329" customWidth="1"/>
    <col min="9704" max="9706" width="7.875" style="1329" customWidth="1"/>
    <col min="9707" max="9934" width="9" style="1329"/>
    <col min="9935" max="9935" width="4.5" style="1329" customWidth="1"/>
    <col min="9936" max="9936" width="28.375" style="1329" customWidth="1"/>
    <col min="9937" max="9939" width="9" style="1329" customWidth="1"/>
    <col min="9940" max="9941" width="10.875" style="1329" customWidth="1"/>
    <col min="9942" max="9942" width="9.875" style="1329" customWidth="1"/>
    <col min="9943" max="9943" width="10.875" style="1329" customWidth="1"/>
    <col min="9944" max="9944" width="9.875" style="1329" customWidth="1"/>
    <col min="9945" max="9945" width="10.875" style="1329" customWidth="1"/>
    <col min="9946" max="9946" width="9.875" style="1329" customWidth="1"/>
    <col min="9947" max="9947" width="10.875" style="1329" customWidth="1"/>
    <col min="9948" max="9948" width="9.875" style="1329" customWidth="1"/>
    <col min="9949" max="9949" width="10.875" style="1329" customWidth="1"/>
    <col min="9950" max="9950" width="9.875" style="1329" customWidth="1"/>
    <col min="9951" max="9951" width="12.375" style="1329" customWidth="1"/>
    <col min="9952" max="9952" width="9" style="1329" customWidth="1"/>
    <col min="9953" max="9953" width="15" style="1329" customWidth="1"/>
    <col min="9954" max="9954" width="10.5" style="1329" customWidth="1"/>
    <col min="9955" max="9955" width="12.375" style="1329" customWidth="1"/>
    <col min="9956" max="9956" width="9" style="1329" customWidth="1"/>
    <col min="9957" max="9957" width="15" style="1329" customWidth="1"/>
    <col min="9958" max="9958" width="10.5" style="1329" customWidth="1"/>
    <col min="9959" max="9959" width="9.375" style="1329" customWidth="1"/>
    <col min="9960" max="9962" width="7.875" style="1329" customWidth="1"/>
    <col min="9963" max="10190" width="9" style="1329"/>
    <col min="10191" max="10191" width="4.5" style="1329" customWidth="1"/>
    <col min="10192" max="10192" width="28.375" style="1329" customWidth="1"/>
    <col min="10193" max="10195" width="9" style="1329" customWidth="1"/>
    <col min="10196" max="10197" width="10.875" style="1329" customWidth="1"/>
    <col min="10198" max="10198" width="9.875" style="1329" customWidth="1"/>
    <col min="10199" max="10199" width="10.875" style="1329" customWidth="1"/>
    <col min="10200" max="10200" width="9.875" style="1329" customWidth="1"/>
    <col min="10201" max="10201" width="10.875" style="1329" customWidth="1"/>
    <col min="10202" max="10202" width="9.875" style="1329" customWidth="1"/>
    <col min="10203" max="10203" width="10.875" style="1329" customWidth="1"/>
    <col min="10204" max="10204" width="9.875" style="1329" customWidth="1"/>
    <col min="10205" max="10205" width="10.875" style="1329" customWidth="1"/>
    <col min="10206" max="10206" width="9.875" style="1329" customWidth="1"/>
    <col min="10207" max="10207" width="12.375" style="1329" customWidth="1"/>
    <col min="10208" max="10208" width="9" style="1329" customWidth="1"/>
    <col min="10209" max="10209" width="15" style="1329" customWidth="1"/>
    <col min="10210" max="10210" width="10.5" style="1329" customWidth="1"/>
    <col min="10211" max="10211" width="12.375" style="1329" customWidth="1"/>
    <col min="10212" max="10212" width="9" style="1329" customWidth="1"/>
    <col min="10213" max="10213" width="15" style="1329" customWidth="1"/>
    <col min="10214" max="10214" width="10.5" style="1329" customWidth="1"/>
    <col min="10215" max="10215" width="9.375" style="1329" customWidth="1"/>
    <col min="10216" max="10218" width="7.875" style="1329" customWidth="1"/>
    <col min="10219" max="10446" width="9" style="1329"/>
    <col min="10447" max="10447" width="4.5" style="1329" customWidth="1"/>
    <col min="10448" max="10448" width="28.375" style="1329" customWidth="1"/>
    <col min="10449" max="10451" width="9" style="1329" customWidth="1"/>
    <col min="10452" max="10453" width="10.875" style="1329" customWidth="1"/>
    <col min="10454" max="10454" width="9.875" style="1329" customWidth="1"/>
    <col min="10455" max="10455" width="10.875" style="1329" customWidth="1"/>
    <col min="10456" max="10456" width="9.875" style="1329" customWidth="1"/>
    <col min="10457" max="10457" width="10.875" style="1329" customWidth="1"/>
    <col min="10458" max="10458" width="9.875" style="1329" customWidth="1"/>
    <col min="10459" max="10459" width="10.875" style="1329" customWidth="1"/>
    <col min="10460" max="10460" width="9.875" style="1329" customWidth="1"/>
    <col min="10461" max="10461" width="10.875" style="1329" customWidth="1"/>
    <col min="10462" max="10462" width="9.875" style="1329" customWidth="1"/>
    <col min="10463" max="10463" width="12.375" style="1329" customWidth="1"/>
    <col min="10464" max="10464" width="9" style="1329" customWidth="1"/>
    <col min="10465" max="10465" width="15" style="1329" customWidth="1"/>
    <col min="10466" max="10466" width="10.5" style="1329" customWidth="1"/>
    <col min="10467" max="10467" width="12.375" style="1329" customWidth="1"/>
    <col min="10468" max="10468" width="9" style="1329" customWidth="1"/>
    <col min="10469" max="10469" width="15" style="1329" customWidth="1"/>
    <col min="10470" max="10470" width="10.5" style="1329" customWidth="1"/>
    <col min="10471" max="10471" width="9.375" style="1329" customWidth="1"/>
    <col min="10472" max="10474" width="7.875" style="1329" customWidth="1"/>
    <col min="10475" max="10702" width="9" style="1329"/>
    <col min="10703" max="10703" width="4.5" style="1329" customWidth="1"/>
    <col min="10704" max="10704" width="28.375" style="1329" customWidth="1"/>
    <col min="10705" max="10707" width="9" style="1329" customWidth="1"/>
    <col min="10708" max="10709" width="10.875" style="1329" customWidth="1"/>
    <col min="10710" max="10710" width="9.875" style="1329" customWidth="1"/>
    <col min="10711" max="10711" width="10.875" style="1329" customWidth="1"/>
    <col min="10712" max="10712" width="9.875" style="1329" customWidth="1"/>
    <col min="10713" max="10713" width="10.875" style="1329" customWidth="1"/>
    <col min="10714" max="10714" width="9.875" style="1329" customWidth="1"/>
    <col min="10715" max="10715" width="10.875" style="1329" customWidth="1"/>
    <col min="10716" max="10716" width="9.875" style="1329" customWidth="1"/>
    <col min="10717" max="10717" width="10.875" style="1329" customWidth="1"/>
    <col min="10718" max="10718" width="9.875" style="1329" customWidth="1"/>
    <col min="10719" max="10719" width="12.375" style="1329" customWidth="1"/>
    <col min="10720" max="10720" width="9" style="1329" customWidth="1"/>
    <col min="10721" max="10721" width="15" style="1329" customWidth="1"/>
    <col min="10722" max="10722" width="10.5" style="1329" customWidth="1"/>
    <col min="10723" max="10723" width="12.375" style="1329" customWidth="1"/>
    <col min="10724" max="10724" width="9" style="1329" customWidth="1"/>
    <col min="10725" max="10725" width="15" style="1329" customWidth="1"/>
    <col min="10726" max="10726" width="10.5" style="1329" customWidth="1"/>
    <col min="10727" max="10727" width="9.375" style="1329" customWidth="1"/>
    <col min="10728" max="10730" width="7.875" style="1329" customWidth="1"/>
    <col min="10731" max="10958" width="9" style="1329"/>
    <col min="10959" max="10959" width="4.5" style="1329" customWidth="1"/>
    <col min="10960" max="10960" width="28.375" style="1329" customWidth="1"/>
    <col min="10961" max="10963" width="9" style="1329" customWidth="1"/>
    <col min="10964" max="10965" width="10.875" style="1329" customWidth="1"/>
    <col min="10966" max="10966" width="9.875" style="1329" customWidth="1"/>
    <col min="10967" max="10967" width="10.875" style="1329" customWidth="1"/>
    <col min="10968" max="10968" width="9.875" style="1329" customWidth="1"/>
    <col min="10969" max="10969" width="10.875" style="1329" customWidth="1"/>
    <col min="10970" max="10970" width="9.875" style="1329" customWidth="1"/>
    <col min="10971" max="10971" width="10.875" style="1329" customWidth="1"/>
    <col min="10972" max="10972" width="9.875" style="1329" customWidth="1"/>
    <col min="10973" max="10973" width="10.875" style="1329" customWidth="1"/>
    <col min="10974" max="10974" width="9.875" style="1329" customWidth="1"/>
    <col min="10975" max="10975" width="12.375" style="1329" customWidth="1"/>
    <col min="10976" max="10976" width="9" style="1329" customWidth="1"/>
    <col min="10977" max="10977" width="15" style="1329" customWidth="1"/>
    <col min="10978" max="10978" width="10.5" style="1329" customWidth="1"/>
    <col min="10979" max="10979" width="12.375" style="1329" customWidth="1"/>
    <col min="10980" max="10980" width="9" style="1329" customWidth="1"/>
    <col min="10981" max="10981" width="15" style="1329" customWidth="1"/>
    <col min="10982" max="10982" width="10.5" style="1329" customWidth="1"/>
    <col min="10983" max="10983" width="9.375" style="1329" customWidth="1"/>
    <col min="10984" max="10986" width="7.875" style="1329" customWidth="1"/>
    <col min="10987" max="11214" width="9" style="1329"/>
    <col min="11215" max="11215" width="4.5" style="1329" customWidth="1"/>
    <col min="11216" max="11216" width="28.375" style="1329" customWidth="1"/>
    <col min="11217" max="11219" width="9" style="1329" customWidth="1"/>
    <col min="11220" max="11221" width="10.875" style="1329" customWidth="1"/>
    <col min="11222" max="11222" width="9.875" style="1329" customWidth="1"/>
    <col min="11223" max="11223" width="10.875" style="1329" customWidth="1"/>
    <col min="11224" max="11224" width="9.875" style="1329" customWidth="1"/>
    <col min="11225" max="11225" width="10.875" style="1329" customWidth="1"/>
    <col min="11226" max="11226" width="9.875" style="1329" customWidth="1"/>
    <col min="11227" max="11227" width="10.875" style="1329" customWidth="1"/>
    <col min="11228" max="11228" width="9.875" style="1329" customWidth="1"/>
    <col min="11229" max="11229" width="10.875" style="1329" customWidth="1"/>
    <col min="11230" max="11230" width="9.875" style="1329" customWidth="1"/>
    <col min="11231" max="11231" width="12.375" style="1329" customWidth="1"/>
    <col min="11232" max="11232" width="9" style="1329" customWidth="1"/>
    <col min="11233" max="11233" width="15" style="1329" customWidth="1"/>
    <col min="11234" max="11234" width="10.5" style="1329" customWidth="1"/>
    <col min="11235" max="11235" width="12.375" style="1329" customWidth="1"/>
    <col min="11236" max="11236" width="9" style="1329" customWidth="1"/>
    <col min="11237" max="11237" width="15" style="1329" customWidth="1"/>
    <col min="11238" max="11238" width="10.5" style="1329" customWidth="1"/>
    <col min="11239" max="11239" width="9.375" style="1329" customWidth="1"/>
    <col min="11240" max="11242" width="7.875" style="1329" customWidth="1"/>
    <col min="11243" max="11470" width="9" style="1329"/>
    <col min="11471" max="11471" width="4.5" style="1329" customWidth="1"/>
    <col min="11472" max="11472" width="28.375" style="1329" customWidth="1"/>
    <col min="11473" max="11475" width="9" style="1329" customWidth="1"/>
    <col min="11476" max="11477" width="10.875" style="1329" customWidth="1"/>
    <col min="11478" max="11478" width="9.875" style="1329" customWidth="1"/>
    <col min="11479" max="11479" width="10.875" style="1329" customWidth="1"/>
    <col min="11480" max="11480" width="9.875" style="1329" customWidth="1"/>
    <col min="11481" max="11481" width="10.875" style="1329" customWidth="1"/>
    <col min="11482" max="11482" width="9.875" style="1329" customWidth="1"/>
    <col min="11483" max="11483" width="10.875" style="1329" customWidth="1"/>
    <col min="11484" max="11484" width="9.875" style="1329" customWidth="1"/>
    <col min="11485" max="11485" width="10.875" style="1329" customWidth="1"/>
    <col min="11486" max="11486" width="9.875" style="1329" customWidth="1"/>
    <col min="11487" max="11487" width="12.375" style="1329" customWidth="1"/>
    <col min="11488" max="11488" width="9" style="1329" customWidth="1"/>
    <col min="11489" max="11489" width="15" style="1329" customWidth="1"/>
    <col min="11490" max="11490" width="10.5" style="1329" customWidth="1"/>
    <col min="11491" max="11491" width="12.375" style="1329" customWidth="1"/>
    <col min="11492" max="11492" width="9" style="1329" customWidth="1"/>
    <col min="11493" max="11493" width="15" style="1329" customWidth="1"/>
    <col min="11494" max="11494" width="10.5" style="1329" customWidth="1"/>
    <col min="11495" max="11495" width="9.375" style="1329" customWidth="1"/>
    <col min="11496" max="11498" width="7.875" style="1329" customWidth="1"/>
    <col min="11499" max="11726" width="9" style="1329"/>
    <col min="11727" max="11727" width="4.5" style="1329" customWidth="1"/>
    <col min="11728" max="11728" width="28.375" style="1329" customWidth="1"/>
    <col min="11729" max="11731" width="9" style="1329" customWidth="1"/>
    <col min="11732" max="11733" width="10.875" style="1329" customWidth="1"/>
    <col min="11734" max="11734" width="9.875" style="1329" customWidth="1"/>
    <col min="11735" max="11735" width="10.875" style="1329" customWidth="1"/>
    <col min="11736" max="11736" width="9.875" style="1329" customWidth="1"/>
    <col min="11737" max="11737" width="10.875" style="1329" customWidth="1"/>
    <col min="11738" max="11738" width="9.875" style="1329" customWidth="1"/>
    <col min="11739" max="11739" width="10.875" style="1329" customWidth="1"/>
    <col min="11740" max="11740" width="9.875" style="1329" customWidth="1"/>
    <col min="11741" max="11741" width="10.875" style="1329" customWidth="1"/>
    <col min="11742" max="11742" width="9.875" style="1329" customWidth="1"/>
    <col min="11743" max="11743" width="12.375" style="1329" customWidth="1"/>
    <col min="11744" max="11744" width="9" style="1329" customWidth="1"/>
    <col min="11745" max="11745" width="15" style="1329" customWidth="1"/>
    <col min="11746" max="11746" width="10.5" style="1329" customWidth="1"/>
    <col min="11747" max="11747" width="12.375" style="1329" customWidth="1"/>
    <col min="11748" max="11748" width="9" style="1329" customWidth="1"/>
    <col min="11749" max="11749" width="15" style="1329" customWidth="1"/>
    <col min="11750" max="11750" width="10.5" style="1329" customWidth="1"/>
    <col min="11751" max="11751" width="9.375" style="1329" customWidth="1"/>
    <col min="11752" max="11754" width="7.875" style="1329" customWidth="1"/>
    <col min="11755" max="11982" width="9" style="1329"/>
    <col min="11983" max="11983" width="4.5" style="1329" customWidth="1"/>
    <col min="11984" max="11984" width="28.375" style="1329" customWidth="1"/>
    <col min="11985" max="11987" width="9" style="1329" customWidth="1"/>
    <col min="11988" max="11989" width="10.875" style="1329" customWidth="1"/>
    <col min="11990" max="11990" width="9.875" style="1329" customWidth="1"/>
    <col min="11991" max="11991" width="10.875" style="1329" customWidth="1"/>
    <col min="11992" max="11992" width="9.875" style="1329" customWidth="1"/>
    <col min="11993" max="11993" width="10.875" style="1329" customWidth="1"/>
    <col min="11994" max="11994" width="9.875" style="1329" customWidth="1"/>
    <col min="11995" max="11995" width="10.875" style="1329" customWidth="1"/>
    <col min="11996" max="11996" width="9.875" style="1329" customWidth="1"/>
    <col min="11997" max="11997" width="10.875" style="1329" customWidth="1"/>
    <col min="11998" max="11998" width="9.875" style="1329" customWidth="1"/>
    <col min="11999" max="11999" width="12.375" style="1329" customWidth="1"/>
    <col min="12000" max="12000" width="9" style="1329" customWidth="1"/>
    <col min="12001" max="12001" width="15" style="1329" customWidth="1"/>
    <col min="12002" max="12002" width="10.5" style="1329" customWidth="1"/>
    <col min="12003" max="12003" width="12.375" style="1329" customWidth="1"/>
    <col min="12004" max="12004" width="9" style="1329" customWidth="1"/>
    <col min="12005" max="12005" width="15" style="1329" customWidth="1"/>
    <col min="12006" max="12006" width="10.5" style="1329" customWidth="1"/>
    <col min="12007" max="12007" width="9.375" style="1329" customWidth="1"/>
    <col min="12008" max="12010" width="7.875" style="1329" customWidth="1"/>
    <col min="12011" max="12238" width="9" style="1329"/>
    <col min="12239" max="12239" width="4.5" style="1329" customWidth="1"/>
    <col min="12240" max="12240" width="28.375" style="1329" customWidth="1"/>
    <col min="12241" max="12243" width="9" style="1329" customWidth="1"/>
    <col min="12244" max="12245" width="10.875" style="1329" customWidth="1"/>
    <col min="12246" max="12246" width="9.875" style="1329" customWidth="1"/>
    <col min="12247" max="12247" width="10.875" style="1329" customWidth="1"/>
    <col min="12248" max="12248" width="9.875" style="1329" customWidth="1"/>
    <col min="12249" max="12249" width="10.875" style="1329" customWidth="1"/>
    <col min="12250" max="12250" width="9.875" style="1329" customWidth="1"/>
    <col min="12251" max="12251" width="10.875" style="1329" customWidth="1"/>
    <col min="12252" max="12252" width="9.875" style="1329" customWidth="1"/>
    <col min="12253" max="12253" width="10.875" style="1329" customWidth="1"/>
    <col min="12254" max="12254" width="9.875" style="1329" customWidth="1"/>
    <col min="12255" max="12255" width="12.375" style="1329" customWidth="1"/>
    <col min="12256" max="12256" width="9" style="1329" customWidth="1"/>
    <col min="12257" max="12257" width="15" style="1329" customWidth="1"/>
    <col min="12258" max="12258" width="10.5" style="1329" customWidth="1"/>
    <col min="12259" max="12259" width="12.375" style="1329" customWidth="1"/>
    <col min="12260" max="12260" width="9" style="1329" customWidth="1"/>
    <col min="12261" max="12261" width="15" style="1329" customWidth="1"/>
    <col min="12262" max="12262" width="10.5" style="1329" customWidth="1"/>
    <col min="12263" max="12263" width="9.375" style="1329" customWidth="1"/>
    <col min="12264" max="12266" width="7.875" style="1329" customWidth="1"/>
    <col min="12267" max="12494" width="9" style="1329"/>
    <col min="12495" max="12495" width="4.5" style="1329" customWidth="1"/>
    <col min="12496" max="12496" width="28.375" style="1329" customWidth="1"/>
    <col min="12497" max="12499" width="9" style="1329" customWidth="1"/>
    <col min="12500" max="12501" width="10.875" style="1329" customWidth="1"/>
    <col min="12502" max="12502" width="9.875" style="1329" customWidth="1"/>
    <col min="12503" max="12503" width="10.875" style="1329" customWidth="1"/>
    <col min="12504" max="12504" width="9.875" style="1329" customWidth="1"/>
    <col min="12505" max="12505" width="10.875" style="1329" customWidth="1"/>
    <col min="12506" max="12506" width="9.875" style="1329" customWidth="1"/>
    <col min="12507" max="12507" width="10.875" style="1329" customWidth="1"/>
    <col min="12508" max="12508" width="9.875" style="1329" customWidth="1"/>
    <col min="12509" max="12509" width="10.875" style="1329" customWidth="1"/>
    <col min="12510" max="12510" width="9.875" style="1329" customWidth="1"/>
    <col min="12511" max="12511" width="12.375" style="1329" customWidth="1"/>
    <col min="12512" max="12512" width="9" style="1329" customWidth="1"/>
    <col min="12513" max="12513" width="15" style="1329" customWidth="1"/>
    <col min="12514" max="12514" width="10.5" style="1329" customWidth="1"/>
    <col min="12515" max="12515" width="12.375" style="1329" customWidth="1"/>
    <col min="12516" max="12516" width="9" style="1329" customWidth="1"/>
    <col min="12517" max="12517" width="15" style="1329" customWidth="1"/>
    <col min="12518" max="12518" width="10.5" style="1329" customWidth="1"/>
    <col min="12519" max="12519" width="9.375" style="1329" customWidth="1"/>
    <col min="12520" max="12522" width="7.875" style="1329" customWidth="1"/>
    <col min="12523" max="12750" width="9" style="1329"/>
    <col min="12751" max="12751" width="4.5" style="1329" customWidth="1"/>
    <col min="12752" max="12752" width="28.375" style="1329" customWidth="1"/>
    <col min="12753" max="12755" width="9" style="1329" customWidth="1"/>
    <col min="12756" max="12757" width="10.875" style="1329" customWidth="1"/>
    <col min="12758" max="12758" width="9.875" style="1329" customWidth="1"/>
    <col min="12759" max="12759" width="10.875" style="1329" customWidth="1"/>
    <col min="12760" max="12760" width="9.875" style="1329" customWidth="1"/>
    <col min="12761" max="12761" width="10.875" style="1329" customWidth="1"/>
    <col min="12762" max="12762" width="9.875" style="1329" customWidth="1"/>
    <col min="12763" max="12763" width="10.875" style="1329" customWidth="1"/>
    <col min="12764" max="12764" width="9.875" style="1329" customWidth="1"/>
    <col min="12765" max="12765" width="10.875" style="1329" customWidth="1"/>
    <col min="12766" max="12766" width="9.875" style="1329" customWidth="1"/>
    <col min="12767" max="12767" width="12.375" style="1329" customWidth="1"/>
    <col min="12768" max="12768" width="9" style="1329" customWidth="1"/>
    <col min="12769" max="12769" width="15" style="1329" customWidth="1"/>
    <col min="12770" max="12770" width="10.5" style="1329" customWidth="1"/>
    <col min="12771" max="12771" width="12.375" style="1329" customWidth="1"/>
    <col min="12772" max="12772" width="9" style="1329" customWidth="1"/>
    <col min="12773" max="12773" width="15" style="1329" customWidth="1"/>
    <col min="12774" max="12774" width="10.5" style="1329" customWidth="1"/>
    <col min="12775" max="12775" width="9.375" style="1329" customWidth="1"/>
    <col min="12776" max="12778" width="7.875" style="1329" customWidth="1"/>
    <col min="12779" max="13006" width="9" style="1329"/>
    <col min="13007" max="13007" width="4.5" style="1329" customWidth="1"/>
    <col min="13008" max="13008" width="28.375" style="1329" customWidth="1"/>
    <col min="13009" max="13011" width="9" style="1329" customWidth="1"/>
    <col min="13012" max="13013" width="10.875" style="1329" customWidth="1"/>
    <col min="13014" max="13014" width="9.875" style="1329" customWidth="1"/>
    <col min="13015" max="13015" width="10.875" style="1329" customWidth="1"/>
    <col min="13016" max="13016" width="9.875" style="1329" customWidth="1"/>
    <col min="13017" max="13017" width="10.875" style="1329" customWidth="1"/>
    <col min="13018" max="13018" width="9.875" style="1329" customWidth="1"/>
    <col min="13019" max="13019" width="10.875" style="1329" customWidth="1"/>
    <col min="13020" max="13020" width="9.875" style="1329" customWidth="1"/>
    <col min="13021" max="13021" width="10.875" style="1329" customWidth="1"/>
    <col min="13022" max="13022" width="9.875" style="1329" customWidth="1"/>
    <col min="13023" max="13023" width="12.375" style="1329" customWidth="1"/>
    <col min="13024" max="13024" width="9" style="1329" customWidth="1"/>
    <col min="13025" max="13025" width="15" style="1329" customWidth="1"/>
    <col min="13026" max="13026" width="10.5" style="1329" customWidth="1"/>
    <col min="13027" max="13027" width="12.375" style="1329" customWidth="1"/>
    <col min="13028" max="13028" width="9" style="1329" customWidth="1"/>
    <col min="13029" max="13029" width="15" style="1329" customWidth="1"/>
    <col min="13030" max="13030" width="10.5" style="1329" customWidth="1"/>
    <col min="13031" max="13031" width="9.375" style="1329" customWidth="1"/>
    <col min="13032" max="13034" width="7.875" style="1329" customWidth="1"/>
    <col min="13035" max="13262" width="9" style="1329"/>
    <col min="13263" max="13263" width="4.5" style="1329" customWidth="1"/>
    <col min="13264" max="13264" width="28.375" style="1329" customWidth="1"/>
    <col min="13265" max="13267" width="9" style="1329" customWidth="1"/>
    <col min="13268" max="13269" width="10.875" style="1329" customWidth="1"/>
    <col min="13270" max="13270" width="9.875" style="1329" customWidth="1"/>
    <col min="13271" max="13271" width="10.875" style="1329" customWidth="1"/>
    <col min="13272" max="13272" width="9.875" style="1329" customWidth="1"/>
    <col min="13273" max="13273" width="10.875" style="1329" customWidth="1"/>
    <col min="13274" max="13274" width="9.875" style="1329" customWidth="1"/>
    <col min="13275" max="13275" width="10.875" style="1329" customWidth="1"/>
    <col min="13276" max="13276" width="9.875" style="1329" customWidth="1"/>
    <col min="13277" max="13277" width="10.875" style="1329" customWidth="1"/>
    <col min="13278" max="13278" width="9.875" style="1329" customWidth="1"/>
    <col min="13279" max="13279" width="12.375" style="1329" customWidth="1"/>
    <col min="13280" max="13280" width="9" style="1329" customWidth="1"/>
    <col min="13281" max="13281" width="15" style="1329" customWidth="1"/>
    <col min="13282" max="13282" width="10.5" style="1329" customWidth="1"/>
    <col min="13283" max="13283" width="12.375" style="1329" customWidth="1"/>
    <col min="13284" max="13284" width="9" style="1329" customWidth="1"/>
    <col min="13285" max="13285" width="15" style="1329" customWidth="1"/>
    <col min="13286" max="13286" width="10.5" style="1329" customWidth="1"/>
    <col min="13287" max="13287" width="9.375" style="1329" customWidth="1"/>
    <col min="13288" max="13290" width="7.875" style="1329" customWidth="1"/>
    <col min="13291" max="13518" width="9" style="1329"/>
    <col min="13519" max="13519" width="4.5" style="1329" customWidth="1"/>
    <col min="13520" max="13520" width="28.375" style="1329" customWidth="1"/>
    <col min="13521" max="13523" width="9" style="1329" customWidth="1"/>
    <col min="13524" max="13525" width="10.875" style="1329" customWidth="1"/>
    <col min="13526" max="13526" width="9.875" style="1329" customWidth="1"/>
    <col min="13527" max="13527" width="10.875" style="1329" customWidth="1"/>
    <col min="13528" max="13528" width="9.875" style="1329" customWidth="1"/>
    <col min="13529" max="13529" width="10.875" style="1329" customWidth="1"/>
    <col min="13530" max="13530" width="9.875" style="1329" customWidth="1"/>
    <col min="13531" max="13531" width="10.875" style="1329" customWidth="1"/>
    <col min="13532" max="13532" width="9.875" style="1329" customWidth="1"/>
    <col min="13533" max="13533" width="10.875" style="1329" customWidth="1"/>
    <col min="13534" max="13534" width="9.875" style="1329" customWidth="1"/>
    <col min="13535" max="13535" width="12.375" style="1329" customWidth="1"/>
    <col min="13536" max="13536" width="9" style="1329" customWidth="1"/>
    <col min="13537" max="13537" width="15" style="1329" customWidth="1"/>
    <col min="13538" max="13538" width="10.5" style="1329" customWidth="1"/>
    <col min="13539" max="13539" width="12.375" style="1329" customWidth="1"/>
    <col min="13540" max="13540" width="9" style="1329" customWidth="1"/>
    <col min="13541" max="13541" width="15" style="1329" customWidth="1"/>
    <col min="13542" max="13542" width="10.5" style="1329" customWidth="1"/>
    <col min="13543" max="13543" width="9.375" style="1329" customWidth="1"/>
    <col min="13544" max="13546" width="7.875" style="1329" customWidth="1"/>
    <col min="13547" max="13774" width="9" style="1329"/>
    <col min="13775" max="13775" width="4.5" style="1329" customWidth="1"/>
    <col min="13776" max="13776" width="28.375" style="1329" customWidth="1"/>
    <col min="13777" max="13779" width="9" style="1329" customWidth="1"/>
    <col min="13780" max="13781" width="10.875" style="1329" customWidth="1"/>
    <col min="13782" max="13782" width="9.875" style="1329" customWidth="1"/>
    <col min="13783" max="13783" width="10.875" style="1329" customWidth="1"/>
    <col min="13784" max="13784" width="9.875" style="1329" customWidth="1"/>
    <col min="13785" max="13785" width="10.875" style="1329" customWidth="1"/>
    <col min="13786" max="13786" width="9.875" style="1329" customWidth="1"/>
    <col min="13787" max="13787" width="10.875" style="1329" customWidth="1"/>
    <col min="13788" max="13788" width="9.875" style="1329" customWidth="1"/>
    <col min="13789" max="13789" width="10.875" style="1329" customWidth="1"/>
    <col min="13790" max="13790" width="9.875" style="1329" customWidth="1"/>
    <col min="13791" max="13791" width="12.375" style="1329" customWidth="1"/>
    <col min="13792" max="13792" width="9" style="1329" customWidth="1"/>
    <col min="13793" max="13793" width="15" style="1329" customWidth="1"/>
    <col min="13794" max="13794" width="10.5" style="1329" customWidth="1"/>
    <col min="13795" max="13795" width="12.375" style="1329" customWidth="1"/>
    <col min="13796" max="13796" width="9" style="1329" customWidth="1"/>
    <col min="13797" max="13797" width="15" style="1329" customWidth="1"/>
    <col min="13798" max="13798" width="10.5" style="1329" customWidth="1"/>
    <col min="13799" max="13799" width="9.375" style="1329" customWidth="1"/>
    <col min="13800" max="13802" width="7.875" style="1329" customWidth="1"/>
    <col min="13803" max="14030" width="9" style="1329"/>
    <col min="14031" max="14031" width="4.5" style="1329" customWidth="1"/>
    <col min="14032" max="14032" width="28.375" style="1329" customWidth="1"/>
    <col min="14033" max="14035" width="9" style="1329" customWidth="1"/>
    <col min="14036" max="14037" width="10.875" style="1329" customWidth="1"/>
    <col min="14038" max="14038" width="9.875" style="1329" customWidth="1"/>
    <col min="14039" max="14039" width="10.875" style="1329" customWidth="1"/>
    <col min="14040" max="14040" width="9.875" style="1329" customWidth="1"/>
    <col min="14041" max="14041" width="10.875" style="1329" customWidth="1"/>
    <col min="14042" max="14042" width="9.875" style="1329" customWidth="1"/>
    <col min="14043" max="14043" width="10.875" style="1329" customWidth="1"/>
    <col min="14044" max="14044" width="9.875" style="1329" customWidth="1"/>
    <col min="14045" max="14045" width="10.875" style="1329" customWidth="1"/>
    <col min="14046" max="14046" width="9.875" style="1329" customWidth="1"/>
    <col min="14047" max="14047" width="12.375" style="1329" customWidth="1"/>
    <col min="14048" max="14048" width="9" style="1329" customWidth="1"/>
    <col min="14049" max="14049" width="15" style="1329" customWidth="1"/>
    <col min="14050" max="14050" width="10.5" style="1329" customWidth="1"/>
    <col min="14051" max="14051" width="12.375" style="1329" customWidth="1"/>
    <col min="14052" max="14052" width="9" style="1329" customWidth="1"/>
    <col min="14053" max="14053" width="15" style="1329" customWidth="1"/>
    <col min="14054" max="14054" width="10.5" style="1329" customWidth="1"/>
    <col min="14055" max="14055" width="9.375" style="1329" customWidth="1"/>
    <col min="14056" max="14058" width="7.875" style="1329" customWidth="1"/>
    <col min="14059" max="14286" width="9" style="1329"/>
    <col min="14287" max="14287" width="4.5" style="1329" customWidth="1"/>
    <col min="14288" max="14288" width="28.375" style="1329" customWidth="1"/>
    <col min="14289" max="14291" width="9" style="1329" customWidth="1"/>
    <col min="14292" max="14293" width="10.875" style="1329" customWidth="1"/>
    <col min="14294" max="14294" width="9.875" style="1329" customWidth="1"/>
    <col min="14295" max="14295" width="10.875" style="1329" customWidth="1"/>
    <col min="14296" max="14296" width="9.875" style="1329" customWidth="1"/>
    <col min="14297" max="14297" width="10.875" style="1329" customWidth="1"/>
    <col min="14298" max="14298" width="9.875" style="1329" customWidth="1"/>
    <col min="14299" max="14299" width="10.875" style="1329" customWidth="1"/>
    <col min="14300" max="14300" width="9.875" style="1329" customWidth="1"/>
    <col min="14301" max="14301" width="10.875" style="1329" customWidth="1"/>
    <col min="14302" max="14302" width="9.875" style="1329" customWidth="1"/>
    <col min="14303" max="14303" width="12.375" style="1329" customWidth="1"/>
    <col min="14304" max="14304" width="9" style="1329" customWidth="1"/>
    <col min="14305" max="14305" width="15" style="1329" customWidth="1"/>
    <col min="14306" max="14306" width="10.5" style="1329" customWidth="1"/>
    <col min="14307" max="14307" width="12.375" style="1329" customWidth="1"/>
    <col min="14308" max="14308" width="9" style="1329" customWidth="1"/>
    <col min="14309" max="14309" width="15" style="1329" customWidth="1"/>
    <col min="14310" max="14310" width="10.5" style="1329" customWidth="1"/>
    <col min="14311" max="14311" width="9.375" style="1329" customWidth="1"/>
    <col min="14312" max="14314" width="7.875" style="1329" customWidth="1"/>
    <col min="14315" max="14542" width="9" style="1329"/>
    <col min="14543" max="14543" width="4.5" style="1329" customWidth="1"/>
    <col min="14544" max="14544" width="28.375" style="1329" customWidth="1"/>
    <col min="14545" max="14547" width="9" style="1329" customWidth="1"/>
    <col min="14548" max="14549" width="10.875" style="1329" customWidth="1"/>
    <col min="14550" max="14550" width="9.875" style="1329" customWidth="1"/>
    <col min="14551" max="14551" width="10.875" style="1329" customWidth="1"/>
    <col min="14552" max="14552" width="9.875" style="1329" customWidth="1"/>
    <col min="14553" max="14553" width="10.875" style="1329" customWidth="1"/>
    <col min="14554" max="14554" width="9.875" style="1329" customWidth="1"/>
    <col min="14555" max="14555" width="10.875" style="1329" customWidth="1"/>
    <col min="14556" max="14556" width="9.875" style="1329" customWidth="1"/>
    <col min="14557" max="14557" width="10.875" style="1329" customWidth="1"/>
    <col min="14558" max="14558" width="9.875" style="1329" customWidth="1"/>
    <col min="14559" max="14559" width="12.375" style="1329" customWidth="1"/>
    <col min="14560" max="14560" width="9" style="1329" customWidth="1"/>
    <col min="14561" max="14561" width="15" style="1329" customWidth="1"/>
    <col min="14562" max="14562" width="10.5" style="1329" customWidth="1"/>
    <col min="14563" max="14563" width="12.375" style="1329" customWidth="1"/>
    <col min="14564" max="14564" width="9" style="1329" customWidth="1"/>
    <col min="14565" max="14565" width="15" style="1329" customWidth="1"/>
    <col min="14566" max="14566" width="10.5" style="1329" customWidth="1"/>
    <col min="14567" max="14567" width="9.375" style="1329" customWidth="1"/>
    <col min="14568" max="14570" width="7.875" style="1329" customWidth="1"/>
    <col min="14571" max="14798" width="9" style="1329"/>
    <col min="14799" max="14799" width="4.5" style="1329" customWidth="1"/>
    <col min="14800" max="14800" width="28.375" style="1329" customWidth="1"/>
    <col min="14801" max="14803" width="9" style="1329" customWidth="1"/>
    <col min="14804" max="14805" width="10.875" style="1329" customWidth="1"/>
    <col min="14806" max="14806" width="9.875" style="1329" customWidth="1"/>
    <col min="14807" max="14807" width="10.875" style="1329" customWidth="1"/>
    <col min="14808" max="14808" width="9.875" style="1329" customWidth="1"/>
    <col min="14809" max="14809" width="10.875" style="1329" customWidth="1"/>
    <col min="14810" max="14810" width="9.875" style="1329" customWidth="1"/>
    <col min="14811" max="14811" width="10.875" style="1329" customWidth="1"/>
    <col min="14812" max="14812" width="9.875" style="1329" customWidth="1"/>
    <col min="14813" max="14813" width="10.875" style="1329" customWidth="1"/>
    <col min="14814" max="14814" width="9.875" style="1329" customWidth="1"/>
    <col min="14815" max="14815" width="12.375" style="1329" customWidth="1"/>
    <col min="14816" max="14816" width="9" style="1329" customWidth="1"/>
    <col min="14817" max="14817" width="15" style="1329" customWidth="1"/>
    <col min="14818" max="14818" width="10.5" style="1329" customWidth="1"/>
    <col min="14819" max="14819" width="12.375" style="1329" customWidth="1"/>
    <col min="14820" max="14820" width="9" style="1329" customWidth="1"/>
    <col min="14821" max="14821" width="15" style="1329" customWidth="1"/>
    <col min="14822" max="14822" width="10.5" style="1329" customWidth="1"/>
    <col min="14823" max="14823" width="9.375" style="1329" customWidth="1"/>
    <col min="14824" max="14826" width="7.875" style="1329" customWidth="1"/>
    <col min="14827" max="16384" width="9" style="1329"/>
  </cols>
  <sheetData>
    <row r="1" spans="1:38" s="1477" customFormat="1" ht="24.75" customHeight="1" x14ac:dyDescent="0.25">
      <c r="A1" s="2216" t="s">
        <v>1606</v>
      </c>
      <c r="B1" s="2216"/>
      <c r="C1" s="2216"/>
      <c r="D1" s="2216"/>
      <c r="E1" s="2216"/>
      <c r="F1" s="2216"/>
      <c r="G1" s="2216"/>
      <c r="H1" s="2216"/>
      <c r="I1" s="2216"/>
      <c r="J1" s="2216"/>
      <c r="K1" s="2216"/>
      <c r="L1" s="2216"/>
      <c r="M1" s="2216"/>
      <c r="N1" s="2216"/>
      <c r="O1" s="2216"/>
      <c r="P1" s="2216"/>
      <c r="Q1" s="2216"/>
      <c r="R1" s="2216"/>
      <c r="S1" s="2216"/>
      <c r="T1" s="2216"/>
      <c r="U1" s="2216"/>
      <c r="V1" s="2216"/>
      <c r="W1" s="2216"/>
      <c r="X1" s="2216"/>
      <c r="Y1" s="2216"/>
      <c r="Z1" s="2216"/>
      <c r="AA1" s="2216"/>
      <c r="AB1" s="2216"/>
      <c r="AC1" s="2216"/>
      <c r="AD1" s="2216"/>
      <c r="AE1" s="2216"/>
      <c r="AF1" s="2216"/>
      <c r="AG1" s="2216"/>
      <c r="AH1" s="2216"/>
      <c r="AI1" s="2216"/>
      <c r="AJ1" s="2216"/>
      <c r="AK1" s="1476">
        <v>367590</v>
      </c>
    </row>
    <row r="2" spans="1:38" s="1477" customFormat="1" ht="23.25" customHeight="1" x14ac:dyDescent="0.2">
      <c r="A2" s="2213" t="s">
        <v>1789</v>
      </c>
      <c r="B2" s="2213"/>
      <c r="C2" s="2213"/>
      <c r="D2" s="2213"/>
      <c r="E2" s="2213"/>
      <c r="F2" s="2213"/>
      <c r="G2" s="2213"/>
      <c r="H2" s="2213"/>
      <c r="I2" s="2213"/>
      <c r="J2" s="2213"/>
      <c r="K2" s="2213"/>
      <c r="L2" s="2213"/>
      <c r="M2" s="2213"/>
      <c r="N2" s="2213"/>
      <c r="O2" s="2213"/>
      <c r="P2" s="2213"/>
      <c r="Q2" s="2213"/>
      <c r="R2" s="2213"/>
      <c r="S2" s="2213"/>
      <c r="T2" s="2213"/>
      <c r="U2" s="2213"/>
      <c r="V2" s="2213"/>
      <c r="W2" s="2213"/>
      <c r="X2" s="2213"/>
      <c r="Y2" s="2213"/>
      <c r="Z2" s="2213"/>
      <c r="AA2" s="2213"/>
      <c r="AB2" s="2213"/>
      <c r="AC2" s="2213"/>
      <c r="AD2" s="2213"/>
      <c r="AE2" s="2213"/>
      <c r="AF2" s="2213"/>
      <c r="AG2" s="2213"/>
      <c r="AH2" s="2213"/>
      <c r="AI2" s="2213"/>
      <c r="AJ2" s="2213"/>
      <c r="AK2" s="1476"/>
    </row>
    <row r="3" spans="1:38" s="1478" customFormat="1" ht="12" customHeight="1" x14ac:dyDescent="0.25">
      <c r="A3" s="2217" t="s">
        <v>6</v>
      </c>
      <c r="B3" s="2217"/>
      <c r="C3" s="2217"/>
      <c r="D3" s="2217"/>
      <c r="E3" s="2217"/>
      <c r="F3" s="2217"/>
      <c r="G3" s="2217"/>
      <c r="H3" s="2217"/>
      <c r="I3" s="2217"/>
      <c r="J3" s="2217"/>
      <c r="K3" s="2217"/>
      <c r="L3" s="2217"/>
      <c r="M3" s="2217"/>
      <c r="N3" s="2217"/>
      <c r="O3" s="2217"/>
      <c r="P3" s="2217"/>
      <c r="Q3" s="2217"/>
      <c r="R3" s="2217"/>
      <c r="S3" s="2217"/>
      <c r="T3" s="2217"/>
      <c r="U3" s="2217"/>
      <c r="V3" s="2217"/>
      <c r="W3" s="2217"/>
      <c r="X3" s="2217"/>
      <c r="Y3" s="2217"/>
      <c r="Z3" s="2217"/>
      <c r="AA3" s="2217"/>
      <c r="AB3" s="2217"/>
      <c r="AC3" s="2217"/>
      <c r="AD3" s="2217"/>
      <c r="AE3" s="2217"/>
      <c r="AF3" s="2217"/>
      <c r="AG3" s="2217"/>
      <c r="AH3" s="2217"/>
      <c r="AI3" s="2217"/>
      <c r="AJ3" s="2217"/>
      <c r="AK3" s="1476">
        <v>15000</v>
      </c>
    </row>
    <row r="4" spans="1:38" s="1330" customFormat="1" ht="12" customHeight="1" x14ac:dyDescent="0.25">
      <c r="A4" s="2214" t="s">
        <v>915</v>
      </c>
      <c r="B4" s="2214" t="s">
        <v>142</v>
      </c>
      <c r="C4" s="2214" t="s">
        <v>144</v>
      </c>
      <c r="D4" s="2214"/>
      <c r="E4" s="2214"/>
      <c r="F4" s="2214" t="s">
        <v>1184</v>
      </c>
      <c r="G4" s="2214"/>
      <c r="H4" s="2214" t="s">
        <v>1185</v>
      </c>
      <c r="I4" s="2214"/>
      <c r="J4" s="2214"/>
      <c r="K4" s="2214"/>
      <c r="L4" s="2214" t="s">
        <v>407</v>
      </c>
      <c r="M4" s="2214"/>
      <c r="N4" s="2214"/>
      <c r="O4" s="2214"/>
      <c r="P4" s="2214" t="s">
        <v>1382</v>
      </c>
      <c r="Q4" s="2214"/>
      <c r="R4" s="2214"/>
      <c r="S4" s="2214"/>
      <c r="T4" s="2214" t="s">
        <v>1608</v>
      </c>
      <c r="U4" s="2214"/>
      <c r="V4" s="2214" t="s">
        <v>1186</v>
      </c>
      <c r="W4" s="2214"/>
      <c r="X4" s="2214"/>
      <c r="Y4" s="2214"/>
      <c r="Z4" s="2214" t="s">
        <v>1609</v>
      </c>
      <c r="AA4" s="2214"/>
      <c r="AB4" s="2214" t="s">
        <v>1610</v>
      </c>
      <c r="AC4" s="2214" t="s">
        <v>1790</v>
      </c>
      <c r="AD4" s="2214"/>
      <c r="AE4" s="2214"/>
      <c r="AF4" s="2214"/>
      <c r="AG4" s="2214" t="s">
        <v>1791</v>
      </c>
      <c r="AH4" s="1479"/>
      <c r="AI4" s="2214" t="s">
        <v>920</v>
      </c>
      <c r="AJ4" s="2214" t="s">
        <v>623</v>
      </c>
      <c r="AK4" s="1330">
        <v>8000</v>
      </c>
    </row>
    <row r="5" spans="1:38" s="1330" customFormat="1" ht="12.75" customHeight="1" x14ac:dyDescent="0.25">
      <c r="A5" s="2214"/>
      <c r="B5" s="2214"/>
      <c r="C5" s="2214" t="s">
        <v>1187</v>
      </c>
      <c r="D5" s="2214" t="s">
        <v>1188</v>
      </c>
      <c r="E5" s="2214"/>
      <c r="F5" s="2214"/>
      <c r="G5" s="2214"/>
      <c r="H5" s="2214"/>
      <c r="I5" s="2214"/>
      <c r="J5" s="2214"/>
      <c r="K5" s="2214"/>
      <c r="L5" s="2214"/>
      <c r="M5" s="2214"/>
      <c r="N5" s="2214"/>
      <c r="O5" s="2214"/>
      <c r="P5" s="2214"/>
      <c r="Q5" s="2214"/>
      <c r="R5" s="2214"/>
      <c r="S5" s="2214"/>
      <c r="T5" s="2214"/>
      <c r="U5" s="2214"/>
      <c r="V5" s="2214"/>
      <c r="W5" s="2214"/>
      <c r="X5" s="2214"/>
      <c r="Y5" s="2214"/>
      <c r="Z5" s="2214"/>
      <c r="AA5" s="2214"/>
      <c r="AB5" s="2214"/>
      <c r="AC5" s="2214"/>
      <c r="AD5" s="2214"/>
      <c r="AE5" s="2214"/>
      <c r="AF5" s="2214"/>
      <c r="AG5" s="2214"/>
      <c r="AH5" s="1479"/>
      <c r="AI5" s="2214"/>
      <c r="AJ5" s="2214"/>
      <c r="AK5" s="1330">
        <v>7000</v>
      </c>
    </row>
    <row r="6" spans="1:38" s="1330" customFormat="1" ht="12" customHeight="1" x14ac:dyDescent="0.25">
      <c r="A6" s="2214"/>
      <c r="B6" s="2214"/>
      <c r="C6" s="2214"/>
      <c r="D6" s="2214" t="s">
        <v>145</v>
      </c>
      <c r="E6" s="2214" t="s">
        <v>1245</v>
      </c>
      <c r="F6" s="2214"/>
      <c r="G6" s="2214"/>
      <c r="H6" s="2214" t="s">
        <v>145</v>
      </c>
      <c r="I6" s="2214" t="s">
        <v>1189</v>
      </c>
      <c r="J6" s="2214"/>
      <c r="K6" s="2214"/>
      <c r="L6" s="2214" t="s">
        <v>145</v>
      </c>
      <c r="M6" s="2214" t="s">
        <v>1189</v>
      </c>
      <c r="N6" s="2214"/>
      <c r="O6" s="2214"/>
      <c r="P6" s="2214" t="s">
        <v>145</v>
      </c>
      <c r="Q6" s="2214" t="s">
        <v>1189</v>
      </c>
      <c r="R6" s="2214"/>
      <c r="S6" s="2214"/>
      <c r="T6" s="2214"/>
      <c r="U6" s="2214"/>
      <c r="V6" s="2214" t="s">
        <v>145</v>
      </c>
      <c r="W6" s="2214" t="s">
        <v>1189</v>
      </c>
      <c r="X6" s="2214"/>
      <c r="Y6" s="2214"/>
      <c r="Z6" s="2214" t="s">
        <v>61</v>
      </c>
      <c r="AA6" s="2214" t="s">
        <v>1189</v>
      </c>
      <c r="AB6" s="2214"/>
      <c r="AC6" s="2214" t="s">
        <v>145</v>
      </c>
      <c r="AD6" s="2214" t="s">
        <v>1189</v>
      </c>
      <c r="AE6" s="2214"/>
      <c r="AF6" s="2214"/>
      <c r="AG6" s="2214"/>
      <c r="AH6" s="1479"/>
      <c r="AI6" s="2214"/>
      <c r="AJ6" s="2214"/>
      <c r="AK6" s="1330">
        <v>55000</v>
      </c>
    </row>
    <row r="7" spans="1:38" s="1330" customFormat="1" ht="14.25" customHeight="1" x14ac:dyDescent="0.25">
      <c r="A7" s="2214"/>
      <c r="B7" s="2214"/>
      <c r="C7" s="2214"/>
      <c r="D7" s="2214"/>
      <c r="E7" s="2218"/>
      <c r="F7" s="2214" t="s">
        <v>145</v>
      </c>
      <c r="G7" s="2214" t="s">
        <v>1189</v>
      </c>
      <c r="H7" s="2214"/>
      <c r="I7" s="2214" t="s">
        <v>61</v>
      </c>
      <c r="J7" s="2215" t="s">
        <v>5</v>
      </c>
      <c r="K7" s="2215"/>
      <c r="L7" s="2214"/>
      <c r="M7" s="2214" t="s">
        <v>61</v>
      </c>
      <c r="N7" s="2215" t="s">
        <v>5</v>
      </c>
      <c r="O7" s="2215"/>
      <c r="P7" s="2214"/>
      <c r="Q7" s="2214" t="s">
        <v>61</v>
      </c>
      <c r="R7" s="2215" t="s">
        <v>5</v>
      </c>
      <c r="S7" s="2215"/>
      <c r="T7" s="2214" t="s">
        <v>145</v>
      </c>
      <c r="U7" s="2214" t="s">
        <v>1189</v>
      </c>
      <c r="V7" s="2214"/>
      <c r="W7" s="2214" t="s">
        <v>61</v>
      </c>
      <c r="X7" s="2215" t="s">
        <v>5</v>
      </c>
      <c r="Y7" s="2215"/>
      <c r="Z7" s="2214"/>
      <c r="AA7" s="2214"/>
      <c r="AB7" s="2214"/>
      <c r="AC7" s="2214"/>
      <c r="AD7" s="2214" t="s">
        <v>61</v>
      </c>
      <c r="AE7" s="2215" t="s">
        <v>5</v>
      </c>
      <c r="AF7" s="2215"/>
      <c r="AG7" s="2214"/>
      <c r="AH7" s="1479"/>
      <c r="AI7" s="2214"/>
      <c r="AJ7" s="2214"/>
      <c r="AK7" s="1330">
        <f>AK1-AK3-AK4-AK5-AK6</f>
        <v>282590</v>
      </c>
    </row>
    <row r="8" spans="1:38" s="1330" customFormat="1" ht="90.75" customHeight="1" x14ac:dyDescent="0.25">
      <c r="A8" s="2214"/>
      <c r="B8" s="2214"/>
      <c r="C8" s="2214"/>
      <c r="D8" s="2214"/>
      <c r="E8" s="2218"/>
      <c r="F8" s="2214"/>
      <c r="G8" s="2214"/>
      <c r="H8" s="2214"/>
      <c r="I8" s="2214"/>
      <c r="J8" s="1480" t="s">
        <v>1190</v>
      </c>
      <c r="K8" s="1480" t="s">
        <v>1919</v>
      </c>
      <c r="L8" s="2214"/>
      <c r="M8" s="2214"/>
      <c r="N8" s="1480" t="s">
        <v>1190</v>
      </c>
      <c r="O8" s="1480" t="s">
        <v>1919</v>
      </c>
      <c r="P8" s="2214"/>
      <c r="Q8" s="2214"/>
      <c r="R8" s="1480" t="s">
        <v>1190</v>
      </c>
      <c r="S8" s="1480" t="s">
        <v>1919</v>
      </c>
      <c r="T8" s="2214"/>
      <c r="U8" s="2214"/>
      <c r="V8" s="2214"/>
      <c r="W8" s="2214"/>
      <c r="X8" s="1480" t="s">
        <v>1190</v>
      </c>
      <c r="Y8" s="1480" t="s">
        <v>1919</v>
      </c>
      <c r="Z8" s="2214"/>
      <c r="AA8" s="2214"/>
      <c r="AB8" s="2214"/>
      <c r="AC8" s="2214"/>
      <c r="AD8" s="2214"/>
      <c r="AE8" s="1480" t="s">
        <v>1190</v>
      </c>
      <c r="AF8" s="1480" t="s">
        <v>1919</v>
      </c>
      <c r="AG8" s="2214"/>
      <c r="AH8" s="1479"/>
      <c r="AI8" s="2214"/>
      <c r="AJ8" s="2214"/>
      <c r="AK8" s="1481">
        <f>AK7*0.7</f>
        <v>197813</v>
      </c>
      <c r="AL8" s="1330">
        <f>AK7*0.3</f>
        <v>84777</v>
      </c>
    </row>
    <row r="9" spans="1:38" s="1331" customFormat="1" ht="12.75" customHeight="1" x14ac:dyDescent="0.25">
      <c r="A9" s="1482">
        <v>1</v>
      </c>
      <c r="B9" s="1482">
        <f>A9+1</f>
        <v>2</v>
      </c>
      <c r="C9" s="1482">
        <v>3</v>
      </c>
      <c r="D9" s="1482">
        <v>4</v>
      </c>
      <c r="E9" s="1482">
        <v>5</v>
      </c>
      <c r="F9" s="1482">
        <v>6</v>
      </c>
      <c r="G9" s="1482">
        <v>7</v>
      </c>
      <c r="H9" s="1482">
        <v>8</v>
      </c>
      <c r="I9" s="1482">
        <v>9</v>
      </c>
      <c r="J9" s="1482">
        <v>10</v>
      </c>
      <c r="K9" s="1482">
        <v>11</v>
      </c>
      <c r="L9" s="1482">
        <v>12</v>
      </c>
      <c r="M9" s="1482">
        <v>13</v>
      </c>
      <c r="N9" s="1482">
        <v>14</v>
      </c>
      <c r="O9" s="1482">
        <v>15</v>
      </c>
      <c r="P9" s="1482">
        <v>16</v>
      </c>
      <c r="Q9" s="1482">
        <v>17</v>
      </c>
      <c r="R9" s="1482">
        <v>18</v>
      </c>
      <c r="S9" s="1482">
        <v>19</v>
      </c>
      <c r="T9" s="1482">
        <v>20</v>
      </c>
      <c r="U9" s="1482">
        <v>21</v>
      </c>
      <c r="V9" s="1482">
        <v>22</v>
      </c>
      <c r="W9" s="1482">
        <v>23</v>
      </c>
      <c r="X9" s="1482">
        <v>24</v>
      </c>
      <c r="Y9" s="1482">
        <v>25</v>
      </c>
      <c r="Z9" s="1482">
        <v>26</v>
      </c>
      <c r="AA9" s="1482">
        <v>27</v>
      </c>
      <c r="AB9" s="1482">
        <v>28</v>
      </c>
      <c r="AC9" s="1482">
        <v>33</v>
      </c>
      <c r="AD9" s="1482">
        <v>34</v>
      </c>
      <c r="AE9" s="1482">
        <v>35</v>
      </c>
      <c r="AF9" s="1482">
        <v>36</v>
      </c>
      <c r="AG9" s="1482">
        <v>37</v>
      </c>
      <c r="AH9" s="1482"/>
      <c r="AI9" s="1482">
        <v>38</v>
      </c>
      <c r="AJ9" s="1482">
        <v>39</v>
      </c>
      <c r="AK9" s="1330"/>
    </row>
    <row r="10" spans="1:38" s="1341" customFormat="1" ht="15" customHeight="1" x14ac:dyDescent="0.25">
      <c r="A10" s="1338"/>
      <c r="B10" s="1338" t="s">
        <v>1792</v>
      </c>
      <c r="C10" s="1338"/>
      <c r="D10" s="1338"/>
      <c r="E10" s="1338"/>
      <c r="F10" s="1338"/>
      <c r="G10" s="1338"/>
      <c r="H10" s="1338"/>
      <c r="I10" s="1338"/>
      <c r="J10" s="1338"/>
      <c r="K10" s="1338"/>
      <c r="L10" s="1338"/>
      <c r="M10" s="1338"/>
      <c r="N10" s="1338"/>
      <c r="O10" s="1338"/>
      <c r="P10" s="1338"/>
      <c r="Q10" s="1338"/>
      <c r="R10" s="1338"/>
      <c r="S10" s="1338"/>
      <c r="T10" s="1338"/>
      <c r="U10" s="1338"/>
      <c r="V10" s="1338"/>
      <c r="W10" s="1338"/>
      <c r="X10" s="1338"/>
      <c r="Y10" s="1338"/>
      <c r="Z10" s="1338"/>
      <c r="AA10" s="1338"/>
      <c r="AB10" s="1338"/>
      <c r="AC10" s="1338"/>
      <c r="AD10" s="1339">
        <f>AD11+AD151+AD174+AD184+AD142</f>
        <v>524759.52261400002</v>
      </c>
      <c r="AE10" s="1338"/>
      <c r="AF10" s="1338"/>
      <c r="AG10" s="1338"/>
      <c r="AH10" s="1338"/>
      <c r="AI10" s="1338"/>
      <c r="AJ10" s="1338"/>
      <c r="AK10" s="1340"/>
    </row>
    <row r="11" spans="1:38" s="1337" customFormat="1" ht="13.5" customHeight="1" x14ac:dyDescent="0.25">
      <c r="A11" s="1342" t="s">
        <v>2</v>
      </c>
      <c r="B11" s="1343" t="s">
        <v>1191</v>
      </c>
      <c r="C11" s="1342"/>
      <c r="D11" s="1344">
        <f t="shared" ref="D11:AF11" si="0">D13+D14+D26+D62+D12</f>
        <v>4730281.8631250001</v>
      </c>
      <c r="E11" s="1344">
        <f t="shared" si="0"/>
        <v>1189864.0700659999</v>
      </c>
      <c r="F11" s="1344">
        <f t="shared" si="0"/>
        <v>2633982.0810000002</v>
      </c>
      <c r="G11" s="1344">
        <f t="shared" si="0"/>
        <v>275660</v>
      </c>
      <c r="H11" s="1344">
        <f t="shared" si="0"/>
        <v>352366</v>
      </c>
      <c r="I11" s="1344">
        <f t="shared" si="0"/>
        <v>106129</v>
      </c>
      <c r="J11" s="1344">
        <f t="shared" si="0"/>
        <v>2000</v>
      </c>
      <c r="K11" s="1344">
        <f t="shared" si="0"/>
        <v>20145</v>
      </c>
      <c r="L11" s="1344">
        <f t="shared" si="0"/>
        <v>310124.2</v>
      </c>
      <c r="M11" s="1344">
        <f t="shared" si="0"/>
        <v>158188.20000000001</v>
      </c>
      <c r="N11" s="1344">
        <f t="shared" si="0"/>
        <v>0</v>
      </c>
      <c r="O11" s="1344">
        <f t="shared" si="0"/>
        <v>10836</v>
      </c>
      <c r="P11" s="1344">
        <f t="shared" si="0"/>
        <v>243479</v>
      </c>
      <c r="Q11" s="1344">
        <f t="shared" si="0"/>
        <v>243479</v>
      </c>
      <c r="R11" s="1344">
        <f t="shared" si="0"/>
        <v>1999.7000000000003</v>
      </c>
      <c r="S11" s="1344">
        <f t="shared" si="0"/>
        <v>21027</v>
      </c>
      <c r="T11" s="1344">
        <f t="shared" si="0"/>
        <v>3311487.2810000004</v>
      </c>
      <c r="U11" s="1344">
        <f t="shared" si="0"/>
        <v>556991.9</v>
      </c>
      <c r="V11" s="1344">
        <f t="shared" si="0"/>
        <v>1951025.3546139998</v>
      </c>
      <c r="W11" s="1344">
        <f t="shared" si="0"/>
        <v>895510.42261400004</v>
      </c>
      <c r="X11" s="1344">
        <f t="shared" si="0"/>
        <v>0</v>
      </c>
      <c r="Y11" s="1344">
        <f t="shared" si="0"/>
        <v>102121</v>
      </c>
      <c r="Z11" s="1344">
        <f t="shared" si="0"/>
        <v>905969.2</v>
      </c>
      <c r="AA11" s="1344">
        <f t="shared" si="0"/>
        <v>507796.2</v>
      </c>
      <c r="AB11" s="1344">
        <f t="shared" si="0"/>
        <v>387714.22261400003</v>
      </c>
      <c r="AC11" s="1344">
        <f t="shared" si="0"/>
        <v>367589.52261400002</v>
      </c>
      <c r="AD11" s="1344">
        <f t="shared" si="0"/>
        <v>366959.52261400002</v>
      </c>
      <c r="AE11" s="1344">
        <f t="shared" si="0"/>
        <v>0</v>
      </c>
      <c r="AF11" s="1344">
        <f t="shared" si="0"/>
        <v>43217</v>
      </c>
      <c r="AG11" s="1344"/>
      <c r="AH11" s="1344"/>
      <c r="AI11" s="1345"/>
      <c r="AJ11" s="1346"/>
      <c r="AK11" s="1335">
        <v>1</v>
      </c>
    </row>
    <row r="12" spans="1:38" s="1354" customFormat="1" ht="52.5" x14ac:dyDescent="0.25">
      <c r="A12" s="1342" t="s">
        <v>9</v>
      </c>
      <c r="B12" s="1343" t="s">
        <v>1038</v>
      </c>
      <c r="C12" s="1347"/>
      <c r="D12" s="1344"/>
      <c r="E12" s="1344"/>
      <c r="F12" s="1344"/>
      <c r="G12" s="1344"/>
      <c r="H12" s="1344"/>
      <c r="I12" s="1344"/>
      <c r="J12" s="1348"/>
      <c r="K12" s="1348"/>
      <c r="L12" s="1344"/>
      <c r="M12" s="1344"/>
      <c r="N12" s="1348"/>
      <c r="O12" s="1348"/>
      <c r="P12" s="1349"/>
      <c r="Q12" s="1349"/>
      <c r="R12" s="1350"/>
      <c r="S12" s="1350"/>
      <c r="T12" s="1350"/>
      <c r="U12" s="1350"/>
      <c r="V12" s="1344"/>
      <c r="W12" s="1344"/>
      <c r="X12" s="1348"/>
      <c r="Y12" s="1348"/>
      <c r="Z12" s="1348"/>
      <c r="AA12" s="1348"/>
      <c r="AB12" s="1348"/>
      <c r="AC12" s="1349">
        <v>15000</v>
      </c>
      <c r="AD12" s="1349">
        <v>15000</v>
      </c>
      <c r="AE12" s="1350"/>
      <c r="AF12" s="1350"/>
      <c r="AG12" s="1348"/>
      <c r="AH12" s="1348"/>
      <c r="AI12" s="1351"/>
      <c r="AJ12" s="1352" t="s">
        <v>1793</v>
      </c>
      <c r="AK12" s="1353"/>
    </row>
    <row r="13" spans="1:38" s="1354" customFormat="1" ht="21" x14ac:dyDescent="0.25">
      <c r="A13" s="1342" t="s">
        <v>11</v>
      </c>
      <c r="B13" s="1343" t="s">
        <v>1734</v>
      </c>
      <c r="C13" s="1347"/>
      <c r="D13" s="1344"/>
      <c r="E13" s="1344"/>
      <c r="F13" s="1344"/>
      <c r="G13" s="1344"/>
      <c r="H13" s="1344">
        <v>6000</v>
      </c>
      <c r="I13" s="1344">
        <v>6000</v>
      </c>
      <c r="J13" s="1355"/>
      <c r="K13" s="1355"/>
      <c r="L13" s="1344"/>
      <c r="M13" s="1344"/>
      <c r="N13" s="1355"/>
      <c r="O13" s="1355"/>
      <c r="P13" s="1356">
        <v>8000</v>
      </c>
      <c r="Q13" s="1356">
        <v>8000</v>
      </c>
      <c r="R13" s="1350"/>
      <c r="S13" s="1350"/>
      <c r="T13" s="1350"/>
      <c r="U13" s="1350"/>
      <c r="V13" s="1344">
        <v>28000</v>
      </c>
      <c r="W13" s="1344">
        <v>28000</v>
      </c>
      <c r="X13" s="1355"/>
      <c r="Y13" s="1355"/>
      <c r="Z13" s="1348">
        <f>H13+L13+P13</f>
        <v>14000</v>
      </c>
      <c r="AA13" s="1348">
        <f>I13+M13+Q13</f>
        <v>14000</v>
      </c>
      <c r="AB13" s="1348">
        <f>W13-AA13</f>
        <v>14000</v>
      </c>
      <c r="AC13" s="1356">
        <v>8000</v>
      </c>
      <c r="AD13" s="1356">
        <v>8000</v>
      </c>
      <c r="AE13" s="1350"/>
      <c r="AF13" s="1350"/>
      <c r="AG13" s="1355"/>
      <c r="AH13" s="1355"/>
      <c r="AI13" s="1342" t="s">
        <v>161</v>
      </c>
      <c r="AJ13" s="1357"/>
      <c r="AK13" s="1353">
        <v>1</v>
      </c>
    </row>
    <row r="14" spans="1:38" s="1354" customFormat="1" ht="21" x14ac:dyDescent="0.25">
      <c r="A14" s="1358" t="s">
        <v>14</v>
      </c>
      <c r="B14" s="1359" t="s">
        <v>1192</v>
      </c>
      <c r="C14" s="1358"/>
      <c r="D14" s="1348">
        <f t="shared" ref="D14:AF14" si="1">D15+D20+D24</f>
        <v>56796</v>
      </c>
      <c r="E14" s="1348">
        <f t="shared" si="1"/>
        <v>51122</v>
      </c>
      <c r="F14" s="1348">
        <f t="shared" si="1"/>
        <v>16426</v>
      </c>
      <c r="G14" s="1348">
        <f t="shared" si="1"/>
        <v>16426</v>
      </c>
      <c r="H14" s="1348">
        <f t="shared" si="1"/>
        <v>5575</v>
      </c>
      <c r="I14" s="1348">
        <f t="shared" si="1"/>
        <v>5575</v>
      </c>
      <c r="J14" s="1348">
        <f t="shared" si="1"/>
        <v>0</v>
      </c>
      <c r="K14" s="1348">
        <f t="shared" si="1"/>
        <v>0</v>
      </c>
      <c r="L14" s="1348">
        <f t="shared" si="1"/>
        <v>8399</v>
      </c>
      <c r="M14" s="1348">
        <f t="shared" si="1"/>
        <v>8399</v>
      </c>
      <c r="N14" s="1348">
        <f t="shared" si="1"/>
        <v>0</v>
      </c>
      <c r="O14" s="1348">
        <f t="shared" si="1"/>
        <v>0</v>
      </c>
      <c r="P14" s="1348">
        <f t="shared" si="1"/>
        <v>7000</v>
      </c>
      <c r="Q14" s="1348">
        <f t="shared" si="1"/>
        <v>7000</v>
      </c>
      <c r="R14" s="1348">
        <f t="shared" si="1"/>
        <v>0</v>
      </c>
      <c r="S14" s="1348">
        <f t="shared" si="1"/>
        <v>0</v>
      </c>
      <c r="T14" s="1348">
        <f t="shared" si="1"/>
        <v>37400</v>
      </c>
      <c r="U14" s="1348">
        <f t="shared" si="1"/>
        <v>37400</v>
      </c>
      <c r="V14" s="1348">
        <f t="shared" si="1"/>
        <v>36987.4</v>
      </c>
      <c r="W14" s="1348">
        <f t="shared" si="1"/>
        <v>31880.400000000001</v>
      </c>
      <c r="X14" s="1348">
        <f t="shared" si="1"/>
        <v>0</v>
      </c>
      <c r="Y14" s="1348">
        <f t="shared" si="1"/>
        <v>0</v>
      </c>
      <c r="Z14" s="1348">
        <f t="shared" si="1"/>
        <v>20974</v>
      </c>
      <c r="AA14" s="1348">
        <f t="shared" si="1"/>
        <v>20974</v>
      </c>
      <c r="AB14" s="1348">
        <f t="shared" si="1"/>
        <v>10906.400000000001</v>
      </c>
      <c r="AC14" s="1348">
        <f t="shared" si="1"/>
        <v>7000</v>
      </c>
      <c r="AD14" s="1348">
        <f t="shared" si="1"/>
        <v>7000</v>
      </c>
      <c r="AE14" s="1348">
        <f t="shared" si="1"/>
        <v>0</v>
      </c>
      <c r="AF14" s="1348">
        <f t="shared" si="1"/>
        <v>0</v>
      </c>
      <c r="AG14" s="1348"/>
      <c r="AH14" s="1348"/>
      <c r="AI14" s="1351"/>
      <c r="AJ14" s="1360"/>
      <c r="AK14" s="1353">
        <v>1</v>
      </c>
    </row>
    <row r="15" spans="1:38" s="1354" customFormat="1" ht="21" x14ac:dyDescent="0.25">
      <c r="A15" s="1358" t="s">
        <v>146</v>
      </c>
      <c r="B15" s="1361" t="s">
        <v>1794</v>
      </c>
      <c r="C15" s="1358"/>
      <c r="D15" s="1348">
        <f>D16</f>
        <v>33452</v>
      </c>
      <c r="E15" s="1348">
        <f t="shared" ref="E15:AF15" si="2">E16</f>
        <v>33452</v>
      </c>
      <c r="F15" s="1348">
        <f t="shared" si="2"/>
        <v>16426</v>
      </c>
      <c r="G15" s="1348">
        <f t="shared" si="2"/>
        <v>16426</v>
      </c>
      <c r="H15" s="1348">
        <f t="shared" si="2"/>
        <v>5075</v>
      </c>
      <c r="I15" s="1348">
        <f t="shared" si="2"/>
        <v>5075</v>
      </c>
      <c r="J15" s="1348">
        <f t="shared" si="2"/>
        <v>0</v>
      </c>
      <c r="K15" s="1348">
        <f t="shared" si="2"/>
        <v>0</v>
      </c>
      <c r="L15" s="1348">
        <f t="shared" si="2"/>
        <v>6100</v>
      </c>
      <c r="M15" s="1348">
        <f t="shared" si="2"/>
        <v>6100</v>
      </c>
      <c r="N15" s="1348">
        <f t="shared" si="2"/>
        <v>0</v>
      </c>
      <c r="O15" s="1348">
        <f t="shared" si="2"/>
        <v>0</v>
      </c>
      <c r="P15" s="1348">
        <f t="shared" si="2"/>
        <v>0</v>
      </c>
      <c r="Q15" s="1348">
        <f t="shared" si="2"/>
        <v>0</v>
      </c>
      <c r="R15" s="1348">
        <f t="shared" si="2"/>
        <v>0</v>
      </c>
      <c r="S15" s="1348">
        <f t="shared" si="2"/>
        <v>0</v>
      </c>
      <c r="T15" s="1348">
        <f t="shared" si="2"/>
        <v>27601</v>
      </c>
      <c r="U15" s="1348">
        <f t="shared" si="2"/>
        <v>27601</v>
      </c>
      <c r="V15" s="1348">
        <f t="shared" si="2"/>
        <v>15046.2</v>
      </c>
      <c r="W15" s="1348">
        <f t="shared" si="2"/>
        <v>15046.2</v>
      </c>
      <c r="X15" s="1348">
        <f t="shared" si="2"/>
        <v>0</v>
      </c>
      <c r="Y15" s="1348">
        <f t="shared" si="2"/>
        <v>0</v>
      </c>
      <c r="Z15" s="1348">
        <f t="shared" si="2"/>
        <v>11175</v>
      </c>
      <c r="AA15" s="1348">
        <f t="shared" si="2"/>
        <v>11175</v>
      </c>
      <c r="AB15" s="1348">
        <f t="shared" si="2"/>
        <v>3871.2000000000007</v>
      </c>
      <c r="AC15" s="1348">
        <f t="shared" si="2"/>
        <v>2500</v>
      </c>
      <c r="AD15" s="1348">
        <f t="shared" si="2"/>
        <v>2500</v>
      </c>
      <c r="AE15" s="1348">
        <f t="shared" si="2"/>
        <v>0</v>
      </c>
      <c r="AF15" s="1348">
        <f t="shared" si="2"/>
        <v>0</v>
      </c>
      <c r="AG15" s="1348"/>
      <c r="AH15" s="1348"/>
      <c r="AI15" s="1351"/>
      <c r="AJ15" s="1360"/>
      <c r="AK15" s="1353">
        <v>1</v>
      </c>
    </row>
    <row r="16" spans="1:38" s="1354" customFormat="1" ht="10.5" x14ac:dyDescent="0.25">
      <c r="A16" s="1362"/>
      <c r="B16" s="1363" t="s">
        <v>1210</v>
      </c>
      <c r="C16" s="1364"/>
      <c r="D16" s="1365">
        <f t="shared" ref="D16:AF16" si="3">SUM(D17:D19)</f>
        <v>33452</v>
      </c>
      <c r="E16" s="1365">
        <f t="shared" si="3"/>
        <v>33452</v>
      </c>
      <c r="F16" s="1365">
        <f t="shared" si="3"/>
        <v>16426</v>
      </c>
      <c r="G16" s="1365">
        <f t="shared" si="3"/>
        <v>16426</v>
      </c>
      <c r="H16" s="1365">
        <f t="shared" si="3"/>
        <v>5075</v>
      </c>
      <c r="I16" s="1365">
        <f t="shared" si="3"/>
        <v>5075</v>
      </c>
      <c r="J16" s="1365">
        <f t="shared" si="3"/>
        <v>0</v>
      </c>
      <c r="K16" s="1365">
        <f t="shared" si="3"/>
        <v>0</v>
      </c>
      <c r="L16" s="1365">
        <f t="shared" si="3"/>
        <v>6100</v>
      </c>
      <c r="M16" s="1365">
        <f t="shared" si="3"/>
        <v>6100</v>
      </c>
      <c r="N16" s="1365">
        <f t="shared" si="3"/>
        <v>0</v>
      </c>
      <c r="O16" s="1365">
        <f t="shared" si="3"/>
        <v>0</v>
      </c>
      <c r="P16" s="1365">
        <f t="shared" si="3"/>
        <v>0</v>
      </c>
      <c r="Q16" s="1365">
        <f t="shared" si="3"/>
        <v>0</v>
      </c>
      <c r="R16" s="1365">
        <f t="shared" si="3"/>
        <v>0</v>
      </c>
      <c r="S16" s="1365">
        <f t="shared" si="3"/>
        <v>0</v>
      </c>
      <c r="T16" s="1365">
        <f t="shared" si="3"/>
        <v>27601</v>
      </c>
      <c r="U16" s="1365">
        <f t="shared" si="3"/>
        <v>27601</v>
      </c>
      <c r="V16" s="1365">
        <f t="shared" si="3"/>
        <v>15046.2</v>
      </c>
      <c r="W16" s="1365">
        <f t="shared" si="3"/>
        <v>15046.2</v>
      </c>
      <c r="X16" s="1365">
        <f t="shared" si="3"/>
        <v>0</v>
      </c>
      <c r="Y16" s="1365">
        <f t="shared" si="3"/>
        <v>0</v>
      </c>
      <c r="Z16" s="1365">
        <f t="shared" si="3"/>
        <v>11175</v>
      </c>
      <c r="AA16" s="1365">
        <f t="shared" si="3"/>
        <v>11175</v>
      </c>
      <c r="AB16" s="1365">
        <f t="shared" si="3"/>
        <v>3871.2000000000007</v>
      </c>
      <c r="AC16" s="1365">
        <f t="shared" si="3"/>
        <v>2500</v>
      </c>
      <c r="AD16" s="1365">
        <f t="shared" si="3"/>
        <v>2500</v>
      </c>
      <c r="AE16" s="1365">
        <f t="shared" si="3"/>
        <v>0</v>
      </c>
      <c r="AF16" s="1365">
        <f t="shared" si="3"/>
        <v>0</v>
      </c>
      <c r="AG16" s="1365"/>
      <c r="AH16" s="1365"/>
      <c r="AI16" s="1366"/>
      <c r="AJ16" s="1357"/>
      <c r="AK16" s="1353">
        <v>1</v>
      </c>
    </row>
    <row r="17" spans="1:37" s="1354" customFormat="1" ht="31.5" x14ac:dyDescent="0.25">
      <c r="A17" s="1357">
        <v>1</v>
      </c>
      <c r="B17" s="1367" t="s">
        <v>1739</v>
      </c>
      <c r="C17" s="1368" t="s">
        <v>1795</v>
      </c>
      <c r="D17" s="1369">
        <v>9633</v>
      </c>
      <c r="E17" s="1369">
        <v>9633</v>
      </c>
      <c r="F17" s="1369">
        <v>8039</v>
      </c>
      <c r="G17" s="1369">
        <v>8039</v>
      </c>
      <c r="H17" s="1370"/>
      <c r="I17" s="1370"/>
      <c r="J17" s="1350"/>
      <c r="K17" s="1350"/>
      <c r="L17" s="1370"/>
      <c r="M17" s="1370"/>
      <c r="N17" s="1350"/>
      <c r="O17" s="1350"/>
      <c r="P17" s="1350"/>
      <c r="Q17" s="1350"/>
      <c r="R17" s="1350"/>
      <c r="S17" s="1350"/>
      <c r="T17" s="1350">
        <f t="shared" ref="T17:T61" si="4">F17+H17+L17+P17</f>
        <v>8039</v>
      </c>
      <c r="U17" s="1350">
        <f t="shared" ref="U17:U61" si="5">G17+I17+M17+Q17+R17</f>
        <v>8039</v>
      </c>
      <c r="V17" s="1370">
        <v>1594</v>
      </c>
      <c r="W17" s="1370">
        <v>1594</v>
      </c>
      <c r="X17" s="1350"/>
      <c r="Y17" s="1350"/>
      <c r="Z17" s="1350">
        <f t="shared" ref="Z17:AA45" si="6">H17+L17+P17</f>
        <v>0</v>
      </c>
      <c r="AA17" s="1350">
        <f t="shared" si="6"/>
        <v>0</v>
      </c>
      <c r="AB17" s="1350">
        <f t="shared" ref="AB17:AB61" si="7">W17-AA17</f>
        <v>1594</v>
      </c>
      <c r="AC17" s="1350">
        <f>AD17</f>
        <v>630</v>
      </c>
      <c r="AD17" s="1350">
        <v>630</v>
      </c>
      <c r="AE17" s="1350"/>
      <c r="AF17" s="1350"/>
      <c r="AG17" s="1350">
        <f>(T17+AC17)/D17*100</f>
        <v>89.992733312571374</v>
      </c>
      <c r="AH17" s="1350"/>
      <c r="AI17" s="1357" t="s">
        <v>1005</v>
      </c>
      <c r="AJ17" s="1357"/>
      <c r="AK17" s="1353"/>
    </row>
    <row r="18" spans="1:37" s="1354" customFormat="1" ht="31.5" x14ac:dyDescent="0.25">
      <c r="A18" s="1357">
        <v>2</v>
      </c>
      <c r="B18" s="1367" t="s">
        <v>1740</v>
      </c>
      <c r="C18" s="1368" t="s">
        <v>1796</v>
      </c>
      <c r="D18" s="1369">
        <v>4021</v>
      </c>
      <c r="E18" s="1369">
        <v>4021</v>
      </c>
      <c r="F18" s="1369">
        <v>3578</v>
      </c>
      <c r="G18" s="1369">
        <v>3578</v>
      </c>
      <c r="H18" s="1370"/>
      <c r="I18" s="1370"/>
      <c r="J18" s="1350"/>
      <c r="K18" s="1350"/>
      <c r="L18" s="1370"/>
      <c r="M18" s="1370"/>
      <c r="N18" s="1350"/>
      <c r="O18" s="1350"/>
      <c r="P18" s="1350"/>
      <c r="Q18" s="1350"/>
      <c r="R18" s="1350"/>
      <c r="S18" s="1350"/>
      <c r="T18" s="1350">
        <f t="shared" si="4"/>
        <v>3578</v>
      </c>
      <c r="U18" s="1350">
        <f t="shared" si="5"/>
        <v>3578</v>
      </c>
      <c r="V18" s="1370">
        <v>443</v>
      </c>
      <c r="W18" s="1370">
        <v>443</v>
      </c>
      <c r="X18" s="1350"/>
      <c r="Y18" s="1350"/>
      <c r="Z18" s="1350">
        <f t="shared" si="6"/>
        <v>0</v>
      </c>
      <c r="AA18" s="1350">
        <f t="shared" si="6"/>
        <v>0</v>
      </c>
      <c r="AB18" s="1350">
        <f t="shared" si="7"/>
        <v>443</v>
      </c>
      <c r="AC18" s="1350">
        <f t="shared" ref="AC18:AC19" si="8">AD18</f>
        <v>40</v>
      </c>
      <c r="AD18" s="1350">
        <v>40</v>
      </c>
      <c r="AE18" s="1350"/>
      <c r="AF18" s="1350"/>
      <c r="AG18" s="1350">
        <f>(T18+AC18)/D18*100</f>
        <v>89.97761750808256</v>
      </c>
      <c r="AH18" s="1350"/>
      <c r="AI18" s="1357" t="s">
        <v>1005</v>
      </c>
      <c r="AJ18" s="1357"/>
      <c r="AK18" s="1353"/>
    </row>
    <row r="19" spans="1:37" s="1354" customFormat="1" ht="31.5" x14ac:dyDescent="0.25">
      <c r="A19" s="1357">
        <v>3</v>
      </c>
      <c r="B19" s="1367" t="s">
        <v>1741</v>
      </c>
      <c r="C19" s="1357" t="s">
        <v>1797</v>
      </c>
      <c r="D19" s="1370">
        <v>19798</v>
      </c>
      <c r="E19" s="1370">
        <v>19798</v>
      </c>
      <c r="F19" s="1369">
        <v>4809</v>
      </c>
      <c r="G19" s="1369">
        <f>F19</f>
        <v>4809</v>
      </c>
      <c r="H19" s="1370">
        <v>5075</v>
      </c>
      <c r="I19" s="1370">
        <v>5075</v>
      </c>
      <c r="J19" s="1350"/>
      <c r="K19" s="1350"/>
      <c r="L19" s="1370">
        <v>6100</v>
      </c>
      <c r="M19" s="1370">
        <v>6100</v>
      </c>
      <c r="N19" s="1350"/>
      <c r="O19" s="1350"/>
      <c r="P19" s="1350"/>
      <c r="Q19" s="1350"/>
      <c r="R19" s="1350"/>
      <c r="S19" s="1350"/>
      <c r="T19" s="1350">
        <f t="shared" si="4"/>
        <v>15984</v>
      </c>
      <c r="U19" s="1350">
        <f t="shared" si="5"/>
        <v>15984</v>
      </c>
      <c r="V19" s="1370">
        <v>13009.2</v>
      </c>
      <c r="W19" s="1370">
        <v>13009.2</v>
      </c>
      <c r="X19" s="1350"/>
      <c r="Y19" s="1350"/>
      <c r="Z19" s="1350">
        <f t="shared" si="6"/>
        <v>11175</v>
      </c>
      <c r="AA19" s="1350">
        <f t="shared" si="6"/>
        <v>11175</v>
      </c>
      <c r="AB19" s="1350">
        <f t="shared" si="7"/>
        <v>1834.2000000000007</v>
      </c>
      <c r="AC19" s="1350">
        <f t="shared" si="8"/>
        <v>1830</v>
      </c>
      <c r="AD19" s="1350">
        <v>1830</v>
      </c>
      <c r="AE19" s="1350"/>
      <c r="AF19" s="1350"/>
      <c r="AG19" s="1350">
        <f>(T19+AC19)/D19*100</f>
        <v>89.978785735932917</v>
      </c>
      <c r="AH19" s="1350"/>
      <c r="AI19" s="1357" t="s">
        <v>1005</v>
      </c>
      <c r="AJ19" s="1357"/>
      <c r="AK19" s="1353"/>
    </row>
    <row r="20" spans="1:37" s="1354" customFormat="1" ht="10.5" x14ac:dyDescent="0.25">
      <c r="A20" s="1358" t="s">
        <v>147</v>
      </c>
      <c r="B20" s="1361" t="s">
        <v>1798</v>
      </c>
      <c r="C20" s="1358"/>
      <c r="D20" s="1348">
        <f t="shared" ref="D20:AF20" si="9">SUM(D21:D23)</f>
        <v>18639</v>
      </c>
      <c r="E20" s="1348">
        <f t="shared" si="9"/>
        <v>12965</v>
      </c>
      <c r="F20" s="1348">
        <f t="shared" si="9"/>
        <v>0</v>
      </c>
      <c r="G20" s="1348">
        <f t="shared" si="9"/>
        <v>0</v>
      </c>
      <c r="H20" s="1348">
        <f t="shared" si="9"/>
        <v>500</v>
      </c>
      <c r="I20" s="1348">
        <f t="shared" si="9"/>
        <v>500</v>
      </c>
      <c r="J20" s="1348">
        <f t="shared" si="9"/>
        <v>0</v>
      </c>
      <c r="K20" s="1348">
        <f t="shared" si="9"/>
        <v>0</v>
      </c>
      <c r="L20" s="1348">
        <f t="shared" si="9"/>
        <v>2299</v>
      </c>
      <c r="M20" s="1348">
        <f t="shared" si="9"/>
        <v>2299</v>
      </c>
      <c r="N20" s="1348">
        <f t="shared" si="9"/>
        <v>0</v>
      </c>
      <c r="O20" s="1348">
        <f t="shared" si="9"/>
        <v>0</v>
      </c>
      <c r="P20" s="1348">
        <f t="shared" si="9"/>
        <v>6500</v>
      </c>
      <c r="Q20" s="1348">
        <f t="shared" si="9"/>
        <v>6500</v>
      </c>
      <c r="R20" s="1348">
        <f t="shared" si="9"/>
        <v>0</v>
      </c>
      <c r="S20" s="1348">
        <f t="shared" si="9"/>
        <v>0</v>
      </c>
      <c r="T20" s="1348">
        <f t="shared" si="9"/>
        <v>9299</v>
      </c>
      <c r="U20" s="1348">
        <f t="shared" si="9"/>
        <v>9299</v>
      </c>
      <c r="V20" s="1348">
        <f t="shared" si="9"/>
        <v>17236.2</v>
      </c>
      <c r="W20" s="1348">
        <f t="shared" si="9"/>
        <v>12129.2</v>
      </c>
      <c r="X20" s="1348">
        <f t="shared" si="9"/>
        <v>0</v>
      </c>
      <c r="Y20" s="1348">
        <f t="shared" si="9"/>
        <v>0</v>
      </c>
      <c r="Z20" s="1348">
        <f t="shared" si="9"/>
        <v>9299</v>
      </c>
      <c r="AA20" s="1348">
        <f t="shared" si="9"/>
        <v>9299</v>
      </c>
      <c r="AB20" s="1348">
        <f t="shared" si="9"/>
        <v>2830.2</v>
      </c>
      <c r="AC20" s="1348">
        <f t="shared" si="9"/>
        <v>2366</v>
      </c>
      <c r="AD20" s="1348">
        <f t="shared" si="9"/>
        <v>2366</v>
      </c>
      <c r="AE20" s="1348">
        <f t="shared" si="9"/>
        <v>0</v>
      </c>
      <c r="AF20" s="1348">
        <f t="shared" si="9"/>
        <v>0</v>
      </c>
      <c r="AG20" s="1350"/>
      <c r="AH20" s="1350"/>
      <c r="AI20" s="1351"/>
      <c r="AJ20" s="1360"/>
      <c r="AK20" s="1353">
        <v>1</v>
      </c>
    </row>
    <row r="21" spans="1:37" s="1354" customFormat="1" ht="21" x14ac:dyDescent="0.25">
      <c r="A21" s="1357">
        <v>1</v>
      </c>
      <c r="B21" s="1367" t="s">
        <v>1744</v>
      </c>
      <c r="C21" s="1357" t="s">
        <v>1799</v>
      </c>
      <c r="D21" s="1371">
        <v>7718</v>
      </c>
      <c r="E21" s="1371">
        <v>2044</v>
      </c>
      <c r="F21" s="1369"/>
      <c r="G21" s="1369"/>
      <c r="H21" s="1371"/>
      <c r="I21" s="1371"/>
      <c r="J21" s="1350"/>
      <c r="K21" s="1350"/>
      <c r="L21" s="1371">
        <v>1203</v>
      </c>
      <c r="M21" s="1371">
        <v>1203</v>
      </c>
      <c r="N21" s="1350"/>
      <c r="O21" s="1350"/>
      <c r="P21" s="1350"/>
      <c r="Q21" s="1350"/>
      <c r="R21" s="1350"/>
      <c r="S21" s="1350"/>
      <c r="T21" s="1350">
        <f t="shared" si="4"/>
        <v>1203</v>
      </c>
      <c r="U21" s="1350">
        <f t="shared" si="5"/>
        <v>1203</v>
      </c>
      <c r="V21" s="1370">
        <v>7151</v>
      </c>
      <c r="W21" s="1370">
        <v>2044</v>
      </c>
      <c r="X21" s="1350"/>
      <c r="Y21" s="1350"/>
      <c r="Z21" s="1350">
        <f t="shared" si="6"/>
        <v>1203</v>
      </c>
      <c r="AA21" s="1350">
        <f t="shared" si="6"/>
        <v>1203</v>
      </c>
      <c r="AB21" s="1350">
        <f t="shared" si="7"/>
        <v>841</v>
      </c>
      <c r="AC21" s="1350">
        <v>640</v>
      </c>
      <c r="AD21" s="1350">
        <v>640</v>
      </c>
      <c r="AE21" s="1350"/>
      <c r="AF21" s="1350"/>
      <c r="AG21" s="1350">
        <f>(AD21+U21)/E21*100</f>
        <v>90.166340508806258</v>
      </c>
      <c r="AH21" s="1350"/>
      <c r="AI21" s="1357" t="s">
        <v>427</v>
      </c>
      <c r="AJ21" s="1357"/>
      <c r="AK21" s="1353"/>
    </row>
    <row r="22" spans="1:37" s="1354" customFormat="1" ht="31.5" x14ac:dyDescent="0.25">
      <c r="A22" s="1357">
        <v>2</v>
      </c>
      <c r="B22" s="1367" t="s">
        <v>1010</v>
      </c>
      <c r="C22" s="1357" t="s">
        <v>1011</v>
      </c>
      <c r="D22" s="1371">
        <v>8358</v>
      </c>
      <c r="E22" s="1371">
        <v>8358</v>
      </c>
      <c r="F22" s="1369"/>
      <c r="G22" s="1369"/>
      <c r="H22" s="1371">
        <v>500</v>
      </c>
      <c r="I22" s="1371">
        <v>500</v>
      </c>
      <c r="J22" s="1350"/>
      <c r="K22" s="1350"/>
      <c r="L22" s="1371">
        <v>1096</v>
      </c>
      <c r="M22" s="1371">
        <v>1096</v>
      </c>
      <c r="N22" s="1350"/>
      <c r="O22" s="1350"/>
      <c r="P22" s="1350">
        <v>4700</v>
      </c>
      <c r="Q22" s="1350">
        <v>4700</v>
      </c>
      <c r="R22" s="1350"/>
      <c r="S22" s="1350"/>
      <c r="T22" s="1350">
        <f t="shared" si="4"/>
        <v>6296</v>
      </c>
      <c r="U22" s="1350">
        <f t="shared" si="5"/>
        <v>6296</v>
      </c>
      <c r="V22" s="1370">
        <v>7522.2</v>
      </c>
      <c r="W22" s="1370">
        <v>7522.2</v>
      </c>
      <c r="X22" s="1350"/>
      <c r="Y22" s="1350"/>
      <c r="Z22" s="1350">
        <f t="shared" si="6"/>
        <v>6296</v>
      </c>
      <c r="AA22" s="1350">
        <f t="shared" si="6"/>
        <v>6296</v>
      </c>
      <c r="AB22" s="1350">
        <f t="shared" si="7"/>
        <v>1226.1999999999998</v>
      </c>
      <c r="AC22" s="1350">
        <v>1226</v>
      </c>
      <c r="AD22" s="1350">
        <v>1226</v>
      </c>
      <c r="AE22" s="1350"/>
      <c r="AF22" s="1350"/>
      <c r="AG22" s="1350">
        <f>(AD22+U22)/E22*100</f>
        <v>89.997607083034211</v>
      </c>
      <c r="AH22" s="1350"/>
      <c r="AI22" s="1368" t="s">
        <v>1009</v>
      </c>
      <c r="AJ22" s="1357"/>
      <c r="AK22" s="1353"/>
    </row>
    <row r="23" spans="1:37" s="1379" customFormat="1" ht="42" x14ac:dyDescent="0.25">
      <c r="A23" s="1372">
        <v>4</v>
      </c>
      <c r="B23" s="1373" t="s">
        <v>1008</v>
      </c>
      <c r="C23" s="1357" t="s">
        <v>1800</v>
      </c>
      <c r="D23" s="1374">
        <v>2563</v>
      </c>
      <c r="E23" s="1374">
        <v>2563</v>
      </c>
      <c r="F23" s="1375"/>
      <c r="G23" s="1375"/>
      <c r="H23" s="1376"/>
      <c r="I23" s="1376"/>
      <c r="J23" s="1377"/>
      <c r="K23" s="1377"/>
      <c r="L23" s="1376"/>
      <c r="M23" s="1376"/>
      <c r="N23" s="1377"/>
      <c r="O23" s="1377"/>
      <c r="P23" s="1350">
        <v>1800</v>
      </c>
      <c r="Q23" s="1350">
        <v>1800</v>
      </c>
      <c r="R23" s="1377"/>
      <c r="S23" s="1377"/>
      <c r="T23" s="1350">
        <f t="shared" si="4"/>
        <v>1800</v>
      </c>
      <c r="U23" s="1350">
        <f t="shared" si="5"/>
        <v>1800</v>
      </c>
      <c r="V23" s="1374">
        <v>2563</v>
      </c>
      <c r="W23" s="1374">
        <v>2563</v>
      </c>
      <c r="X23" s="1377"/>
      <c r="Y23" s="1377"/>
      <c r="Z23" s="1350">
        <f t="shared" si="6"/>
        <v>1800</v>
      </c>
      <c r="AA23" s="1350">
        <f t="shared" si="6"/>
        <v>1800</v>
      </c>
      <c r="AB23" s="1350">
        <f t="shared" si="7"/>
        <v>763</v>
      </c>
      <c r="AC23" s="1350">
        <v>500</v>
      </c>
      <c r="AD23" s="1350">
        <v>500</v>
      </c>
      <c r="AE23" s="1377"/>
      <c r="AF23" s="1377"/>
      <c r="AG23" s="1350">
        <f>(T23+AC23)/D23*100</f>
        <v>89.738587592664842</v>
      </c>
      <c r="AH23" s="1350"/>
      <c r="AI23" s="1378" t="s">
        <v>1007</v>
      </c>
      <c r="AJ23" s="1372"/>
      <c r="AK23" s="1333"/>
    </row>
    <row r="24" spans="1:37" s="1354" customFormat="1" ht="10.5" x14ac:dyDescent="0.25">
      <c r="A24" s="1358" t="s">
        <v>445</v>
      </c>
      <c r="B24" s="1361" t="s">
        <v>1801</v>
      </c>
      <c r="C24" s="1358"/>
      <c r="D24" s="1348">
        <f>D25</f>
        <v>4705</v>
      </c>
      <c r="E24" s="1348">
        <f t="shared" ref="E24:AF24" si="10">E25</f>
        <v>4705</v>
      </c>
      <c r="F24" s="1348">
        <f t="shared" si="10"/>
        <v>0</v>
      </c>
      <c r="G24" s="1348">
        <f t="shared" si="10"/>
        <v>0</v>
      </c>
      <c r="H24" s="1348">
        <f t="shared" si="10"/>
        <v>0</v>
      </c>
      <c r="I24" s="1348">
        <f t="shared" si="10"/>
        <v>0</v>
      </c>
      <c r="J24" s="1348">
        <f t="shared" si="10"/>
        <v>0</v>
      </c>
      <c r="K24" s="1348">
        <f t="shared" si="10"/>
        <v>0</v>
      </c>
      <c r="L24" s="1348">
        <f t="shared" si="10"/>
        <v>0</v>
      </c>
      <c r="M24" s="1348">
        <f t="shared" si="10"/>
        <v>0</v>
      </c>
      <c r="N24" s="1348">
        <f t="shared" si="10"/>
        <v>0</v>
      </c>
      <c r="O24" s="1348">
        <f t="shared" si="10"/>
        <v>0</v>
      </c>
      <c r="P24" s="1348">
        <f t="shared" si="10"/>
        <v>500</v>
      </c>
      <c r="Q24" s="1348">
        <f t="shared" si="10"/>
        <v>500</v>
      </c>
      <c r="R24" s="1348">
        <f t="shared" si="10"/>
        <v>0</v>
      </c>
      <c r="S24" s="1348">
        <f t="shared" si="10"/>
        <v>0</v>
      </c>
      <c r="T24" s="1348">
        <f t="shared" si="10"/>
        <v>500</v>
      </c>
      <c r="U24" s="1348">
        <f t="shared" si="10"/>
        <v>500</v>
      </c>
      <c r="V24" s="1348">
        <f t="shared" si="10"/>
        <v>4705</v>
      </c>
      <c r="W24" s="1348">
        <f t="shared" si="10"/>
        <v>4705</v>
      </c>
      <c r="X24" s="1348">
        <f t="shared" si="10"/>
        <v>0</v>
      </c>
      <c r="Y24" s="1348">
        <f t="shared" si="10"/>
        <v>0</v>
      </c>
      <c r="Z24" s="1348">
        <f t="shared" si="10"/>
        <v>500</v>
      </c>
      <c r="AA24" s="1348">
        <f t="shared" si="10"/>
        <v>500</v>
      </c>
      <c r="AB24" s="1348">
        <f t="shared" si="10"/>
        <v>4205</v>
      </c>
      <c r="AC24" s="1348">
        <f t="shared" si="10"/>
        <v>2134</v>
      </c>
      <c r="AD24" s="1348">
        <f t="shared" si="10"/>
        <v>2134</v>
      </c>
      <c r="AE24" s="1348">
        <f t="shared" si="10"/>
        <v>0</v>
      </c>
      <c r="AF24" s="1348">
        <f t="shared" si="10"/>
        <v>0</v>
      </c>
      <c r="AG24" s="1350"/>
      <c r="AH24" s="1350"/>
      <c r="AI24" s="1351"/>
      <c r="AJ24" s="1360"/>
      <c r="AK24" s="1353">
        <v>1</v>
      </c>
    </row>
    <row r="25" spans="1:37" s="1354" customFormat="1" ht="31.5" x14ac:dyDescent="0.25">
      <c r="A25" s="1357">
        <v>1</v>
      </c>
      <c r="B25" s="1367" t="s">
        <v>1006</v>
      </c>
      <c r="C25" s="1357"/>
      <c r="D25" s="1371">
        <v>4705</v>
      </c>
      <c r="E25" s="1371">
        <v>4705</v>
      </c>
      <c r="F25" s="1369"/>
      <c r="G25" s="1369"/>
      <c r="H25" s="1371"/>
      <c r="I25" s="1371"/>
      <c r="J25" s="1350"/>
      <c r="K25" s="1350"/>
      <c r="L25" s="1371"/>
      <c r="M25" s="1371"/>
      <c r="N25" s="1350"/>
      <c r="O25" s="1350"/>
      <c r="P25" s="1350">
        <v>500</v>
      </c>
      <c r="Q25" s="1350">
        <v>500</v>
      </c>
      <c r="R25" s="1350"/>
      <c r="S25" s="1350"/>
      <c r="T25" s="1350">
        <f t="shared" si="4"/>
        <v>500</v>
      </c>
      <c r="U25" s="1350">
        <f t="shared" si="5"/>
        <v>500</v>
      </c>
      <c r="V25" s="1370">
        <v>4705</v>
      </c>
      <c r="W25" s="1370">
        <v>4705</v>
      </c>
      <c r="X25" s="1350"/>
      <c r="Y25" s="1350"/>
      <c r="Z25" s="1350">
        <f t="shared" si="6"/>
        <v>500</v>
      </c>
      <c r="AA25" s="1350">
        <f t="shared" si="6"/>
        <v>500</v>
      </c>
      <c r="AB25" s="1350">
        <f t="shared" si="7"/>
        <v>4205</v>
      </c>
      <c r="AC25" s="1350">
        <v>2134</v>
      </c>
      <c r="AD25" s="1350">
        <v>2134</v>
      </c>
      <c r="AE25" s="1350"/>
      <c r="AF25" s="1350"/>
      <c r="AG25" s="1350">
        <f>(T25+AC25)/D25*100</f>
        <v>55.982996811902233</v>
      </c>
      <c r="AH25" s="1350"/>
      <c r="AI25" s="1357" t="s">
        <v>1005</v>
      </c>
      <c r="AJ25" s="1357"/>
      <c r="AK25" s="1353"/>
    </row>
    <row r="26" spans="1:37" s="1354" customFormat="1" ht="10.5" x14ac:dyDescent="0.25">
      <c r="A26" s="1358" t="s">
        <v>15</v>
      </c>
      <c r="B26" s="1359" t="s">
        <v>1193</v>
      </c>
      <c r="C26" s="1352"/>
      <c r="D26" s="1348">
        <f t="shared" ref="D26:AF26" si="11">D27+D36+D52</f>
        <v>321880</v>
      </c>
      <c r="E26" s="1348">
        <f t="shared" si="11"/>
        <v>263490.19999999995</v>
      </c>
      <c r="F26" s="1348">
        <f t="shared" si="11"/>
        <v>79699</v>
      </c>
      <c r="G26" s="1348">
        <f t="shared" si="11"/>
        <v>63123</v>
      </c>
      <c r="H26" s="1348">
        <f t="shared" si="11"/>
        <v>24334</v>
      </c>
      <c r="I26" s="1348">
        <f t="shared" si="11"/>
        <v>24334</v>
      </c>
      <c r="J26" s="1348">
        <f t="shared" si="11"/>
        <v>0</v>
      </c>
      <c r="K26" s="1348">
        <f t="shared" si="11"/>
        <v>0</v>
      </c>
      <c r="L26" s="1348">
        <f t="shared" si="11"/>
        <v>51764.2</v>
      </c>
      <c r="M26" s="1348">
        <f t="shared" si="11"/>
        <v>43164.2</v>
      </c>
      <c r="N26" s="1348">
        <f t="shared" si="11"/>
        <v>0</v>
      </c>
      <c r="O26" s="1348">
        <f t="shared" si="11"/>
        <v>0</v>
      </c>
      <c r="P26" s="1348">
        <f t="shared" si="11"/>
        <v>27998</v>
      </c>
      <c r="Q26" s="1348">
        <f t="shared" si="11"/>
        <v>27998</v>
      </c>
      <c r="R26" s="1348">
        <f t="shared" si="11"/>
        <v>0</v>
      </c>
      <c r="S26" s="1348">
        <f t="shared" si="11"/>
        <v>0</v>
      </c>
      <c r="T26" s="1348">
        <f t="shared" si="11"/>
        <v>183795.20000000001</v>
      </c>
      <c r="U26" s="1348">
        <f t="shared" si="11"/>
        <v>158619.20000000001</v>
      </c>
      <c r="V26" s="1348">
        <f t="shared" si="11"/>
        <v>196481.80000000002</v>
      </c>
      <c r="W26" s="1348">
        <f t="shared" si="11"/>
        <v>151228.62</v>
      </c>
      <c r="X26" s="1348">
        <f t="shared" si="11"/>
        <v>0</v>
      </c>
      <c r="Y26" s="1348">
        <f t="shared" si="11"/>
        <v>0</v>
      </c>
      <c r="Z26" s="1348">
        <f t="shared" si="11"/>
        <v>104096.2</v>
      </c>
      <c r="AA26" s="1348">
        <f t="shared" si="11"/>
        <v>95496.2</v>
      </c>
      <c r="AB26" s="1348">
        <f t="shared" si="11"/>
        <v>55732.42</v>
      </c>
      <c r="AC26" s="1348">
        <f t="shared" si="11"/>
        <v>55000.12000000001</v>
      </c>
      <c r="AD26" s="1348">
        <f t="shared" si="11"/>
        <v>55000.12000000001</v>
      </c>
      <c r="AE26" s="1348">
        <f t="shared" si="11"/>
        <v>0</v>
      </c>
      <c r="AF26" s="1348">
        <f t="shared" si="11"/>
        <v>0</v>
      </c>
      <c r="AG26" s="1350"/>
      <c r="AH26" s="1350"/>
      <c r="AI26" s="1380"/>
      <c r="AJ26" s="1357"/>
      <c r="AK26" s="1353">
        <v>1</v>
      </c>
    </row>
    <row r="27" spans="1:37" s="1354" customFormat="1" ht="21" x14ac:dyDescent="0.25">
      <c r="A27" s="1358" t="s">
        <v>146</v>
      </c>
      <c r="B27" s="1361" t="s">
        <v>1794</v>
      </c>
      <c r="C27" s="1352"/>
      <c r="D27" s="1348">
        <f t="shared" ref="D27:AF27" si="12">D28+D33</f>
        <v>120356</v>
      </c>
      <c r="E27" s="1348">
        <f t="shared" si="12"/>
        <v>109777</v>
      </c>
      <c r="F27" s="1348">
        <f t="shared" si="12"/>
        <v>79545</v>
      </c>
      <c r="G27" s="1348">
        <f t="shared" si="12"/>
        <v>62969</v>
      </c>
      <c r="H27" s="1348">
        <f t="shared" si="12"/>
        <v>4315</v>
      </c>
      <c r="I27" s="1348">
        <f t="shared" si="12"/>
        <v>4315</v>
      </c>
      <c r="J27" s="1348">
        <f t="shared" si="12"/>
        <v>0</v>
      </c>
      <c r="K27" s="1348">
        <f t="shared" si="12"/>
        <v>0</v>
      </c>
      <c r="L27" s="1348">
        <f t="shared" si="12"/>
        <v>8901.5</v>
      </c>
      <c r="M27" s="1348">
        <f t="shared" si="12"/>
        <v>301.5</v>
      </c>
      <c r="N27" s="1348">
        <f t="shared" si="12"/>
        <v>0</v>
      </c>
      <c r="O27" s="1348">
        <f t="shared" si="12"/>
        <v>0</v>
      </c>
      <c r="P27" s="1348">
        <f t="shared" si="12"/>
        <v>0</v>
      </c>
      <c r="Q27" s="1348">
        <f t="shared" si="12"/>
        <v>0</v>
      </c>
      <c r="R27" s="1348">
        <f t="shared" si="12"/>
        <v>0</v>
      </c>
      <c r="S27" s="1348">
        <f t="shared" si="12"/>
        <v>0</v>
      </c>
      <c r="T27" s="1348">
        <f t="shared" si="12"/>
        <v>92761.5</v>
      </c>
      <c r="U27" s="1348">
        <f t="shared" si="12"/>
        <v>67585.5</v>
      </c>
      <c r="V27" s="1348">
        <f t="shared" si="12"/>
        <v>14039.3</v>
      </c>
      <c r="W27" s="1348">
        <f t="shared" si="12"/>
        <v>12341.7</v>
      </c>
      <c r="X27" s="1348">
        <f t="shared" si="12"/>
        <v>0</v>
      </c>
      <c r="Y27" s="1348">
        <f t="shared" si="12"/>
        <v>0</v>
      </c>
      <c r="Z27" s="1348">
        <f t="shared" si="12"/>
        <v>13216.5</v>
      </c>
      <c r="AA27" s="1348">
        <f t="shared" si="12"/>
        <v>4616.5</v>
      </c>
      <c r="AB27" s="1348">
        <f t="shared" si="12"/>
        <v>7725.2</v>
      </c>
      <c r="AC27" s="1348">
        <f t="shared" si="12"/>
        <v>7555.2</v>
      </c>
      <c r="AD27" s="1348">
        <f t="shared" si="12"/>
        <v>7555.2</v>
      </c>
      <c r="AE27" s="1348">
        <f t="shared" si="12"/>
        <v>0</v>
      </c>
      <c r="AF27" s="1348">
        <f t="shared" si="12"/>
        <v>0</v>
      </c>
      <c r="AG27" s="1350"/>
      <c r="AH27" s="1350"/>
      <c r="AI27" s="1380"/>
      <c r="AJ27" s="1357"/>
      <c r="AK27" s="1353">
        <v>1</v>
      </c>
    </row>
    <row r="28" spans="1:37" s="1354" customFormat="1" ht="18" x14ac:dyDescent="0.25">
      <c r="A28" s="1362" t="s">
        <v>438</v>
      </c>
      <c r="B28" s="1381" t="s">
        <v>1194</v>
      </c>
      <c r="C28" s="1382"/>
      <c r="D28" s="1383">
        <f t="shared" ref="D28:AF28" si="13">SUM(D29:D32)</f>
        <v>39904</v>
      </c>
      <c r="E28" s="1383">
        <f t="shared" si="13"/>
        <v>39754</v>
      </c>
      <c r="F28" s="1383">
        <f t="shared" si="13"/>
        <v>22094</v>
      </c>
      <c r="G28" s="1383">
        <f t="shared" si="13"/>
        <v>5518</v>
      </c>
      <c r="H28" s="1383">
        <f t="shared" si="13"/>
        <v>0</v>
      </c>
      <c r="I28" s="1383">
        <f t="shared" si="13"/>
        <v>0</v>
      </c>
      <c r="J28" s="1383">
        <f t="shared" si="13"/>
        <v>0</v>
      </c>
      <c r="K28" s="1383">
        <f t="shared" si="13"/>
        <v>0</v>
      </c>
      <c r="L28" s="1383">
        <f t="shared" si="13"/>
        <v>301.5</v>
      </c>
      <c r="M28" s="1383">
        <f t="shared" si="13"/>
        <v>301.5</v>
      </c>
      <c r="N28" s="1383">
        <f t="shared" si="13"/>
        <v>0</v>
      </c>
      <c r="O28" s="1383">
        <f t="shared" si="13"/>
        <v>0</v>
      </c>
      <c r="P28" s="1383">
        <f t="shared" si="13"/>
        <v>0</v>
      </c>
      <c r="Q28" s="1383">
        <f t="shared" si="13"/>
        <v>0</v>
      </c>
      <c r="R28" s="1383">
        <f t="shared" si="13"/>
        <v>0</v>
      </c>
      <c r="S28" s="1383">
        <f t="shared" si="13"/>
        <v>0</v>
      </c>
      <c r="T28" s="1383">
        <f t="shared" si="13"/>
        <v>22395.5</v>
      </c>
      <c r="U28" s="1383">
        <f t="shared" si="13"/>
        <v>5819.5</v>
      </c>
      <c r="V28" s="1383">
        <f t="shared" si="13"/>
        <v>2156.3000000000002</v>
      </c>
      <c r="W28" s="1383">
        <f t="shared" si="13"/>
        <v>2017.7</v>
      </c>
      <c r="X28" s="1383">
        <f t="shared" si="13"/>
        <v>0</v>
      </c>
      <c r="Y28" s="1383">
        <f t="shared" si="13"/>
        <v>0</v>
      </c>
      <c r="Z28" s="1383">
        <f t="shared" si="13"/>
        <v>301.5</v>
      </c>
      <c r="AA28" s="1383">
        <f t="shared" si="13"/>
        <v>301.5</v>
      </c>
      <c r="AB28" s="1383">
        <f t="shared" si="13"/>
        <v>1716.2</v>
      </c>
      <c r="AC28" s="1383">
        <f t="shared" si="13"/>
        <v>1546.2</v>
      </c>
      <c r="AD28" s="1383">
        <f t="shared" si="13"/>
        <v>1546.2</v>
      </c>
      <c r="AE28" s="1383">
        <f t="shared" si="13"/>
        <v>0</v>
      </c>
      <c r="AF28" s="1383">
        <f t="shared" si="13"/>
        <v>0</v>
      </c>
      <c r="AG28" s="1350"/>
      <c r="AH28" s="1350"/>
      <c r="AI28" s="1382"/>
      <c r="AJ28" s="1357"/>
      <c r="AK28" s="1353">
        <v>1</v>
      </c>
    </row>
    <row r="29" spans="1:37" s="1334" customFormat="1" ht="21" x14ac:dyDescent="0.25">
      <c r="A29" s="1368">
        <v>1</v>
      </c>
      <c r="B29" s="1367" t="s">
        <v>1629</v>
      </c>
      <c r="C29" s="1368" t="s">
        <v>1802</v>
      </c>
      <c r="D29" s="1384">
        <v>28237</v>
      </c>
      <c r="E29" s="1384">
        <v>28237</v>
      </c>
      <c r="F29" s="1369">
        <v>16576</v>
      </c>
      <c r="G29" s="1369"/>
      <c r="H29" s="1370"/>
      <c r="I29" s="1370"/>
      <c r="J29" s="1385"/>
      <c r="K29" s="1385"/>
      <c r="L29" s="1370"/>
      <c r="M29" s="1370"/>
      <c r="N29" s="1385"/>
      <c r="O29" s="1385"/>
      <c r="P29" s="1350"/>
      <c r="Q29" s="1350"/>
      <c r="R29" s="1350"/>
      <c r="S29" s="1350">
        <v>0</v>
      </c>
      <c r="T29" s="1350">
        <f t="shared" si="4"/>
        <v>16576</v>
      </c>
      <c r="U29" s="1350">
        <f t="shared" si="5"/>
        <v>0</v>
      </c>
      <c r="V29" s="1370">
        <v>493</v>
      </c>
      <c r="W29" s="1370">
        <v>493</v>
      </c>
      <c r="X29" s="1350"/>
      <c r="Y29" s="1350"/>
      <c r="Z29" s="1350">
        <f t="shared" si="6"/>
        <v>0</v>
      </c>
      <c r="AA29" s="1350">
        <f t="shared" si="6"/>
        <v>0</v>
      </c>
      <c r="AB29" s="1350">
        <f t="shared" si="7"/>
        <v>493</v>
      </c>
      <c r="AC29" s="1350">
        <v>493</v>
      </c>
      <c r="AD29" s="1350">
        <v>493</v>
      </c>
      <c r="AE29" s="1350"/>
      <c r="AF29" s="1350"/>
      <c r="AG29" s="1350">
        <v>100</v>
      </c>
      <c r="AH29" s="1350"/>
      <c r="AI29" s="1368" t="s">
        <v>418</v>
      </c>
      <c r="AJ29" s="1372"/>
      <c r="AK29" s="1336" t="s">
        <v>1803</v>
      </c>
    </row>
    <row r="30" spans="1:37" s="1334" customFormat="1" ht="21" x14ac:dyDescent="0.25">
      <c r="A30" s="1372">
        <v>2</v>
      </c>
      <c r="B30" s="1367" t="s">
        <v>1630</v>
      </c>
      <c r="C30" s="1368" t="s">
        <v>1804</v>
      </c>
      <c r="D30" s="1369">
        <v>4431</v>
      </c>
      <c r="E30" s="1369">
        <v>4431</v>
      </c>
      <c r="F30" s="1369">
        <v>4017</v>
      </c>
      <c r="G30" s="1369">
        <v>4017</v>
      </c>
      <c r="H30" s="1370"/>
      <c r="I30" s="1370"/>
      <c r="J30" s="1386"/>
      <c r="K30" s="1386"/>
      <c r="L30" s="1370"/>
      <c r="M30" s="1370"/>
      <c r="N30" s="1386"/>
      <c r="O30" s="1386"/>
      <c r="P30" s="1350"/>
      <c r="Q30" s="1350"/>
      <c r="R30" s="1350"/>
      <c r="S30" s="1350">
        <v>0</v>
      </c>
      <c r="T30" s="1350">
        <f>F30+H30+L30+P30</f>
        <v>4017</v>
      </c>
      <c r="U30" s="1350">
        <f>G30+I30+M30+Q30+R30</f>
        <v>4017</v>
      </c>
      <c r="V30" s="1370">
        <v>582</v>
      </c>
      <c r="W30" s="1370">
        <v>582</v>
      </c>
      <c r="X30" s="1350"/>
      <c r="Y30" s="1350"/>
      <c r="Z30" s="1350">
        <f t="shared" si="6"/>
        <v>0</v>
      </c>
      <c r="AA30" s="1350">
        <f t="shared" si="6"/>
        <v>0</v>
      </c>
      <c r="AB30" s="1350">
        <f>W30-AA30</f>
        <v>582</v>
      </c>
      <c r="AC30" s="1350">
        <v>582</v>
      </c>
      <c r="AD30" s="1350">
        <v>582</v>
      </c>
      <c r="AE30" s="1350"/>
      <c r="AF30" s="1350"/>
      <c r="AG30" s="1350">
        <v>100</v>
      </c>
      <c r="AH30" s="1350"/>
      <c r="AI30" s="1368" t="s">
        <v>418</v>
      </c>
      <c r="AJ30" s="1351"/>
      <c r="AK30" s="1333" t="s">
        <v>1803</v>
      </c>
    </row>
    <row r="31" spans="1:37" s="1334" customFormat="1" ht="31.5" x14ac:dyDescent="0.25">
      <c r="A31" s="1368">
        <v>3</v>
      </c>
      <c r="B31" s="1367" t="s">
        <v>1631</v>
      </c>
      <c r="C31" s="1368" t="s">
        <v>1805</v>
      </c>
      <c r="D31" s="1369">
        <v>6483</v>
      </c>
      <c r="E31" s="1369">
        <f>D31</f>
        <v>6483</v>
      </c>
      <c r="F31" s="1369">
        <v>1501</v>
      </c>
      <c r="G31" s="1369">
        <v>1501</v>
      </c>
      <c r="H31" s="1370"/>
      <c r="I31" s="1370"/>
      <c r="J31" s="1350"/>
      <c r="K31" s="1350"/>
      <c r="L31" s="1370"/>
      <c r="M31" s="1370"/>
      <c r="N31" s="1350"/>
      <c r="O31" s="1350"/>
      <c r="P31" s="1350"/>
      <c r="Q31" s="1350"/>
      <c r="R31" s="1350"/>
      <c r="S31" s="1350">
        <v>0</v>
      </c>
      <c r="T31" s="1350">
        <f>F31+H31+L31+P31</f>
        <v>1501</v>
      </c>
      <c r="U31" s="1350">
        <f>G31+I31+M31+Q31+R31</f>
        <v>1501</v>
      </c>
      <c r="V31" s="1370">
        <v>400</v>
      </c>
      <c r="W31" s="1370">
        <v>400</v>
      </c>
      <c r="X31" s="1350"/>
      <c r="Y31" s="1350"/>
      <c r="Z31" s="1350">
        <f t="shared" si="6"/>
        <v>0</v>
      </c>
      <c r="AA31" s="1350">
        <f t="shared" si="6"/>
        <v>0</v>
      </c>
      <c r="AB31" s="1350">
        <f>W31-AA31</f>
        <v>400</v>
      </c>
      <c r="AC31" s="1350">
        <v>230</v>
      </c>
      <c r="AD31" s="1350">
        <v>230</v>
      </c>
      <c r="AE31" s="1350"/>
      <c r="AF31" s="1350"/>
      <c r="AG31" s="1350">
        <v>100</v>
      </c>
      <c r="AH31" s="1350"/>
      <c r="AI31" s="1368" t="s">
        <v>418</v>
      </c>
      <c r="AJ31" s="1372"/>
      <c r="AK31" s="1333" t="s">
        <v>1803</v>
      </c>
    </row>
    <row r="32" spans="1:37" s="1334" customFormat="1" ht="31.5" x14ac:dyDescent="0.25">
      <c r="A32" s="1368">
        <v>4</v>
      </c>
      <c r="B32" s="1367" t="s">
        <v>1658</v>
      </c>
      <c r="C32" s="1368" t="s">
        <v>1806</v>
      </c>
      <c r="D32" s="1370">
        <v>753</v>
      </c>
      <c r="E32" s="1370">
        <v>603</v>
      </c>
      <c r="F32" s="1369"/>
      <c r="G32" s="1369"/>
      <c r="H32" s="1370"/>
      <c r="I32" s="1370"/>
      <c r="J32" s="1387"/>
      <c r="K32" s="1387"/>
      <c r="L32" s="1370">
        <v>301.5</v>
      </c>
      <c r="M32" s="1370">
        <v>301.5</v>
      </c>
      <c r="N32" s="1387"/>
      <c r="O32" s="1387"/>
      <c r="P32" s="1350"/>
      <c r="Q32" s="1350"/>
      <c r="R32" s="1388"/>
      <c r="S32" s="1388"/>
      <c r="T32" s="1350">
        <f>F32+H32+L32+P32</f>
        <v>301.5</v>
      </c>
      <c r="U32" s="1350">
        <f>G32+I32+M32+Q32+R32</f>
        <v>301.5</v>
      </c>
      <c r="V32" s="1370">
        <v>681.30000000000007</v>
      </c>
      <c r="W32" s="1370">
        <v>542.70000000000005</v>
      </c>
      <c r="X32" s="1388"/>
      <c r="Y32" s="1388"/>
      <c r="Z32" s="1350">
        <f t="shared" si="6"/>
        <v>301.5</v>
      </c>
      <c r="AA32" s="1350">
        <f t="shared" si="6"/>
        <v>301.5</v>
      </c>
      <c r="AB32" s="1350">
        <f>W32-AA32</f>
        <v>241.20000000000005</v>
      </c>
      <c r="AC32" s="1350">
        <f t="shared" ref="AC32:AD32" si="14">AB32</f>
        <v>241.20000000000005</v>
      </c>
      <c r="AD32" s="1350">
        <f t="shared" si="14"/>
        <v>241.20000000000005</v>
      </c>
      <c r="AE32" s="1388"/>
      <c r="AF32" s="1388"/>
      <c r="AG32" s="1350">
        <f>(AD32+U32)/E32*100</f>
        <v>90</v>
      </c>
      <c r="AH32" s="1350"/>
      <c r="AI32" s="1368" t="s">
        <v>425</v>
      </c>
      <c r="AJ32" s="1357"/>
      <c r="AK32" s="1333"/>
    </row>
    <row r="33" spans="1:37" s="1354" customFormat="1" ht="18" x14ac:dyDescent="0.25">
      <c r="A33" s="1362" t="s">
        <v>439</v>
      </c>
      <c r="B33" s="1363" t="s">
        <v>1807</v>
      </c>
      <c r="C33" s="1362"/>
      <c r="D33" s="1389">
        <f t="shared" ref="D33:AF33" si="15">SUM(D34:D35)</f>
        <v>80452</v>
      </c>
      <c r="E33" s="1389">
        <f t="shared" si="15"/>
        <v>70023</v>
      </c>
      <c r="F33" s="1389">
        <f t="shared" si="15"/>
        <v>57451</v>
      </c>
      <c r="G33" s="1389">
        <f t="shared" si="15"/>
        <v>57451</v>
      </c>
      <c r="H33" s="1389">
        <f t="shared" si="15"/>
        <v>4315</v>
      </c>
      <c r="I33" s="1389">
        <f t="shared" si="15"/>
        <v>4315</v>
      </c>
      <c r="J33" s="1389">
        <f t="shared" si="15"/>
        <v>0</v>
      </c>
      <c r="K33" s="1389">
        <f t="shared" si="15"/>
        <v>0</v>
      </c>
      <c r="L33" s="1389">
        <f t="shared" si="15"/>
        <v>8600</v>
      </c>
      <c r="M33" s="1389">
        <f t="shared" si="15"/>
        <v>0</v>
      </c>
      <c r="N33" s="1389">
        <f t="shared" si="15"/>
        <v>0</v>
      </c>
      <c r="O33" s="1389">
        <f t="shared" si="15"/>
        <v>0</v>
      </c>
      <c r="P33" s="1389">
        <f t="shared" si="15"/>
        <v>0</v>
      </c>
      <c r="Q33" s="1389">
        <f t="shared" si="15"/>
        <v>0</v>
      </c>
      <c r="R33" s="1389">
        <f t="shared" si="15"/>
        <v>0</v>
      </c>
      <c r="S33" s="1389">
        <f t="shared" si="15"/>
        <v>0</v>
      </c>
      <c r="T33" s="1389">
        <f t="shared" si="15"/>
        <v>70366</v>
      </c>
      <c r="U33" s="1389">
        <f t="shared" si="15"/>
        <v>61766</v>
      </c>
      <c r="V33" s="1389">
        <f t="shared" si="15"/>
        <v>11883</v>
      </c>
      <c r="W33" s="1389">
        <f t="shared" si="15"/>
        <v>10324</v>
      </c>
      <c r="X33" s="1389">
        <f t="shared" si="15"/>
        <v>0</v>
      </c>
      <c r="Y33" s="1389">
        <f t="shared" si="15"/>
        <v>0</v>
      </c>
      <c r="Z33" s="1389">
        <f t="shared" si="15"/>
        <v>12915</v>
      </c>
      <c r="AA33" s="1389">
        <f t="shared" si="15"/>
        <v>4315</v>
      </c>
      <c r="AB33" s="1389">
        <f t="shared" si="15"/>
        <v>6009</v>
      </c>
      <c r="AC33" s="1389">
        <f t="shared" si="15"/>
        <v>6009</v>
      </c>
      <c r="AD33" s="1389">
        <f t="shared" si="15"/>
        <v>6009</v>
      </c>
      <c r="AE33" s="1389">
        <f t="shared" si="15"/>
        <v>0</v>
      </c>
      <c r="AF33" s="1389">
        <f t="shared" si="15"/>
        <v>0</v>
      </c>
      <c r="AG33" s="1350"/>
      <c r="AH33" s="1350"/>
      <c r="AI33" s="1364"/>
      <c r="AJ33" s="1357"/>
      <c r="AK33" s="1353">
        <v>1</v>
      </c>
    </row>
    <row r="34" spans="1:37" s="1334" customFormat="1" ht="52.5" x14ac:dyDescent="0.25">
      <c r="A34" s="1368">
        <v>1</v>
      </c>
      <c r="B34" s="1367" t="s">
        <v>1640</v>
      </c>
      <c r="C34" s="1368" t="s">
        <v>1808</v>
      </c>
      <c r="D34" s="1370">
        <v>66023</v>
      </c>
      <c r="E34" s="1370">
        <v>66023</v>
      </c>
      <c r="F34" s="1369">
        <v>57451</v>
      </c>
      <c r="G34" s="1369">
        <v>57451</v>
      </c>
      <c r="H34" s="1370">
        <v>1815</v>
      </c>
      <c r="I34" s="1370">
        <v>1815</v>
      </c>
      <c r="J34" s="1383"/>
      <c r="K34" s="1383"/>
      <c r="L34" s="1370"/>
      <c r="M34" s="1370"/>
      <c r="N34" s="1383"/>
      <c r="O34" s="1383"/>
      <c r="P34" s="1350"/>
      <c r="Q34" s="1350"/>
      <c r="R34" s="1350"/>
      <c r="S34" s="1350"/>
      <c r="T34" s="1350">
        <f>F34+H34+L34+P34</f>
        <v>59266</v>
      </c>
      <c r="U34" s="1350">
        <f>G34+I34+M34+Q34+R34</f>
        <v>59266</v>
      </c>
      <c r="V34" s="1370">
        <v>6324</v>
      </c>
      <c r="W34" s="1370">
        <v>6324</v>
      </c>
      <c r="X34" s="1350"/>
      <c r="Y34" s="1350"/>
      <c r="Z34" s="1350">
        <f>H34+L34+P34</f>
        <v>1815</v>
      </c>
      <c r="AA34" s="1350">
        <f>I34+M34+Q34</f>
        <v>1815</v>
      </c>
      <c r="AB34" s="1350">
        <f>W34-AA34</f>
        <v>4509</v>
      </c>
      <c r="AC34" s="1350">
        <v>4509</v>
      </c>
      <c r="AD34" s="1350">
        <f>AC34</f>
        <v>4509</v>
      </c>
      <c r="AE34" s="1350"/>
      <c r="AF34" s="1350"/>
      <c r="AG34" s="1350">
        <f>(T34+AC34)/D34*100</f>
        <v>96.595125940959974</v>
      </c>
      <c r="AH34" s="1350"/>
      <c r="AI34" s="1368" t="s">
        <v>418</v>
      </c>
      <c r="AJ34" s="1372" t="s">
        <v>1809</v>
      </c>
      <c r="AK34" s="1333"/>
    </row>
    <row r="35" spans="1:37" s="1334" customFormat="1" ht="31.5" x14ac:dyDescent="0.25">
      <c r="A35" s="1368">
        <v>2</v>
      </c>
      <c r="B35" s="1367" t="s">
        <v>1649</v>
      </c>
      <c r="C35" s="1368" t="s">
        <v>1810</v>
      </c>
      <c r="D35" s="1370">
        <v>14429</v>
      </c>
      <c r="E35" s="1370">
        <v>4000</v>
      </c>
      <c r="F35" s="1369">
        <v>0</v>
      </c>
      <c r="G35" s="1369">
        <v>0</v>
      </c>
      <c r="H35" s="1370">
        <v>2500</v>
      </c>
      <c r="I35" s="1370">
        <v>2500</v>
      </c>
      <c r="J35" s="1386"/>
      <c r="K35" s="1386"/>
      <c r="L35" s="1370">
        <f>3600+5000</f>
        <v>8600</v>
      </c>
      <c r="M35" s="1370"/>
      <c r="N35" s="1386"/>
      <c r="O35" s="1386"/>
      <c r="P35" s="1350"/>
      <c r="Q35" s="1350"/>
      <c r="R35" s="1350"/>
      <c r="S35" s="1350">
        <v>0</v>
      </c>
      <c r="T35" s="1350">
        <f t="shared" si="4"/>
        <v>11100</v>
      </c>
      <c r="U35" s="1350">
        <f t="shared" si="5"/>
        <v>2500</v>
      </c>
      <c r="V35" s="1370">
        <v>5559</v>
      </c>
      <c r="W35" s="1370">
        <v>4000</v>
      </c>
      <c r="X35" s="1350"/>
      <c r="Y35" s="1350"/>
      <c r="Z35" s="1350">
        <f t="shared" si="6"/>
        <v>11100</v>
      </c>
      <c r="AA35" s="1350">
        <f t="shared" si="6"/>
        <v>2500</v>
      </c>
      <c r="AB35" s="1350">
        <f t="shared" si="7"/>
        <v>1500</v>
      </c>
      <c r="AC35" s="1350">
        <v>1500</v>
      </c>
      <c r="AD35" s="1350">
        <v>1500</v>
      </c>
      <c r="AE35" s="1350"/>
      <c r="AF35" s="1350"/>
      <c r="AG35" s="1350">
        <f>(T35+AC35)/D35*100</f>
        <v>87.324138886963752</v>
      </c>
      <c r="AH35" s="1350"/>
      <c r="AI35" s="1368" t="s">
        <v>420</v>
      </c>
      <c r="AJ35" s="1351"/>
      <c r="AK35" s="1333"/>
    </row>
    <row r="36" spans="1:37" s="1392" customFormat="1" ht="10.5" x14ac:dyDescent="0.25">
      <c r="A36" s="1390" t="s">
        <v>147</v>
      </c>
      <c r="B36" s="1391" t="s">
        <v>1798</v>
      </c>
      <c r="C36" s="1380"/>
      <c r="D36" s="1349">
        <f t="shared" ref="D36:AF36" si="16">SUM(D37:D51)</f>
        <v>145161</v>
      </c>
      <c r="E36" s="1349">
        <f t="shared" si="16"/>
        <v>113191.19999999998</v>
      </c>
      <c r="F36" s="1349">
        <f t="shared" si="16"/>
        <v>154</v>
      </c>
      <c r="G36" s="1349">
        <f t="shared" si="16"/>
        <v>154</v>
      </c>
      <c r="H36" s="1349">
        <f t="shared" si="16"/>
        <v>20019</v>
      </c>
      <c r="I36" s="1349">
        <f t="shared" si="16"/>
        <v>20019</v>
      </c>
      <c r="J36" s="1349">
        <f t="shared" si="16"/>
        <v>0</v>
      </c>
      <c r="K36" s="1349">
        <f t="shared" si="16"/>
        <v>0</v>
      </c>
      <c r="L36" s="1349">
        <f t="shared" si="16"/>
        <v>42462.7</v>
      </c>
      <c r="M36" s="1349">
        <f t="shared" si="16"/>
        <v>42462.7</v>
      </c>
      <c r="N36" s="1349">
        <f t="shared" si="16"/>
        <v>0</v>
      </c>
      <c r="O36" s="1349">
        <f t="shared" si="16"/>
        <v>0</v>
      </c>
      <c r="P36" s="1349">
        <f t="shared" si="16"/>
        <v>14998</v>
      </c>
      <c r="Q36" s="1349">
        <f t="shared" si="16"/>
        <v>14998</v>
      </c>
      <c r="R36" s="1349">
        <f t="shared" si="16"/>
        <v>0</v>
      </c>
      <c r="S36" s="1349">
        <f t="shared" si="16"/>
        <v>0</v>
      </c>
      <c r="T36" s="1349">
        <f t="shared" si="16"/>
        <v>77633.7</v>
      </c>
      <c r="U36" s="1349">
        <f t="shared" si="16"/>
        <v>77633.7</v>
      </c>
      <c r="V36" s="1349">
        <f t="shared" si="16"/>
        <v>130503.50000000001</v>
      </c>
      <c r="W36" s="1349">
        <f t="shared" si="16"/>
        <v>101726.82</v>
      </c>
      <c r="X36" s="1349">
        <f t="shared" si="16"/>
        <v>0</v>
      </c>
      <c r="Y36" s="1349">
        <f t="shared" si="16"/>
        <v>0</v>
      </c>
      <c r="Z36" s="1349">
        <f t="shared" si="16"/>
        <v>77479.7</v>
      </c>
      <c r="AA36" s="1349">
        <f t="shared" si="16"/>
        <v>77479.7</v>
      </c>
      <c r="AB36" s="1349">
        <f t="shared" si="16"/>
        <v>24247.120000000003</v>
      </c>
      <c r="AC36" s="1349">
        <f t="shared" si="16"/>
        <v>24247.120000000003</v>
      </c>
      <c r="AD36" s="1349">
        <f t="shared" si="16"/>
        <v>24247.120000000003</v>
      </c>
      <c r="AE36" s="1349">
        <f t="shared" si="16"/>
        <v>0</v>
      </c>
      <c r="AF36" s="1349">
        <f t="shared" si="16"/>
        <v>0</v>
      </c>
      <c r="AG36" s="1350"/>
      <c r="AH36" s="1350"/>
      <c r="AI36" s="1380"/>
      <c r="AJ36" s="1380"/>
      <c r="AK36" s="1353">
        <v>1</v>
      </c>
    </row>
    <row r="37" spans="1:37" s="1334" customFormat="1" ht="31.5" x14ac:dyDescent="0.25">
      <c r="A37" s="1368">
        <v>1</v>
      </c>
      <c r="B37" s="1367" t="s">
        <v>1637</v>
      </c>
      <c r="C37" s="1368" t="s">
        <v>1811</v>
      </c>
      <c r="D37" s="1370">
        <v>22015</v>
      </c>
      <c r="E37" s="1370">
        <f>D37</f>
        <v>22015</v>
      </c>
      <c r="F37" s="1369">
        <v>154</v>
      </c>
      <c r="G37" s="1369">
        <v>154</v>
      </c>
      <c r="H37" s="1370">
        <v>15000</v>
      </c>
      <c r="I37" s="1370">
        <v>15000</v>
      </c>
      <c r="J37" s="1350"/>
      <c r="K37" s="1350"/>
      <c r="L37" s="1370">
        <v>3222</v>
      </c>
      <c r="M37" s="1370">
        <v>3222</v>
      </c>
      <c r="N37" s="1350"/>
      <c r="O37" s="1350"/>
      <c r="P37" s="1350"/>
      <c r="Q37" s="1350"/>
      <c r="R37" s="1350"/>
      <c r="S37" s="1350"/>
      <c r="T37" s="1350">
        <f t="shared" si="4"/>
        <v>18376</v>
      </c>
      <c r="U37" s="1350">
        <f t="shared" si="5"/>
        <v>18376</v>
      </c>
      <c r="V37" s="1370">
        <v>19659.5</v>
      </c>
      <c r="W37" s="1370">
        <v>19659.5</v>
      </c>
      <c r="X37" s="1350"/>
      <c r="Y37" s="1350"/>
      <c r="Z37" s="1350">
        <f t="shared" si="6"/>
        <v>18222</v>
      </c>
      <c r="AA37" s="1350">
        <f t="shared" si="6"/>
        <v>18222</v>
      </c>
      <c r="AB37" s="1350">
        <f t="shared" si="7"/>
        <v>1437.5</v>
      </c>
      <c r="AC37" s="1350">
        <f t="shared" ref="AC37:AD49" si="17">AB37</f>
        <v>1437.5</v>
      </c>
      <c r="AD37" s="1350">
        <f t="shared" si="17"/>
        <v>1437.5</v>
      </c>
      <c r="AE37" s="1350"/>
      <c r="AF37" s="1350"/>
      <c r="AG37" s="1350">
        <f t="shared" ref="AG37:AG51" si="18">(AD37+U37)/E37*100</f>
        <v>90</v>
      </c>
      <c r="AH37" s="1350"/>
      <c r="AI37" s="1368" t="s">
        <v>418</v>
      </c>
      <c r="AJ37" s="1357"/>
      <c r="AK37" s="1333"/>
    </row>
    <row r="38" spans="1:37" s="1334" customFormat="1" ht="21" x14ac:dyDescent="0.25">
      <c r="A38" s="1368">
        <v>2</v>
      </c>
      <c r="B38" s="1393" t="s">
        <v>958</v>
      </c>
      <c r="C38" s="1368" t="s">
        <v>959</v>
      </c>
      <c r="D38" s="1370">
        <v>12096</v>
      </c>
      <c r="E38" s="1370">
        <v>12096</v>
      </c>
      <c r="F38" s="1369">
        <v>0</v>
      </c>
      <c r="G38" s="1369">
        <v>0</v>
      </c>
      <c r="H38" s="1370">
        <v>5019</v>
      </c>
      <c r="I38" s="1370">
        <v>5019</v>
      </c>
      <c r="J38" s="1385"/>
      <c r="K38" s="1385"/>
      <c r="L38" s="1370">
        <v>3200</v>
      </c>
      <c r="M38" s="1370">
        <v>3200</v>
      </c>
      <c r="N38" s="1385"/>
      <c r="O38" s="1385"/>
      <c r="P38" s="1350">
        <v>1700</v>
      </c>
      <c r="Q38" s="1350">
        <v>1700</v>
      </c>
      <c r="R38" s="1350"/>
      <c r="S38" s="1350"/>
      <c r="T38" s="1350">
        <f t="shared" si="4"/>
        <v>9919</v>
      </c>
      <c r="U38" s="1350">
        <f t="shared" si="5"/>
        <v>9919</v>
      </c>
      <c r="V38" s="1370">
        <v>10886.4</v>
      </c>
      <c r="W38" s="1370">
        <v>10886.4</v>
      </c>
      <c r="X38" s="1350"/>
      <c r="Y38" s="1350"/>
      <c r="Z38" s="1350">
        <f t="shared" si="6"/>
        <v>9919</v>
      </c>
      <c r="AA38" s="1350">
        <f t="shared" si="6"/>
        <v>9919</v>
      </c>
      <c r="AB38" s="1350">
        <f t="shared" si="7"/>
        <v>967.39999999999964</v>
      </c>
      <c r="AC38" s="1350">
        <f t="shared" si="17"/>
        <v>967.39999999999964</v>
      </c>
      <c r="AD38" s="1350">
        <f t="shared" si="17"/>
        <v>967.39999999999964</v>
      </c>
      <c r="AE38" s="1350"/>
      <c r="AF38" s="1350"/>
      <c r="AG38" s="1350">
        <f t="shared" si="18"/>
        <v>90</v>
      </c>
      <c r="AH38" s="1350"/>
      <c r="AI38" s="1368" t="s">
        <v>418</v>
      </c>
      <c r="AJ38" s="1394"/>
      <c r="AK38" s="1333"/>
    </row>
    <row r="39" spans="1:37" s="1334" customFormat="1" ht="31.5" x14ac:dyDescent="0.25">
      <c r="A39" s="1368">
        <v>3</v>
      </c>
      <c r="B39" s="1367" t="s">
        <v>961</v>
      </c>
      <c r="C39" s="1368" t="s">
        <v>1195</v>
      </c>
      <c r="D39" s="1370">
        <v>3552</v>
      </c>
      <c r="E39" s="1370">
        <v>3552</v>
      </c>
      <c r="F39" s="1369"/>
      <c r="G39" s="1369"/>
      <c r="H39" s="1370"/>
      <c r="I39" s="1370"/>
      <c r="J39" s="1395"/>
      <c r="K39" s="1395"/>
      <c r="L39" s="1370">
        <v>2000</v>
      </c>
      <c r="M39" s="1370">
        <v>2000</v>
      </c>
      <c r="N39" s="1395"/>
      <c r="O39" s="1395"/>
      <c r="P39" s="1388">
        <v>1000</v>
      </c>
      <c r="Q39" s="1388">
        <v>1000</v>
      </c>
      <c r="R39" s="1395"/>
      <c r="S39" s="1395"/>
      <c r="T39" s="1350">
        <f>F39+H39+L39+P39</f>
        <v>3000</v>
      </c>
      <c r="U39" s="1350">
        <f>G39+I39+M39+Q39+R39</f>
        <v>3000</v>
      </c>
      <c r="V39" s="1370">
        <v>3196.8</v>
      </c>
      <c r="W39" s="1370">
        <v>3196.8</v>
      </c>
      <c r="X39" s="1350"/>
      <c r="Y39" s="1350"/>
      <c r="Z39" s="1350">
        <f>H39+L39+P39</f>
        <v>3000</v>
      </c>
      <c r="AA39" s="1350">
        <f>I39+M39+Q39</f>
        <v>3000</v>
      </c>
      <c r="AB39" s="1350">
        <f>W39-AA39</f>
        <v>196.80000000000018</v>
      </c>
      <c r="AC39" s="1350">
        <f t="shared" si="17"/>
        <v>196.80000000000018</v>
      </c>
      <c r="AD39" s="1350">
        <f t="shared" si="17"/>
        <v>196.80000000000018</v>
      </c>
      <c r="AE39" s="1395"/>
      <c r="AF39" s="1395"/>
      <c r="AG39" s="1350">
        <f t="shared" si="18"/>
        <v>90</v>
      </c>
      <c r="AH39" s="1350"/>
      <c r="AI39" s="1368" t="s">
        <v>420</v>
      </c>
      <c r="AJ39" s="1357"/>
      <c r="AK39" s="1333"/>
    </row>
    <row r="40" spans="1:37" s="1334" customFormat="1" ht="21" x14ac:dyDescent="0.25">
      <c r="A40" s="1368">
        <v>4</v>
      </c>
      <c r="B40" s="1367" t="s">
        <v>977</v>
      </c>
      <c r="C40" s="1396" t="s">
        <v>978</v>
      </c>
      <c r="D40" s="1397">
        <v>13316</v>
      </c>
      <c r="E40" s="1397">
        <v>7500</v>
      </c>
      <c r="F40" s="1369"/>
      <c r="G40" s="1369"/>
      <c r="H40" s="1370"/>
      <c r="I40" s="1370"/>
      <c r="J40" s="1398"/>
      <c r="K40" s="1398"/>
      <c r="L40" s="1397">
        <v>4638</v>
      </c>
      <c r="M40" s="1397">
        <v>4638</v>
      </c>
      <c r="N40" s="1398"/>
      <c r="O40" s="1398"/>
      <c r="P40" s="1350">
        <v>1500</v>
      </c>
      <c r="Q40" s="1350">
        <v>1500</v>
      </c>
      <c r="R40" s="1399"/>
      <c r="S40" s="1399"/>
      <c r="T40" s="1350">
        <f>F40+H40+L40+P40</f>
        <v>6138</v>
      </c>
      <c r="U40" s="1350">
        <f>G40+I40+M40+Q40+R40</f>
        <v>6138</v>
      </c>
      <c r="V40" s="1370">
        <v>11984.4</v>
      </c>
      <c r="W40" s="1370">
        <v>6750</v>
      </c>
      <c r="X40" s="1399"/>
      <c r="Y40" s="1399"/>
      <c r="Z40" s="1350">
        <f>H40+L40+P40</f>
        <v>6138</v>
      </c>
      <c r="AA40" s="1350">
        <f>I40+M40+Q40</f>
        <v>6138</v>
      </c>
      <c r="AB40" s="1350">
        <f>W40-AA40</f>
        <v>612</v>
      </c>
      <c r="AC40" s="1350">
        <f t="shared" si="17"/>
        <v>612</v>
      </c>
      <c r="AD40" s="1350">
        <f t="shared" si="17"/>
        <v>612</v>
      </c>
      <c r="AE40" s="1399"/>
      <c r="AF40" s="1399"/>
      <c r="AG40" s="1350">
        <f t="shared" si="18"/>
        <v>90</v>
      </c>
      <c r="AH40" s="1350"/>
      <c r="AI40" s="1357" t="s">
        <v>427</v>
      </c>
      <c r="AJ40" s="1357"/>
      <c r="AK40" s="1333"/>
    </row>
    <row r="41" spans="1:37" s="1334" customFormat="1" ht="21" x14ac:dyDescent="0.25">
      <c r="A41" s="1368">
        <v>5</v>
      </c>
      <c r="B41" s="1367" t="s">
        <v>975</v>
      </c>
      <c r="C41" s="1396" t="s">
        <v>976</v>
      </c>
      <c r="D41" s="1370">
        <v>32200</v>
      </c>
      <c r="E41" s="1370">
        <f>D41/2</f>
        <v>16100</v>
      </c>
      <c r="F41" s="1369">
        <v>0</v>
      </c>
      <c r="G41" s="1369">
        <v>0</v>
      </c>
      <c r="H41" s="1370">
        <v>0</v>
      </c>
      <c r="I41" s="1370">
        <v>0</v>
      </c>
      <c r="J41" s="1383"/>
      <c r="K41" s="1383"/>
      <c r="L41" s="1370">
        <v>6000</v>
      </c>
      <c r="M41" s="1370">
        <v>6000</v>
      </c>
      <c r="N41" s="1383"/>
      <c r="O41" s="1383"/>
      <c r="P41" s="1350">
        <v>5748</v>
      </c>
      <c r="Q41" s="1350">
        <v>5748</v>
      </c>
      <c r="R41" s="1350"/>
      <c r="S41" s="1350"/>
      <c r="T41" s="1350">
        <f t="shared" si="4"/>
        <v>11748</v>
      </c>
      <c r="U41" s="1350">
        <f t="shared" si="5"/>
        <v>11748</v>
      </c>
      <c r="V41" s="1370">
        <v>28980</v>
      </c>
      <c r="W41" s="1370">
        <v>14490</v>
      </c>
      <c r="X41" s="1350"/>
      <c r="Y41" s="1350"/>
      <c r="Z41" s="1350">
        <f t="shared" si="6"/>
        <v>11748</v>
      </c>
      <c r="AA41" s="1350">
        <f t="shared" si="6"/>
        <v>11748</v>
      </c>
      <c r="AB41" s="1350">
        <f t="shared" si="7"/>
        <v>2742</v>
      </c>
      <c r="AC41" s="1350">
        <f t="shared" si="17"/>
        <v>2742</v>
      </c>
      <c r="AD41" s="1350">
        <f t="shared" si="17"/>
        <v>2742</v>
      </c>
      <c r="AE41" s="1350"/>
      <c r="AF41" s="1350"/>
      <c r="AG41" s="1350">
        <f t="shared" si="18"/>
        <v>90</v>
      </c>
      <c r="AH41" s="1350"/>
      <c r="AI41" s="1368" t="s">
        <v>427</v>
      </c>
      <c r="AJ41" s="1382"/>
      <c r="AK41" s="1333"/>
    </row>
    <row r="42" spans="1:37" s="1334" customFormat="1" ht="31.5" x14ac:dyDescent="0.25">
      <c r="A42" s="1368">
        <v>6</v>
      </c>
      <c r="B42" s="1367" t="s">
        <v>962</v>
      </c>
      <c r="C42" s="1368" t="s">
        <v>1196</v>
      </c>
      <c r="D42" s="1397">
        <v>7500</v>
      </c>
      <c r="E42" s="1397">
        <v>7500</v>
      </c>
      <c r="F42" s="1369"/>
      <c r="G42" s="1369"/>
      <c r="H42" s="1370"/>
      <c r="I42" s="1370"/>
      <c r="J42" s="1400"/>
      <c r="K42" s="1400"/>
      <c r="L42" s="1397">
        <v>3652</v>
      </c>
      <c r="M42" s="1397">
        <v>3652</v>
      </c>
      <c r="N42" s="1400"/>
      <c r="O42" s="1400"/>
      <c r="P42" s="1388">
        <v>1350</v>
      </c>
      <c r="Q42" s="1388">
        <v>1350</v>
      </c>
      <c r="R42" s="1388"/>
      <c r="S42" s="1388"/>
      <c r="T42" s="1350">
        <f t="shared" si="4"/>
        <v>5002</v>
      </c>
      <c r="U42" s="1350">
        <f t="shared" si="5"/>
        <v>5002</v>
      </c>
      <c r="V42" s="1370">
        <v>6750</v>
      </c>
      <c r="W42" s="1370">
        <v>6750</v>
      </c>
      <c r="X42" s="1388"/>
      <c r="Y42" s="1388"/>
      <c r="Z42" s="1350">
        <f t="shared" si="6"/>
        <v>5002</v>
      </c>
      <c r="AA42" s="1350">
        <f t="shared" si="6"/>
        <v>5002</v>
      </c>
      <c r="AB42" s="1350">
        <f t="shared" si="7"/>
        <v>1748</v>
      </c>
      <c r="AC42" s="1350">
        <f t="shared" si="17"/>
        <v>1748</v>
      </c>
      <c r="AD42" s="1350">
        <f t="shared" si="17"/>
        <v>1748</v>
      </c>
      <c r="AE42" s="1388"/>
      <c r="AF42" s="1388"/>
      <c r="AG42" s="1350">
        <f t="shared" si="18"/>
        <v>90</v>
      </c>
      <c r="AH42" s="1350"/>
      <c r="AI42" s="1368" t="s">
        <v>420</v>
      </c>
      <c r="AJ42" s="1360"/>
      <c r="AK42" s="1333"/>
    </row>
    <row r="43" spans="1:37" s="1334" customFormat="1" ht="21" x14ac:dyDescent="0.25">
      <c r="A43" s="1368">
        <v>7</v>
      </c>
      <c r="B43" s="1393" t="s">
        <v>1638</v>
      </c>
      <c r="C43" s="1368" t="s">
        <v>1812</v>
      </c>
      <c r="D43" s="1370">
        <v>10000</v>
      </c>
      <c r="E43" s="1370">
        <v>10000</v>
      </c>
      <c r="F43" s="1369"/>
      <c r="G43" s="1369"/>
      <c r="H43" s="1370"/>
      <c r="I43" s="1370"/>
      <c r="J43" s="1386"/>
      <c r="K43" s="1386"/>
      <c r="L43" s="1370">
        <v>4000</v>
      </c>
      <c r="M43" s="1370">
        <v>4000</v>
      </c>
      <c r="N43" s="1386"/>
      <c r="O43" s="1386"/>
      <c r="P43" s="1350"/>
      <c r="Q43" s="1350"/>
      <c r="R43" s="1350"/>
      <c r="S43" s="1350"/>
      <c r="T43" s="1350">
        <f t="shared" si="4"/>
        <v>4000</v>
      </c>
      <c r="U43" s="1350">
        <f t="shared" si="5"/>
        <v>4000</v>
      </c>
      <c r="V43" s="1370">
        <v>9000</v>
      </c>
      <c r="W43" s="1370">
        <v>9000</v>
      </c>
      <c r="X43" s="1350"/>
      <c r="Y43" s="1350"/>
      <c r="Z43" s="1350">
        <f t="shared" si="6"/>
        <v>4000</v>
      </c>
      <c r="AA43" s="1350">
        <f t="shared" si="6"/>
        <v>4000</v>
      </c>
      <c r="AB43" s="1350">
        <f t="shared" si="7"/>
        <v>5000</v>
      </c>
      <c r="AC43" s="1350">
        <f t="shared" si="17"/>
        <v>5000</v>
      </c>
      <c r="AD43" s="1350">
        <f t="shared" si="17"/>
        <v>5000</v>
      </c>
      <c r="AE43" s="1350"/>
      <c r="AF43" s="1350"/>
      <c r="AG43" s="1350">
        <f t="shared" si="18"/>
        <v>90</v>
      </c>
      <c r="AH43" s="1350"/>
      <c r="AI43" s="1368" t="s">
        <v>418</v>
      </c>
      <c r="AJ43" s="1357"/>
      <c r="AK43" s="1333"/>
    </row>
    <row r="44" spans="1:37" s="1334" customFormat="1" ht="31.5" x14ac:dyDescent="0.25">
      <c r="A44" s="1368">
        <v>8</v>
      </c>
      <c r="B44" s="1367" t="s">
        <v>1648</v>
      </c>
      <c r="C44" s="1368" t="s">
        <v>1813</v>
      </c>
      <c r="D44" s="1370">
        <v>4874</v>
      </c>
      <c r="E44" s="1370">
        <v>3944.4</v>
      </c>
      <c r="F44" s="1369"/>
      <c r="G44" s="1369"/>
      <c r="H44" s="1370"/>
      <c r="I44" s="1370"/>
      <c r="J44" s="1385"/>
      <c r="K44" s="1385"/>
      <c r="L44" s="1370">
        <v>540</v>
      </c>
      <c r="M44" s="1370">
        <v>540</v>
      </c>
      <c r="N44" s="1385"/>
      <c r="O44" s="1385"/>
      <c r="P44" s="1350"/>
      <c r="Q44" s="1350"/>
      <c r="R44" s="1350"/>
      <c r="S44" s="1350"/>
      <c r="T44" s="1350">
        <f t="shared" si="4"/>
        <v>540</v>
      </c>
      <c r="U44" s="1350">
        <f t="shared" si="5"/>
        <v>540</v>
      </c>
      <c r="V44" s="1370">
        <v>4386.6000000000004</v>
      </c>
      <c r="W44" s="1370">
        <v>3549.96</v>
      </c>
      <c r="X44" s="1350"/>
      <c r="Y44" s="1350"/>
      <c r="Z44" s="1350">
        <f t="shared" si="6"/>
        <v>540</v>
      </c>
      <c r="AA44" s="1350">
        <f t="shared" si="6"/>
        <v>540</v>
      </c>
      <c r="AB44" s="1350">
        <f t="shared" si="7"/>
        <v>3009.96</v>
      </c>
      <c r="AC44" s="1350">
        <f t="shared" si="17"/>
        <v>3009.96</v>
      </c>
      <c r="AD44" s="1350">
        <f t="shared" si="17"/>
        <v>3009.96</v>
      </c>
      <c r="AE44" s="1350"/>
      <c r="AF44" s="1350"/>
      <c r="AG44" s="1350">
        <f t="shared" si="18"/>
        <v>90</v>
      </c>
      <c r="AH44" s="1350"/>
      <c r="AI44" s="1368" t="s">
        <v>420</v>
      </c>
      <c r="AJ44" s="1357"/>
      <c r="AK44" s="1333"/>
    </row>
    <row r="45" spans="1:37" s="1334" customFormat="1" ht="31.5" x14ac:dyDescent="0.25">
      <c r="A45" s="1368">
        <v>9</v>
      </c>
      <c r="B45" s="1367" t="s">
        <v>1656</v>
      </c>
      <c r="C45" s="1368"/>
      <c r="D45" s="1370">
        <v>954</v>
      </c>
      <c r="E45" s="1370">
        <v>760.4</v>
      </c>
      <c r="F45" s="1369"/>
      <c r="G45" s="1369"/>
      <c r="H45" s="1370"/>
      <c r="I45" s="1370"/>
      <c r="J45" s="1401"/>
      <c r="K45" s="1401"/>
      <c r="L45" s="1370">
        <v>380.2</v>
      </c>
      <c r="M45" s="1370">
        <v>380.2</v>
      </c>
      <c r="N45" s="1401"/>
      <c r="O45" s="1401"/>
      <c r="P45" s="1350"/>
      <c r="Q45" s="1350"/>
      <c r="R45" s="1399"/>
      <c r="S45" s="1399"/>
      <c r="T45" s="1350">
        <f t="shared" si="4"/>
        <v>380.2</v>
      </c>
      <c r="U45" s="1350">
        <f t="shared" si="5"/>
        <v>380.2</v>
      </c>
      <c r="V45" s="1370">
        <v>858.6</v>
      </c>
      <c r="W45" s="1370">
        <v>684.36</v>
      </c>
      <c r="X45" s="1399"/>
      <c r="Y45" s="1399"/>
      <c r="Z45" s="1350">
        <f t="shared" si="6"/>
        <v>380.2</v>
      </c>
      <c r="AA45" s="1350">
        <f t="shared" si="6"/>
        <v>380.2</v>
      </c>
      <c r="AB45" s="1350">
        <f t="shared" si="7"/>
        <v>304.16000000000003</v>
      </c>
      <c r="AC45" s="1350">
        <f t="shared" si="17"/>
        <v>304.16000000000003</v>
      </c>
      <c r="AD45" s="1350">
        <f t="shared" si="17"/>
        <v>304.16000000000003</v>
      </c>
      <c r="AE45" s="1399"/>
      <c r="AF45" s="1399"/>
      <c r="AG45" s="1350">
        <f t="shared" si="18"/>
        <v>90</v>
      </c>
      <c r="AH45" s="1350"/>
      <c r="AI45" s="1368" t="s">
        <v>426</v>
      </c>
      <c r="AJ45" s="1357"/>
      <c r="AK45" s="1333"/>
    </row>
    <row r="46" spans="1:37" s="1334" customFormat="1" ht="31.5" x14ac:dyDescent="0.25">
      <c r="A46" s="1368">
        <v>10</v>
      </c>
      <c r="B46" s="1367" t="s">
        <v>1662</v>
      </c>
      <c r="C46" s="1368" t="s">
        <v>1814</v>
      </c>
      <c r="D46" s="1370">
        <v>3050</v>
      </c>
      <c r="E46" s="1370">
        <v>2432.4</v>
      </c>
      <c r="F46" s="1369"/>
      <c r="G46" s="1369"/>
      <c r="H46" s="1370"/>
      <c r="I46" s="1370"/>
      <c r="J46" s="1395"/>
      <c r="K46" s="1395"/>
      <c r="L46" s="1370">
        <v>1000</v>
      </c>
      <c r="M46" s="1370">
        <v>1000</v>
      </c>
      <c r="N46" s="1395"/>
      <c r="O46" s="1395"/>
      <c r="P46" s="1350"/>
      <c r="Q46" s="1350"/>
      <c r="R46" s="1395"/>
      <c r="S46" s="1395"/>
      <c r="T46" s="1350">
        <f t="shared" si="4"/>
        <v>1000</v>
      </c>
      <c r="U46" s="1350">
        <f t="shared" si="5"/>
        <v>1000</v>
      </c>
      <c r="V46" s="1370">
        <v>2745.9</v>
      </c>
      <c r="W46" s="1370">
        <v>2189</v>
      </c>
      <c r="X46" s="1350"/>
      <c r="Y46" s="1350"/>
      <c r="Z46" s="1350">
        <f t="shared" ref="Z46:AA61" si="19">H46+L46+P46</f>
        <v>1000</v>
      </c>
      <c r="AA46" s="1350">
        <f t="shared" si="19"/>
        <v>1000</v>
      </c>
      <c r="AB46" s="1350">
        <f t="shared" si="7"/>
        <v>1189</v>
      </c>
      <c r="AC46" s="1350">
        <f t="shared" si="17"/>
        <v>1189</v>
      </c>
      <c r="AD46" s="1350">
        <f t="shared" si="17"/>
        <v>1189</v>
      </c>
      <c r="AE46" s="1395"/>
      <c r="AF46" s="1395"/>
      <c r="AG46" s="1350">
        <f t="shared" si="18"/>
        <v>89.993422134517346</v>
      </c>
      <c r="AH46" s="1350"/>
      <c r="AI46" s="1368" t="s">
        <v>424</v>
      </c>
      <c r="AJ46" s="1357"/>
      <c r="AK46" s="1333"/>
    </row>
    <row r="47" spans="1:37" s="1334" customFormat="1" ht="31.5" x14ac:dyDescent="0.25">
      <c r="A47" s="1368">
        <v>11</v>
      </c>
      <c r="B47" s="1367" t="s">
        <v>1197</v>
      </c>
      <c r="C47" s="1368"/>
      <c r="D47" s="1370">
        <v>5819</v>
      </c>
      <c r="E47" s="1370">
        <v>4639</v>
      </c>
      <c r="F47" s="1369"/>
      <c r="G47" s="1369"/>
      <c r="H47" s="1370"/>
      <c r="I47" s="1370"/>
      <c r="J47" s="1395"/>
      <c r="K47" s="1395"/>
      <c r="L47" s="1370">
        <v>1620</v>
      </c>
      <c r="M47" s="1370">
        <v>1620</v>
      </c>
      <c r="N47" s="1395"/>
      <c r="O47" s="1395"/>
      <c r="P47" s="1350">
        <v>1200</v>
      </c>
      <c r="Q47" s="1350">
        <v>1200</v>
      </c>
      <c r="R47" s="1395"/>
      <c r="S47" s="1395"/>
      <c r="T47" s="1350">
        <f t="shared" si="4"/>
        <v>2820</v>
      </c>
      <c r="U47" s="1350">
        <f t="shared" si="5"/>
        <v>2820</v>
      </c>
      <c r="V47" s="1370">
        <v>5237.1000000000004</v>
      </c>
      <c r="W47" s="1370">
        <v>4175</v>
      </c>
      <c r="X47" s="1350"/>
      <c r="Y47" s="1350"/>
      <c r="Z47" s="1350">
        <f t="shared" si="19"/>
        <v>2820</v>
      </c>
      <c r="AA47" s="1350">
        <f t="shared" si="19"/>
        <v>2820</v>
      </c>
      <c r="AB47" s="1350">
        <f t="shared" si="7"/>
        <v>1355</v>
      </c>
      <c r="AC47" s="1350">
        <f t="shared" si="17"/>
        <v>1355</v>
      </c>
      <c r="AD47" s="1350">
        <f t="shared" si="17"/>
        <v>1355</v>
      </c>
      <c r="AE47" s="1395"/>
      <c r="AF47" s="1395"/>
      <c r="AG47" s="1350">
        <f t="shared" si="18"/>
        <v>89.997844363009278</v>
      </c>
      <c r="AH47" s="1350"/>
      <c r="AI47" s="1368" t="s">
        <v>423</v>
      </c>
      <c r="AJ47" s="1357"/>
      <c r="AK47" s="1333"/>
    </row>
    <row r="48" spans="1:37" s="1334" customFormat="1" ht="31.5" x14ac:dyDescent="0.25">
      <c r="A48" s="1368">
        <v>12</v>
      </c>
      <c r="B48" s="1367" t="s">
        <v>1198</v>
      </c>
      <c r="C48" s="1368" t="s">
        <v>1199</v>
      </c>
      <c r="D48" s="1370">
        <v>9560</v>
      </c>
      <c r="E48" s="1370">
        <v>7621</v>
      </c>
      <c r="F48" s="1369"/>
      <c r="G48" s="1369"/>
      <c r="H48" s="1370"/>
      <c r="I48" s="1370"/>
      <c r="J48" s="1397"/>
      <c r="K48" s="1397"/>
      <c r="L48" s="1370">
        <v>3810.5</v>
      </c>
      <c r="M48" s="1370">
        <v>3810.5</v>
      </c>
      <c r="N48" s="1397"/>
      <c r="O48" s="1397"/>
      <c r="P48" s="1350">
        <v>1500</v>
      </c>
      <c r="Q48" s="1350">
        <v>1500</v>
      </c>
      <c r="R48" s="1395"/>
      <c r="S48" s="1395"/>
      <c r="T48" s="1350">
        <f t="shared" si="4"/>
        <v>5310.5</v>
      </c>
      <c r="U48" s="1350">
        <f t="shared" si="5"/>
        <v>5310.5</v>
      </c>
      <c r="V48" s="1370">
        <v>8604</v>
      </c>
      <c r="W48" s="1370">
        <v>6858.9000000000005</v>
      </c>
      <c r="X48" s="1350"/>
      <c r="Y48" s="1350"/>
      <c r="Z48" s="1350">
        <f t="shared" si="19"/>
        <v>5310.5</v>
      </c>
      <c r="AA48" s="1350">
        <f t="shared" si="19"/>
        <v>5310.5</v>
      </c>
      <c r="AB48" s="1350">
        <f t="shared" si="7"/>
        <v>1548.4000000000005</v>
      </c>
      <c r="AC48" s="1350">
        <f t="shared" si="17"/>
        <v>1548.4000000000005</v>
      </c>
      <c r="AD48" s="1350">
        <f t="shared" si="17"/>
        <v>1548.4000000000005</v>
      </c>
      <c r="AE48" s="1395"/>
      <c r="AF48" s="1395"/>
      <c r="AG48" s="1350">
        <f t="shared" si="18"/>
        <v>90</v>
      </c>
      <c r="AH48" s="1350"/>
      <c r="AI48" s="1368" t="s">
        <v>422</v>
      </c>
      <c r="AJ48" s="1357"/>
      <c r="AK48" s="1333"/>
    </row>
    <row r="49" spans="1:37" s="1334" customFormat="1" ht="31.5" x14ac:dyDescent="0.25">
      <c r="A49" s="1368">
        <v>13</v>
      </c>
      <c r="B49" s="1367" t="s">
        <v>1200</v>
      </c>
      <c r="C49" s="1368" t="s">
        <v>1201</v>
      </c>
      <c r="D49" s="1397">
        <v>6000</v>
      </c>
      <c r="E49" s="1397">
        <v>6000</v>
      </c>
      <c r="F49" s="1369"/>
      <c r="G49" s="1369"/>
      <c r="H49" s="1370"/>
      <c r="I49" s="1370"/>
      <c r="J49" s="1402"/>
      <c r="K49" s="1402"/>
      <c r="L49" s="1397">
        <v>3152</v>
      </c>
      <c r="M49" s="1397">
        <v>3152</v>
      </c>
      <c r="N49" s="1402"/>
      <c r="O49" s="1402"/>
      <c r="P49" s="1350">
        <v>1000</v>
      </c>
      <c r="Q49" s="1350">
        <v>1000</v>
      </c>
      <c r="R49" s="1399"/>
      <c r="S49" s="1399"/>
      <c r="T49" s="1350">
        <f t="shared" si="4"/>
        <v>4152</v>
      </c>
      <c r="U49" s="1350">
        <f t="shared" si="5"/>
        <v>4152</v>
      </c>
      <c r="V49" s="1370">
        <v>5400</v>
      </c>
      <c r="W49" s="1370">
        <v>5400</v>
      </c>
      <c r="X49" s="1399"/>
      <c r="Y49" s="1399"/>
      <c r="Z49" s="1350">
        <f t="shared" si="19"/>
        <v>4152</v>
      </c>
      <c r="AA49" s="1350">
        <f t="shared" si="19"/>
        <v>4152</v>
      </c>
      <c r="AB49" s="1350">
        <f t="shared" si="7"/>
        <v>1248</v>
      </c>
      <c r="AC49" s="1350">
        <f t="shared" si="17"/>
        <v>1248</v>
      </c>
      <c r="AD49" s="1350">
        <f t="shared" si="17"/>
        <v>1248</v>
      </c>
      <c r="AE49" s="1399"/>
      <c r="AF49" s="1399"/>
      <c r="AG49" s="1350">
        <f t="shared" si="18"/>
        <v>90</v>
      </c>
      <c r="AH49" s="1350"/>
      <c r="AI49" s="1368" t="s">
        <v>954</v>
      </c>
      <c r="AJ49" s="1357"/>
      <c r="AK49" s="1333"/>
    </row>
    <row r="50" spans="1:37" s="1334" customFormat="1" ht="31.5" x14ac:dyDescent="0.25">
      <c r="A50" s="1368">
        <v>14</v>
      </c>
      <c r="B50" s="1367" t="s">
        <v>1660</v>
      </c>
      <c r="C50" s="1368" t="s">
        <v>1815</v>
      </c>
      <c r="D50" s="1397">
        <v>8535</v>
      </c>
      <c r="E50" s="1397">
        <v>3341</v>
      </c>
      <c r="F50" s="1369"/>
      <c r="G50" s="1369"/>
      <c r="H50" s="1370"/>
      <c r="I50" s="1370"/>
      <c r="J50" s="1395"/>
      <c r="K50" s="1395"/>
      <c r="L50" s="1397">
        <v>2000</v>
      </c>
      <c r="M50" s="1397">
        <v>2000</v>
      </c>
      <c r="N50" s="1395"/>
      <c r="O50" s="1395"/>
      <c r="P50" s="1350"/>
      <c r="Q50" s="1350"/>
      <c r="R50" s="1395"/>
      <c r="S50" s="1395"/>
      <c r="T50" s="1350">
        <f t="shared" si="4"/>
        <v>2000</v>
      </c>
      <c r="U50" s="1350">
        <f t="shared" si="5"/>
        <v>2000</v>
      </c>
      <c r="V50" s="1370">
        <v>7684.2</v>
      </c>
      <c r="W50" s="1370">
        <v>3006.9</v>
      </c>
      <c r="X50" s="1350"/>
      <c r="Y50" s="1350"/>
      <c r="Z50" s="1350">
        <f t="shared" si="19"/>
        <v>2000</v>
      </c>
      <c r="AA50" s="1350">
        <f t="shared" si="19"/>
        <v>2000</v>
      </c>
      <c r="AB50" s="1350">
        <f t="shared" si="7"/>
        <v>1006.9000000000001</v>
      </c>
      <c r="AC50" s="1350">
        <f>AB50</f>
        <v>1006.9000000000001</v>
      </c>
      <c r="AD50" s="1350">
        <f>AC50</f>
        <v>1006.9000000000001</v>
      </c>
      <c r="AE50" s="1395"/>
      <c r="AF50" s="1395"/>
      <c r="AG50" s="1350">
        <f t="shared" si="18"/>
        <v>90</v>
      </c>
      <c r="AH50" s="1350"/>
      <c r="AI50" s="1368" t="s">
        <v>425</v>
      </c>
      <c r="AJ50" s="1357"/>
      <c r="AK50" s="1333"/>
    </row>
    <row r="51" spans="1:37" s="1334" customFormat="1" ht="21" x14ac:dyDescent="0.25">
      <c r="A51" s="1368">
        <v>15</v>
      </c>
      <c r="B51" s="1367" t="s">
        <v>1663</v>
      </c>
      <c r="C51" s="1368" t="s">
        <v>1816</v>
      </c>
      <c r="D51" s="1397">
        <v>5690</v>
      </c>
      <c r="E51" s="1397">
        <v>5690</v>
      </c>
      <c r="F51" s="1369"/>
      <c r="G51" s="1369"/>
      <c r="H51" s="1370"/>
      <c r="I51" s="1370"/>
      <c r="J51" s="1395"/>
      <c r="K51" s="1395"/>
      <c r="L51" s="1397">
        <v>3248</v>
      </c>
      <c r="M51" s="1397">
        <v>3248</v>
      </c>
      <c r="N51" s="1395"/>
      <c r="O51" s="1395"/>
      <c r="P51" s="1350"/>
      <c r="Q51" s="1350"/>
      <c r="R51" s="1395"/>
      <c r="S51" s="1395"/>
      <c r="T51" s="1350">
        <f t="shared" si="4"/>
        <v>3248</v>
      </c>
      <c r="U51" s="1350">
        <f t="shared" si="5"/>
        <v>3248</v>
      </c>
      <c r="V51" s="1370">
        <v>5130</v>
      </c>
      <c r="W51" s="1370">
        <v>5130</v>
      </c>
      <c r="X51" s="1350"/>
      <c r="Y51" s="1350"/>
      <c r="Z51" s="1350">
        <f t="shared" si="19"/>
        <v>3248</v>
      </c>
      <c r="AA51" s="1350">
        <f t="shared" si="19"/>
        <v>3248</v>
      </c>
      <c r="AB51" s="1350">
        <f t="shared" si="7"/>
        <v>1882</v>
      </c>
      <c r="AC51" s="1350">
        <f>AB51</f>
        <v>1882</v>
      </c>
      <c r="AD51" s="1350">
        <f>AC51</f>
        <v>1882</v>
      </c>
      <c r="AE51" s="1395"/>
      <c r="AF51" s="1395"/>
      <c r="AG51" s="1350">
        <f t="shared" si="18"/>
        <v>90.158172231985944</v>
      </c>
      <c r="AH51" s="1350"/>
      <c r="AI51" s="1368" t="s">
        <v>424</v>
      </c>
      <c r="AJ51" s="1357"/>
      <c r="AK51" s="1333"/>
    </row>
    <row r="52" spans="1:37" s="1354" customFormat="1" ht="10.5" x14ac:dyDescent="0.25">
      <c r="A52" s="1358" t="s">
        <v>445</v>
      </c>
      <c r="B52" s="1361" t="s">
        <v>1817</v>
      </c>
      <c r="C52" s="1352"/>
      <c r="D52" s="1348">
        <f>SUM(D53:D61)</f>
        <v>56363</v>
      </c>
      <c r="E52" s="1348">
        <f t="shared" ref="E52:AF52" si="20">SUM(E53:E61)</f>
        <v>40522</v>
      </c>
      <c r="F52" s="1348">
        <f t="shared" si="20"/>
        <v>0</v>
      </c>
      <c r="G52" s="1348">
        <f t="shared" si="20"/>
        <v>0</v>
      </c>
      <c r="H52" s="1348">
        <f t="shared" si="20"/>
        <v>0</v>
      </c>
      <c r="I52" s="1348">
        <f t="shared" si="20"/>
        <v>0</v>
      </c>
      <c r="J52" s="1348">
        <f t="shared" si="20"/>
        <v>0</v>
      </c>
      <c r="K52" s="1348">
        <f t="shared" si="20"/>
        <v>0</v>
      </c>
      <c r="L52" s="1348">
        <f t="shared" si="20"/>
        <v>400</v>
      </c>
      <c r="M52" s="1348">
        <f t="shared" si="20"/>
        <v>400</v>
      </c>
      <c r="N52" s="1348">
        <f t="shared" si="20"/>
        <v>0</v>
      </c>
      <c r="O52" s="1348">
        <f t="shared" si="20"/>
        <v>0</v>
      </c>
      <c r="P52" s="1348">
        <f t="shared" si="20"/>
        <v>13000</v>
      </c>
      <c r="Q52" s="1348">
        <f t="shared" si="20"/>
        <v>13000</v>
      </c>
      <c r="R52" s="1348">
        <f t="shared" si="20"/>
        <v>0</v>
      </c>
      <c r="S52" s="1348">
        <f t="shared" si="20"/>
        <v>0</v>
      </c>
      <c r="T52" s="1348">
        <f t="shared" si="20"/>
        <v>13400</v>
      </c>
      <c r="U52" s="1348">
        <f t="shared" si="20"/>
        <v>13400</v>
      </c>
      <c r="V52" s="1348">
        <f t="shared" si="20"/>
        <v>51939</v>
      </c>
      <c r="W52" s="1348">
        <f t="shared" si="20"/>
        <v>37160.1</v>
      </c>
      <c r="X52" s="1348">
        <f t="shared" si="20"/>
        <v>0</v>
      </c>
      <c r="Y52" s="1348">
        <f t="shared" si="20"/>
        <v>0</v>
      </c>
      <c r="Z52" s="1348">
        <f t="shared" si="20"/>
        <v>13400</v>
      </c>
      <c r="AA52" s="1348">
        <f t="shared" si="20"/>
        <v>13400</v>
      </c>
      <c r="AB52" s="1348">
        <f t="shared" si="20"/>
        <v>23760.1</v>
      </c>
      <c r="AC52" s="1348">
        <f t="shared" si="20"/>
        <v>23197.800000000003</v>
      </c>
      <c r="AD52" s="1348">
        <f t="shared" si="20"/>
        <v>23197.800000000003</v>
      </c>
      <c r="AE52" s="1348">
        <f t="shared" si="20"/>
        <v>0</v>
      </c>
      <c r="AF52" s="1348">
        <f t="shared" si="20"/>
        <v>0</v>
      </c>
      <c r="AG52" s="1350"/>
      <c r="AH52" s="1350"/>
      <c r="AI52" s="1380"/>
      <c r="AJ52" s="1357"/>
      <c r="AK52" s="1353">
        <v>1</v>
      </c>
    </row>
    <row r="53" spans="1:37" s="1334" customFormat="1" ht="31.5" x14ac:dyDescent="0.25">
      <c r="A53" s="1357">
        <v>1</v>
      </c>
      <c r="B53" s="1367" t="s">
        <v>970</v>
      </c>
      <c r="C53" s="1368" t="s">
        <v>1202</v>
      </c>
      <c r="D53" s="1397">
        <v>1800</v>
      </c>
      <c r="E53" s="1397">
        <v>1800</v>
      </c>
      <c r="F53" s="1369"/>
      <c r="G53" s="1369"/>
      <c r="H53" s="1370"/>
      <c r="I53" s="1370"/>
      <c r="J53" s="1397"/>
      <c r="K53" s="1397"/>
      <c r="L53" s="1397"/>
      <c r="M53" s="1397"/>
      <c r="N53" s="1397"/>
      <c r="O53" s="1397"/>
      <c r="P53" s="1395">
        <v>600</v>
      </c>
      <c r="Q53" s="1395">
        <v>600</v>
      </c>
      <c r="R53" s="1395"/>
      <c r="S53" s="1395"/>
      <c r="T53" s="1350">
        <f t="shared" si="4"/>
        <v>600</v>
      </c>
      <c r="U53" s="1350">
        <f t="shared" si="5"/>
        <v>600</v>
      </c>
      <c r="V53" s="1370">
        <v>1620</v>
      </c>
      <c r="W53" s="1370">
        <v>1620</v>
      </c>
      <c r="X53" s="1350"/>
      <c r="Y53" s="1350"/>
      <c r="Z53" s="1350">
        <f t="shared" si="19"/>
        <v>600</v>
      </c>
      <c r="AA53" s="1350">
        <f t="shared" si="19"/>
        <v>600</v>
      </c>
      <c r="AB53" s="1350">
        <f t="shared" si="7"/>
        <v>1020</v>
      </c>
      <c r="AC53" s="1395">
        <f>E53*0.9-U53</f>
        <v>1020</v>
      </c>
      <c r="AD53" s="1395">
        <f>AC53</f>
        <v>1020</v>
      </c>
      <c r="AE53" s="1395"/>
      <c r="AF53" s="1395"/>
      <c r="AG53" s="1350">
        <f t="shared" ref="AG53:AG61" si="21">(AD53+U53)/E53*100</f>
        <v>90</v>
      </c>
      <c r="AH53" s="1350"/>
      <c r="AI53" s="1368" t="s">
        <v>424</v>
      </c>
      <c r="AJ53" s="1403"/>
      <c r="AK53" s="1333"/>
    </row>
    <row r="54" spans="1:37" s="1334" customFormat="1" ht="31.5" x14ac:dyDescent="0.25">
      <c r="A54" s="1357">
        <v>2</v>
      </c>
      <c r="B54" s="1404" t="s">
        <v>973</v>
      </c>
      <c r="C54" s="1368" t="s">
        <v>1203</v>
      </c>
      <c r="D54" s="1404">
        <v>9200</v>
      </c>
      <c r="E54" s="1404">
        <v>5500</v>
      </c>
      <c r="F54" s="1369"/>
      <c r="G54" s="1369"/>
      <c r="H54" s="1370"/>
      <c r="I54" s="1370"/>
      <c r="J54" s="1397"/>
      <c r="K54" s="1397"/>
      <c r="L54" s="1397"/>
      <c r="M54" s="1397"/>
      <c r="N54" s="1397"/>
      <c r="O54" s="1397"/>
      <c r="P54" s="1395">
        <v>1800</v>
      </c>
      <c r="Q54" s="1395">
        <v>1800</v>
      </c>
      <c r="R54" s="1395"/>
      <c r="S54" s="1395"/>
      <c r="T54" s="1350">
        <f t="shared" si="4"/>
        <v>1800</v>
      </c>
      <c r="U54" s="1350">
        <f t="shared" si="5"/>
        <v>1800</v>
      </c>
      <c r="V54" s="1370">
        <v>8280</v>
      </c>
      <c r="W54" s="1370">
        <v>4950</v>
      </c>
      <c r="X54" s="1350"/>
      <c r="Y54" s="1350"/>
      <c r="Z54" s="1350">
        <f t="shared" si="19"/>
        <v>1800</v>
      </c>
      <c r="AA54" s="1350">
        <f t="shared" si="19"/>
        <v>1800</v>
      </c>
      <c r="AB54" s="1350">
        <f t="shared" si="7"/>
        <v>3150</v>
      </c>
      <c r="AC54" s="1395">
        <f t="shared" ref="AC54:AC61" si="22">E54*0.9-U54</f>
        <v>3150</v>
      </c>
      <c r="AD54" s="1395">
        <f t="shared" ref="AD54:AD61" si="23">AC54</f>
        <v>3150</v>
      </c>
      <c r="AE54" s="1395"/>
      <c r="AF54" s="1395"/>
      <c r="AG54" s="1350">
        <f t="shared" si="21"/>
        <v>90</v>
      </c>
      <c r="AH54" s="1350"/>
      <c r="AI54" s="1368" t="s">
        <v>422</v>
      </c>
      <c r="AJ54" s="1405"/>
      <c r="AK54" s="1333"/>
    </row>
    <row r="55" spans="1:37" s="1334" customFormat="1" ht="31.5" x14ac:dyDescent="0.25">
      <c r="A55" s="1357">
        <v>3</v>
      </c>
      <c r="B55" s="1404" t="s">
        <v>974</v>
      </c>
      <c r="C55" s="1368" t="s">
        <v>1204</v>
      </c>
      <c r="D55" s="1404">
        <v>4000</v>
      </c>
      <c r="E55" s="1404">
        <v>2000</v>
      </c>
      <c r="F55" s="1369"/>
      <c r="G55" s="1369"/>
      <c r="H55" s="1370"/>
      <c r="I55" s="1370"/>
      <c r="J55" s="1385"/>
      <c r="K55" s="1385"/>
      <c r="L55" s="1397"/>
      <c r="M55" s="1397"/>
      <c r="N55" s="1385"/>
      <c r="O55" s="1385"/>
      <c r="P55" s="1395">
        <v>700</v>
      </c>
      <c r="Q55" s="1395">
        <v>700</v>
      </c>
      <c r="R55" s="1350"/>
      <c r="S55" s="1350"/>
      <c r="T55" s="1350">
        <f t="shared" si="4"/>
        <v>700</v>
      </c>
      <c r="U55" s="1350">
        <f t="shared" si="5"/>
        <v>700</v>
      </c>
      <c r="V55" s="1370">
        <v>3600</v>
      </c>
      <c r="W55" s="1370">
        <v>1800</v>
      </c>
      <c r="X55" s="1350"/>
      <c r="Y55" s="1350"/>
      <c r="Z55" s="1350">
        <f t="shared" si="19"/>
        <v>700</v>
      </c>
      <c r="AA55" s="1350">
        <f t="shared" si="19"/>
        <v>700</v>
      </c>
      <c r="AB55" s="1350">
        <f t="shared" si="7"/>
        <v>1100</v>
      </c>
      <c r="AC55" s="1395">
        <f t="shared" si="22"/>
        <v>1100</v>
      </c>
      <c r="AD55" s="1395">
        <f t="shared" si="23"/>
        <v>1100</v>
      </c>
      <c r="AE55" s="1350"/>
      <c r="AF55" s="1350"/>
      <c r="AG55" s="1350">
        <f t="shared" si="21"/>
        <v>90</v>
      </c>
      <c r="AH55" s="1350"/>
      <c r="AI55" s="1368" t="s">
        <v>422</v>
      </c>
      <c r="AJ55" s="1357"/>
      <c r="AK55" s="1333"/>
    </row>
    <row r="56" spans="1:37" s="1334" customFormat="1" ht="31.5" x14ac:dyDescent="0.25">
      <c r="A56" s="1357">
        <v>4</v>
      </c>
      <c r="B56" s="1404" t="s">
        <v>965</v>
      </c>
      <c r="C56" s="1368" t="s">
        <v>1205</v>
      </c>
      <c r="D56" s="1397">
        <v>7853</v>
      </c>
      <c r="E56" s="1397">
        <v>7500</v>
      </c>
      <c r="F56" s="1369"/>
      <c r="G56" s="1369"/>
      <c r="H56" s="1370"/>
      <c r="I56" s="1370"/>
      <c r="J56" s="1348"/>
      <c r="K56" s="1348"/>
      <c r="L56" s="1397"/>
      <c r="M56" s="1397"/>
      <c r="N56" s="1348"/>
      <c r="O56" s="1348"/>
      <c r="P56" s="1395">
        <v>2500</v>
      </c>
      <c r="Q56" s="1395">
        <v>2500</v>
      </c>
      <c r="R56" s="1350"/>
      <c r="S56" s="1350"/>
      <c r="T56" s="1350">
        <f t="shared" si="4"/>
        <v>2500</v>
      </c>
      <c r="U56" s="1350">
        <f t="shared" si="5"/>
        <v>2500</v>
      </c>
      <c r="V56" s="1370">
        <v>7589.7</v>
      </c>
      <c r="W56" s="1370">
        <v>6750</v>
      </c>
      <c r="X56" s="1350"/>
      <c r="Y56" s="1350"/>
      <c r="Z56" s="1350">
        <f t="shared" si="19"/>
        <v>2500</v>
      </c>
      <c r="AA56" s="1350">
        <f t="shared" si="19"/>
        <v>2500</v>
      </c>
      <c r="AB56" s="1350">
        <f t="shared" si="7"/>
        <v>4250</v>
      </c>
      <c r="AC56" s="1395">
        <f t="shared" si="22"/>
        <v>4250</v>
      </c>
      <c r="AD56" s="1395">
        <f t="shared" si="23"/>
        <v>4250</v>
      </c>
      <c r="AE56" s="1350"/>
      <c r="AF56" s="1350"/>
      <c r="AG56" s="1350">
        <f t="shared" si="21"/>
        <v>90</v>
      </c>
      <c r="AH56" s="1350"/>
      <c r="AI56" s="1368" t="s">
        <v>426</v>
      </c>
      <c r="AJ56" s="1357"/>
      <c r="AK56" s="1333"/>
    </row>
    <row r="57" spans="1:37" s="1334" customFormat="1" ht="31.5" x14ac:dyDescent="0.25">
      <c r="A57" s="1357">
        <v>5</v>
      </c>
      <c r="B57" s="1404" t="s">
        <v>1206</v>
      </c>
      <c r="C57" s="1368" t="s">
        <v>1818</v>
      </c>
      <c r="D57" s="1397">
        <v>6903</v>
      </c>
      <c r="E57" s="1397">
        <v>6903</v>
      </c>
      <c r="F57" s="1369"/>
      <c r="G57" s="1369"/>
      <c r="H57" s="1370"/>
      <c r="I57" s="1370"/>
      <c r="J57" s="1383"/>
      <c r="K57" s="1383"/>
      <c r="L57" s="1397"/>
      <c r="M57" s="1397"/>
      <c r="N57" s="1383"/>
      <c r="O57" s="1383"/>
      <c r="P57" s="1395">
        <v>2500</v>
      </c>
      <c r="Q57" s="1395">
        <v>2500</v>
      </c>
      <c r="R57" s="1350"/>
      <c r="S57" s="1350"/>
      <c r="T57" s="1350">
        <f t="shared" si="4"/>
        <v>2500</v>
      </c>
      <c r="U57" s="1350">
        <f t="shared" si="5"/>
        <v>2500</v>
      </c>
      <c r="V57" s="1370">
        <v>6903</v>
      </c>
      <c r="W57" s="1370">
        <v>6903</v>
      </c>
      <c r="X57" s="1350"/>
      <c r="Y57" s="1350"/>
      <c r="Z57" s="1350">
        <f t="shared" si="19"/>
        <v>2500</v>
      </c>
      <c r="AA57" s="1350">
        <f t="shared" si="19"/>
        <v>2500</v>
      </c>
      <c r="AB57" s="1350">
        <f t="shared" si="7"/>
        <v>4403</v>
      </c>
      <c r="AC57" s="1395">
        <f>E57*0.9-U57+128</f>
        <v>3840.7</v>
      </c>
      <c r="AD57" s="1395">
        <f>AC57</f>
        <v>3840.7</v>
      </c>
      <c r="AE57" s="1350"/>
      <c r="AF57" s="1350"/>
      <c r="AG57" s="1350">
        <f t="shared" si="21"/>
        <v>91.854266261045922</v>
      </c>
      <c r="AH57" s="1350"/>
      <c r="AI57" s="1368" t="s">
        <v>423</v>
      </c>
      <c r="AJ57" s="1382"/>
      <c r="AK57" s="1333"/>
    </row>
    <row r="58" spans="1:37" s="1334" customFormat="1" ht="21" x14ac:dyDescent="0.25">
      <c r="A58" s="1357">
        <v>6</v>
      </c>
      <c r="B58" s="1404" t="s">
        <v>964</v>
      </c>
      <c r="C58" s="1368"/>
      <c r="D58" s="1397">
        <v>1500</v>
      </c>
      <c r="E58" s="1397">
        <v>1500</v>
      </c>
      <c r="F58" s="1369"/>
      <c r="G58" s="1369"/>
      <c r="H58" s="1370"/>
      <c r="I58" s="1370"/>
      <c r="J58" s="1395"/>
      <c r="K58" s="1395"/>
      <c r="L58" s="1397"/>
      <c r="M58" s="1397"/>
      <c r="N58" s="1395"/>
      <c r="O58" s="1395"/>
      <c r="P58" s="1395">
        <v>500</v>
      </c>
      <c r="Q58" s="1395">
        <v>500</v>
      </c>
      <c r="R58" s="1395"/>
      <c r="S58" s="1395"/>
      <c r="T58" s="1350">
        <f t="shared" si="4"/>
        <v>500</v>
      </c>
      <c r="U58" s="1350">
        <f t="shared" si="5"/>
        <v>500</v>
      </c>
      <c r="V58" s="1370">
        <v>1350</v>
      </c>
      <c r="W58" s="1370">
        <v>1350</v>
      </c>
      <c r="X58" s="1350"/>
      <c r="Y58" s="1350"/>
      <c r="Z58" s="1350">
        <f t="shared" si="19"/>
        <v>500</v>
      </c>
      <c r="AA58" s="1350">
        <f t="shared" si="19"/>
        <v>500</v>
      </c>
      <c r="AB58" s="1350">
        <f t="shared" si="7"/>
        <v>850</v>
      </c>
      <c r="AC58" s="1395">
        <f t="shared" si="22"/>
        <v>850</v>
      </c>
      <c r="AD58" s="1395">
        <f t="shared" si="23"/>
        <v>850</v>
      </c>
      <c r="AE58" s="1395"/>
      <c r="AF58" s="1395"/>
      <c r="AG58" s="1350">
        <f t="shared" si="21"/>
        <v>90</v>
      </c>
      <c r="AH58" s="1350"/>
      <c r="AI58" s="1368" t="s">
        <v>954</v>
      </c>
      <c r="AJ58" s="1357"/>
      <c r="AK58" s="1333"/>
    </row>
    <row r="59" spans="1:37" s="1334" customFormat="1" ht="21" x14ac:dyDescent="0.25">
      <c r="A59" s="1357">
        <v>7</v>
      </c>
      <c r="B59" s="1404" t="s">
        <v>968</v>
      </c>
      <c r="C59" s="1368"/>
      <c r="D59" s="1397">
        <v>7189</v>
      </c>
      <c r="E59" s="1397">
        <v>2000</v>
      </c>
      <c r="F59" s="1369"/>
      <c r="G59" s="1369"/>
      <c r="H59" s="1370"/>
      <c r="I59" s="1370"/>
      <c r="J59" s="1406"/>
      <c r="K59" s="1406"/>
      <c r="L59" s="1397"/>
      <c r="M59" s="1397"/>
      <c r="N59" s="1406"/>
      <c r="O59" s="1406"/>
      <c r="P59" s="1395">
        <v>700</v>
      </c>
      <c r="Q59" s="1395">
        <v>700</v>
      </c>
      <c r="R59" s="1350"/>
      <c r="S59" s="1350"/>
      <c r="T59" s="1350">
        <f t="shared" si="4"/>
        <v>700</v>
      </c>
      <c r="U59" s="1350">
        <f t="shared" si="5"/>
        <v>700</v>
      </c>
      <c r="V59" s="1370">
        <v>6470.1</v>
      </c>
      <c r="W59" s="1370">
        <v>1800</v>
      </c>
      <c r="X59" s="1350"/>
      <c r="Y59" s="1350"/>
      <c r="Z59" s="1350">
        <f t="shared" si="19"/>
        <v>700</v>
      </c>
      <c r="AA59" s="1350">
        <f t="shared" si="19"/>
        <v>700</v>
      </c>
      <c r="AB59" s="1350">
        <f t="shared" si="7"/>
        <v>1100</v>
      </c>
      <c r="AC59" s="1395">
        <f t="shared" si="22"/>
        <v>1100</v>
      </c>
      <c r="AD59" s="1395">
        <f t="shared" si="23"/>
        <v>1100</v>
      </c>
      <c r="AE59" s="1350"/>
      <c r="AF59" s="1350"/>
      <c r="AG59" s="1350">
        <f t="shared" si="21"/>
        <v>90</v>
      </c>
      <c r="AH59" s="1350"/>
      <c r="AI59" s="1368" t="s">
        <v>425</v>
      </c>
      <c r="AJ59" s="1407"/>
      <c r="AK59" s="1333"/>
    </row>
    <row r="60" spans="1:37" s="1334" customFormat="1" ht="21" x14ac:dyDescent="0.25">
      <c r="A60" s="1357">
        <v>8</v>
      </c>
      <c r="B60" s="1404" t="s">
        <v>969</v>
      </c>
      <c r="C60" s="1368"/>
      <c r="D60" s="1397">
        <v>6599</v>
      </c>
      <c r="E60" s="1397">
        <v>2000</v>
      </c>
      <c r="F60" s="1369"/>
      <c r="G60" s="1369"/>
      <c r="H60" s="1370"/>
      <c r="I60" s="1370"/>
      <c r="J60" s="1348"/>
      <c r="K60" s="1348"/>
      <c r="L60" s="1397"/>
      <c r="M60" s="1397"/>
      <c r="N60" s="1348"/>
      <c r="O60" s="1348"/>
      <c r="P60" s="1395">
        <v>700</v>
      </c>
      <c r="Q60" s="1395">
        <v>700</v>
      </c>
      <c r="R60" s="1350"/>
      <c r="S60" s="1350"/>
      <c r="T60" s="1350">
        <f t="shared" si="4"/>
        <v>700</v>
      </c>
      <c r="U60" s="1350">
        <f t="shared" si="5"/>
        <v>700</v>
      </c>
      <c r="V60" s="1370">
        <v>5939.1</v>
      </c>
      <c r="W60" s="1370">
        <v>1800</v>
      </c>
      <c r="X60" s="1350"/>
      <c r="Y60" s="1350"/>
      <c r="Z60" s="1350">
        <f t="shared" si="19"/>
        <v>700</v>
      </c>
      <c r="AA60" s="1350">
        <f t="shared" si="19"/>
        <v>700</v>
      </c>
      <c r="AB60" s="1350">
        <f t="shared" si="7"/>
        <v>1100</v>
      </c>
      <c r="AC60" s="1395">
        <f t="shared" si="22"/>
        <v>1100</v>
      </c>
      <c r="AD60" s="1395">
        <f t="shared" si="23"/>
        <v>1100</v>
      </c>
      <c r="AE60" s="1350"/>
      <c r="AF60" s="1350"/>
      <c r="AG60" s="1350">
        <f t="shared" si="21"/>
        <v>90</v>
      </c>
      <c r="AH60" s="1350"/>
      <c r="AI60" s="1368" t="s">
        <v>425</v>
      </c>
      <c r="AJ60" s="1358"/>
      <c r="AK60" s="1333"/>
    </row>
    <row r="61" spans="1:37" s="1334" customFormat="1" ht="21" x14ac:dyDescent="0.25">
      <c r="A61" s="1357">
        <v>9</v>
      </c>
      <c r="B61" s="1367" t="s">
        <v>979</v>
      </c>
      <c r="C61" s="1368"/>
      <c r="D61" s="1370">
        <v>11319</v>
      </c>
      <c r="E61" s="1370">
        <v>11319</v>
      </c>
      <c r="F61" s="1369"/>
      <c r="G61" s="1369"/>
      <c r="H61" s="1370"/>
      <c r="I61" s="1370"/>
      <c r="J61" s="1383"/>
      <c r="K61" s="1383"/>
      <c r="L61" s="1370">
        <v>400</v>
      </c>
      <c r="M61" s="1370">
        <v>400</v>
      </c>
      <c r="N61" s="1383"/>
      <c r="O61" s="1383"/>
      <c r="P61" s="1395">
        <v>3000</v>
      </c>
      <c r="Q61" s="1395">
        <v>3000</v>
      </c>
      <c r="R61" s="1350"/>
      <c r="S61" s="1350"/>
      <c r="T61" s="1350">
        <f t="shared" si="4"/>
        <v>3400</v>
      </c>
      <c r="U61" s="1350">
        <f t="shared" si="5"/>
        <v>3400</v>
      </c>
      <c r="V61" s="1370">
        <v>10187.1</v>
      </c>
      <c r="W61" s="1370">
        <v>10187.1</v>
      </c>
      <c r="X61" s="1350"/>
      <c r="Y61" s="1350"/>
      <c r="Z61" s="1350">
        <f t="shared" si="19"/>
        <v>3400</v>
      </c>
      <c r="AA61" s="1350">
        <f t="shared" si="19"/>
        <v>3400</v>
      </c>
      <c r="AB61" s="1350">
        <f t="shared" si="7"/>
        <v>6787.1</v>
      </c>
      <c r="AC61" s="1395">
        <f t="shared" si="22"/>
        <v>6787.1</v>
      </c>
      <c r="AD61" s="1395">
        <f t="shared" si="23"/>
        <v>6787.1</v>
      </c>
      <c r="AE61" s="1350"/>
      <c r="AF61" s="1350"/>
      <c r="AG61" s="1350">
        <f t="shared" si="21"/>
        <v>90</v>
      </c>
      <c r="AH61" s="1350"/>
      <c r="AI61" s="1368" t="s">
        <v>427</v>
      </c>
      <c r="AJ61" s="1408"/>
      <c r="AK61" s="1333"/>
    </row>
    <row r="62" spans="1:37" s="1334" customFormat="1" ht="10.5" x14ac:dyDescent="0.25">
      <c r="A62" s="1358" t="s">
        <v>17</v>
      </c>
      <c r="B62" s="1359" t="s">
        <v>1207</v>
      </c>
      <c r="C62" s="1358"/>
      <c r="D62" s="1348">
        <f t="shared" ref="D62:AF62" si="24">D63+D133</f>
        <v>4351605.8631250001</v>
      </c>
      <c r="E62" s="1348">
        <f t="shared" si="24"/>
        <v>875251.87006599992</v>
      </c>
      <c r="F62" s="1348">
        <f t="shared" si="24"/>
        <v>2537857.0810000002</v>
      </c>
      <c r="G62" s="1348">
        <f t="shared" si="24"/>
        <v>196111</v>
      </c>
      <c r="H62" s="1348">
        <f t="shared" si="24"/>
        <v>316457</v>
      </c>
      <c r="I62" s="1348">
        <f t="shared" si="24"/>
        <v>70220</v>
      </c>
      <c r="J62" s="1348">
        <f t="shared" si="24"/>
        <v>2000</v>
      </c>
      <c r="K62" s="1348">
        <f t="shared" si="24"/>
        <v>20145</v>
      </c>
      <c r="L62" s="1348">
        <f t="shared" si="24"/>
        <v>249961</v>
      </c>
      <c r="M62" s="1348">
        <f t="shared" si="24"/>
        <v>106625</v>
      </c>
      <c r="N62" s="1348">
        <f t="shared" si="24"/>
        <v>0</v>
      </c>
      <c r="O62" s="1348">
        <f t="shared" si="24"/>
        <v>10836</v>
      </c>
      <c r="P62" s="1348">
        <f t="shared" si="24"/>
        <v>200481</v>
      </c>
      <c r="Q62" s="1348">
        <f t="shared" si="24"/>
        <v>200481</v>
      </c>
      <c r="R62" s="1348">
        <f t="shared" si="24"/>
        <v>1999.7000000000003</v>
      </c>
      <c r="S62" s="1348">
        <f t="shared" si="24"/>
        <v>21027</v>
      </c>
      <c r="T62" s="1348">
        <f t="shared" si="24"/>
        <v>3090292.0810000002</v>
      </c>
      <c r="U62" s="1348">
        <f t="shared" si="24"/>
        <v>360972.7</v>
      </c>
      <c r="V62" s="1348">
        <f t="shared" si="24"/>
        <v>1689556.1546139999</v>
      </c>
      <c r="W62" s="1348">
        <f t="shared" si="24"/>
        <v>684401.40261400002</v>
      </c>
      <c r="X62" s="1348">
        <f t="shared" si="24"/>
        <v>0</v>
      </c>
      <c r="Y62" s="1348">
        <f t="shared" si="24"/>
        <v>102121</v>
      </c>
      <c r="Z62" s="1348">
        <f t="shared" si="24"/>
        <v>766899</v>
      </c>
      <c r="AA62" s="1348">
        <f t="shared" si="24"/>
        <v>377326</v>
      </c>
      <c r="AB62" s="1348">
        <f t="shared" si="24"/>
        <v>307075.40261400002</v>
      </c>
      <c r="AC62" s="1348">
        <f t="shared" si="24"/>
        <v>282589.40261400002</v>
      </c>
      <c r="AD62" s="1348">
        <f t="shared" si="24"/>
        <v>281959.40261400002</v>
      </c>
      <c r="AE62" s="1348">
        <f t="shared" si="24"/>
        <v>0</v>
      </c>
      <c r="AF62" s="1348">
        <f t="shared" si="24"/>
        <v>43217</v>
      </c>
      <c r="AG62" s="1350"/>
      <c r="AH62" s="1350"/>
      <c r="AI62" s="1409"/>
      <c r="AJ62" s="1357"/>
      <c r="AK62" s="1333">
        <v>1</v>
      </c>
    </row>
    <row r="63" spans="1:37" s="1334" customFormat="1" ht="21" x14ac:dyDescent="0.25">
      <c r="A63" s="1410" t="s">
        <v>1819</v>
      </c>
      <c r="B63" s="1411" t="s">
        <v>1208</v>
      </c>
      <c r="C63" s="1410"/>
      <c r="D63" s="1412">
        <f t="shared" ref="D63:AF63" si="25">D64+D65+D123+D132</f>
        <v>4351605.8631250001</v>
      </c>
      <c r="E63" s="1412">
        <f t="shared" si="25"/>
        <v>875251.87006599992</v>
      </c>
      <c r="F63" s="1412">
        <f t="shared" si="25"/>
        <v>2537857.0810000002</v>
      </c>
      <c r="G63" s="1412">
        <f t="shared" si="25"/>
        <v>196111</v>
      </c>
      <c r="H63" s="1412">
        <f t="shared" si="25"/>
        <v>258326</v>
      </c>
      <c r="I63" s="1412">
        <f t="shared" si="25"/>
        <v>12089</v>
      </c>
      <c r="J63" s="1412">
        <f t="shared" si="25"/>
        <v>2000</v>
      </c>
      <c r="K63" s="1412">
        <f t="shared" si="25"/>
        <v>2720</v>
      </c>
      <c r="L63" s="1412">
        <f t="shared" si="25"/>
        <v>176772</v>
      </c>
      <c r="M63" s="1412">
        <f t="shared" si="25"/>
        <v>33436</v>
      </c>
      <c r="N63" s="1412">
        <f t="shared" si="25"/>
        <v>0</v>
      </c>
      <c r="O63" s="1412">
        <f t="shared" si="25"/>
        <v>0</v>
      </c>
      <c r="P63" s="1412">
        <f t="shared" si="25"/>
        <v>117337</v>
      </c>
      <c r="Q63" s="1412">
        <f t="shared" si="25"/>
        <v>117337</v>
      </c>
      <c r="R63" s="1412">
        <f t="shared" si="25"/>
        <v>1999.7000000000003</v>
      </c>
      <c r="S63" s="1412">
        <f t="shared" si="25"/>
        <v>21027</v>
      </c>
      <c r="T63" s="1412">
        <f t="shared" si="25"/>
        <v>3090292.0810000002</v>
      </c>
      <c r="U63" s="1412">
        <f t="shared" si="25"/>
        <v>360972.7</v>
      </c>
      <c r="V63" s="1412">
        <f t="shared" si="25"/>
        <v>1370978.1546139999</v>
      </c>
      <c r="W63" s="1412">
        <f t="shared" si="25"/>
        <v>365823.40261399996</v>
      </c>
      <c r="X63" s="1412">
        <f t="shared" si="25"/>
        <v>0</v>
      </c>
      <c r="Y63" s="1412">
        <f t="shared" si="25"/>
        <v>66964</v>
      </c>
      <c r="Z63" s="1412">
        <f t="shared" si="25"/>
        <v>552435</v>
      </c>
      <c r="AA63" s="1412">
        <f t="shared" si="25"/>
        <v>162862</v>
      </c>
      <c r="AB63" s="1412">
        <f t="shared" si="25"/>
        <v>202961.40261399999</v>
      </c>
      <c r="AC63" s="1412">
        <f t="shared" si="25"/>
        <v>197812.40261399999</v>
      </c>
      <c r="AD63" s="1412">
        <f t="shared" si="25"/>
        <v>197812.40261399999</v>
      </c>
      <c r="AE63" s="1412">
        <f t="shared" si="25"/>
        <v>0</v>
      </c>
      <c r="AF63" s="1412">
        <f t="shared" si="25"/>
        <v>43217</v>
      </c>
      <c r="AG63" s="1350"/>
      <c r="AH63" s="1350"/>
      <c r="AI63" s="1410"/>
      <c r="AJ63" s="1357"/>
      <c r="AK63" s="1333">
        <v>1</v>
      </c>
    </row>
    <row r="64" spans="1:37" s="1334" customFormat="1" ht="21" x14ac:dyDescent="0.25">
      <c r="A64" s="1413">
        <v>1</v>
      </c>
      <c r="B64" s="1414" t="s">
        <v>1209</v>
      </c>
      <c r="C64" s="1413"/>
      <c r="D64" s="1415">
        <f>'[5]PB ĐƯ CĐNS'!D10</f>
        <v>568474</v>
      </c>
      <c r="E64" s="1415">
        <f>'[5]PB ĐƯ CĐNS'!E10</f>
        <v>133527</v>
      </c>
      <c r="F64" s="1415">
        <f>'[5]PB ĐƯ CĐNS'!F10</f>
        <v>115388</v>
      </c>
      <c r="G64" s="1415">
        <f>'[5]PB ĐƯ CĐNS'!G10</f>
        <v>1100</v>
      </c>
      <c r="H64" s="1415">
        <f>'[5]PB ĐƯ CĐNS'!H10</f>
        <v>102046</v>
      </c>
      <c r="I64" s="1415">
        <f>'[5]PB ĐƯ CĐNS'!I10</f>
        <v>4500</v>
      </c>
      <c r="J64" s="1415">
        <f>'[5]PB ĐƯ CĐNS'!J10</f>
        <v>0</v>
      </c>
      <c r="K64" s="1415">
        <f>'[5]PB ĐƯ CĐNS'!K10</f>
        <v>0</v>
      </c>
      <c r="L64" s="1415">
        <f>'[5]PB ĐƯ CĐNS'!L10</f>
        <v>146513</v>
      </c>
      <c r="M64" s="1415">
        <f>'[5]PB ĐƯ CĐNS'!M10</f>
        <v>9300</v>
      </c>
      <c r="N64" s="1415">
        <f>'[5]PB ĐƯ CĐNS'!N10</f>
        <v>0</v>
      </c>
      <c r="O64" s="1415">
        <f>'[5]PB ĐƯ CĐNS'!O10</f>
        <v>0</v>
      </c>
      <c r="P64" s="1415">
        <f>'[5]PB ĐƯ CĐNS'!P10</f>
        <v>52047</v>
      </c>
      <c r="Q64" s="1415">
        <f>'[5]PB ĐƯ CĐNS'!Q10</f>
        <v>52047</v>
      </c>
      <c r="R64" s="1415">
        <f>'[5]PB ĐƯ CĐNS'!R10</f>
        <v>0</v>
      </c>
      <c r="S64" s="1415">
        <f>'[5]PB ĐƯ CĐNS'!S10</f>
        <v>0</v>
      </c>
      <c r="T64" s="1415">
        <f>'[5]PB ĐƯ CĐNS'!T10</f>
        <v>415994</v>
      </c>
      <c r="U64" s="1415">
        <f>'[5]PB ĐƯ CĐNS'!U10</f>
        <v>66947</v>
      </c>
      <c r="V64" s="1415">
        <f>'[5]PB ĐƯ CĐNS'!V10</f>
        <v>852394</v>
      </c>
      <c r="W64" s="1415">
        <f>'[5]PB ĐƯ CĐNS'!W10</f>
        <v>124352</v>
      </c>
      <c r="X64" s="1415">
        <f>'[5]PB ĐƯ CĐNS'!X10</f>
        <v>0</v>
      </c>
      <c r="Y64" s="1415">
        <f>'[5]PB ĐƯ CĐNS'!Y10</f>
        <v>0</v>
      </c>
      <c r="Z64" s="1415">
        <f>'[5]PB ĐƯ CĐNS'!Z10</f>
        <v>300606</v>
      </c>
      <c r="AA64" s="1415">
        <f>'[5]PB ĐƯ CĐNS'!AA10</f>
        <v>65847</v>
      </c>
      <c r="AB64" s="1415">
        <f>'[5]PB ĐƯ CĐNS'!AB10</f>
        <v>58505</v>
      </c>
      <c r="AC64" s="1415">
        <f>'[5]PB ĐƯ CĐNS'!AD10</f>
        <v>57026</v>
      </c>
      <c r="AD64" s="1415">
        <f>'[5]PB ĐƯ CĐNS'!AE10</f>
        <v>57026</v>
      </c>
      <c r="AE64" s="1415">
        <f>'[5]PB ĐƯ CĐNS'!AF10</f>
        <v>0</v>
      </c>
      <c r="AF64" s="1415">
        <f>'[5]PB ĐƯ CĐNS'!AG10</f>
        <v>0</v>
      </c>
      <c r="AG64" s="1350"/>
      <c r="AH64" s="1350"/>
      <c r="AI64" s="1355"/>
      <c r="AJ64" s="1357"/>
      <c r="AK64" s="1333">
        <v>1</v>
      </c>
    </row>
    <row r="65" spans="1:37" s="1354" customFormat="1" ht="21" x14ac:dyDescent="0.25">
      <c r="A65" s="1358" t="s">
        <v>146</v>
      </c>
      <c r="B65" s="1361" t="s">
        <v>1794</v>
      </c>
      <c r="C65" s="1352"/>
      <c r="D65" s="1349">
        <f t="shared" ref="D65:AF65" si="26">D66+D104</f>
        <v>3117381.4631249998</v>
      </c>
      <c r="E65" s="1349">
        <f t="shared" si="26"/>
        <v>590092.37006599992</v>
      </c>
      <c r="F65" s="1349">
        <f t="shared" si="26"/>
        <v>2359029.0810000002</v>
      </c>
      <c r="G65" s="1349">
        <f t="shared" si="26"/>
        <v>173537</v>
      </c>
      <c r="H65" s="1349">
        <f t="shared" si="26"/>
        <v>155280</v>
      </c>
      <c r="I65" s="1349">
        <f t="shared" si="26"/>
        <v>6589</v>
      </c>
      <c r="J65" s="1349">
        <f t="shared" si="26"/>
        <v>2000</v>
      </c>
      <c r="K65" s="1349">
        <f t="shared" si="26"/>
        <v>2720</v>
      </c>
      <c r="L65" s="1349">
        <f t="shared" si="26"/>
        <v>22668</v>
      </c>
      <c r="M65" s="1349">
        <f t="shared" si="26"/>
        <v>16545</v>
      </c>
      <c r="N65" s="1349">
        <f t="shared" si="26"/>
        <v>0</v>
      </c>
      <c r="O65" s="1349">
        <f t="shared" si="26"/>
        <v>0</v>
      </c>
      <c r="P65" s="1349">
        <f t="shared" si="26"/>
        <v>44192</v>
      </c>
      <c r="Q65" s="1349">
        <f t="shared" si="26"/>
        <v>44192</v>
      </c>
      <c r="R65" s="1349">
        <f t="shared" si="26"/>
        <v>1999.7000000000003</v>
      </c>
      <c r="S65" s="1349">
        <f t="shared" si="26"/>
        <v>21027</v>
      </c>
      <c r="T65" s="1349">
        <f t="shared" si="26"/>
        <v>2581169.0810000002</v>
      </c>
      <c r="U65" s="1349">
        <f t="shared" si="26"/>
        <v>242862.7</v>
      </c>
      <c r="V65" s="1349">
        <f t="shared" si="26"/>
        <v>410008.00461399998</v>
      </c>
      <c r="W65" s="1349">
        <f t="shared" si="26"/>
        <v>163668.352614</v>
      </c>
      <c r="X65" s="1349">
        <f t="shared" si="26"/>
        <v>0</v>
      </c>
      <c r="Y65" s="1349">
        <f t="shared" si="26"/>
        <v>60168</v>
      </c>
      <c r="Z65" s="1349">
        <f t="shared" si="26"/>
        <v>222140</v>
      </c>
      <c r="AA65" s="1349">
        <f t="shared" si="26"/>
        <v>67326</v>
      </c>
      <c r="AB65" s="1349">
        <f t="shared" si="26"/>
        <v>96342.352614000003</v>
      </c>
      <c r="AC65" s="1349">
        <f t="shared" si="26"/>
        <v>94163.352614000003</v>
      </c>
      <c r="AD65" s="1349">
        <f t="shared" si="26"/>
        <v>94163.352614000003</v>
      </c>
      <c r="AE65" s="1348">
        <f t="shared" si="26"/>
        <v>0</v>
      </c>
      <c r="AF65" s="1348">
        <f t="shared" si="26"/>
        <v>36421</v>
      </c>
      <c r="AG65" s="1350"/>
      <c r="AH65" s="1350"/>
      <c r="AI65" s="1380"/>
      <c r="AJ65" s="1357"/>
      <c r="AK65" s="1353">
        <v>1</v>
      </c>
    </row>
    <row r="66" spans="1:37" s="1334" customFormat="1" ht="18" x14ac:dyDescent="0.25">
      <c r="A66" s="1416" t="s">
        <v>438</v>
      </c>
      <c r="B66" s="1417" t="s">
        <v>1194</v>
      </c>
      <c r="C66" s="1416"/>
      <c r="D66" s="1418">
        <f t="shared" ref="D66:AF66" si="27">SUM(D67:D103)</f>
        <v>1924260.405125</v>
      </c>
      <c r="E66" s="1418">
        <f t="shared" si="27"/>
        <v>389764.37006599992</v>
      </c>
      <c r="F66" s="1418">
        <f t="shared" si="27"/>
        <v>1480540.081</v>
      </c>
      <c r="G66" s="1418">
        <f t="shared" si="27"/>
        <v>138422</v>
      </c>
      <c r="H66" s="1418">
        <f t="shared" si="27"/>
        <v>3520</v>
      </c>
      <c r="I66" s="1418">
        <f t="shared" si="27"/>
        <v>3520</v>
      </c>
      <c r="J66" s="1418">
        <f t="shared" si="27"/>
        <v>0</v>
      </c>
      <c r="K66" s="1418">
        <f t="shared" si="27"/>
        <v>2720</v>
      </c>
      <c r="L66" s="1418">
        <f t="shared" si="27"/>
        <v>14733</v>
      </c>
      <c r="M66" s="1418">
        <f t="shared" si="27"/>
        <v>13233</v>
      </c>
      <c r="N66" s="1418">
        <f t="shared" si="27"/>
        <v>0</v>
      </c>
      <c r="O66" s="1418">
        <f t="shared" si="27"/>
        <v>0</v>
      </c>
      <c r="P66" s="1418">
        <f t="shared" si="27"/>
        <v>24500</v>
      </c>
      <c r="Q66" s="1418">
        <f t="shared" si="27"/>
        <v>24500</v>
      </c>
      <c r="R66" s="1418">
        <f t="shared" si="27"/>
        <v>0</v>
      </c>
      <c r="S66" s="1418">
        <f t="shared" si="27"/>
        <v>20000</v>
      </c>
      <c r="T66" s="1418">
        <f t="shared" si="27"/>
        <v>1523293.081</v>
      </c>
      <c r="U66" s="1418">
        <f t="shared" si="27"/>
        <v>179675</v>
      </c>
      <c r="V66" s="1418">
        <f t="shared" si="27"/>
        <v>200420.494614</v>
      </c>
      <c r="W66" s="1418">
        <f t="shared" si="27"/>
        <v>102394.84261400001</v>
      </c>
      <c r="X66" s="1418">
        <f t="shared" si="27"/>
        <v>0</v>
      </c>
      <c r="Y66" s="1418">
        <f t="shared" si="27"/>
        <v>56149</v>
      </c>
      <c r="Z66" s="1418">
        <f t="shared" si="27"/>
        <v>42753</v>
      </c>
      <c r="AA66" s="1418">
        <f t="shared" si="27"/>
        <v>41253</v>
      </c>
      <c r="AB66" s="1418">
        <f t="shared" si="27"/>
        <v>61141.842614000008</v>
      </c>
      <c r="AC66" s="1418">
        <f t="shared" si="27"/>
        <v>59513.842614000008</v>
      </c>
      <c r="AD66" s="1418">
        <f t="shared" si="27"/>
        <v>59513.842614000008</v>
      </c>
      <c r="AE66" s="1418">
        <f t="shared" si="27"/>
        <v>0</v>
      </c>
      <c r="AF66" s="1418">
        <f t="shared" si="27"/>
        <v>33429</v>
      </c>
      <c r="AG66" s="1350"/>
      <c r="AH66" s="1350"/>
      <c r="AI66" s="1416"/>
      <c r="AJ66" s="1357"/>
      <c r="AK66" s="1333">
        <v>1</v>
      </c>
    </row>
    <row r="67" spans="1:37" s="1334" customFormat="1" ht="31.5" x14ac:dyDescent="0.25">
      <c r="A67" s="1368">
        <v>1</v>
      </c>
      <c r="B67" s="1419" t="s">
        <v>1720</v>
      </c>
      <c r="C67" s="1368" t="s">
        <v>1820</v>
      </c>
      <c r="D67" s="1370">
        <v>1216</v>
      </c>
      <c r="E67" s="1370">
        <v>1216</v>
      </c>
      <c r="F67" s="1369">
        <v>871</v>
      </c>
      <c r="G67" s="1369">
        <v>871</v>
      </c>
      <c r="H67" s="1370"/>
      <c r="I67" s="1370"/>
      <c r="J67" s="1397"/>
      <c r="K67" s="1397"/>
      <c r="L67" s="1370">
        <v>322</v>
      </c>
      <c r="M67" s="1370">
        <v>322</v>
      </c>
      <c r="N67" s="1397"/>
      <c r="O67" s="1397"/>
      <c r="P67" s="1395"/>
      <c r="Q67" s="1395"/>
      <c r="R67" s="1395"/>
      <c r="S67" s="1395"/>
      <c r="T67" s="1350">
        <f t="shared" ref="T67:T130" si="28">F67+H67+L67+P67</f>
        <v>1193</v>
      </c>
      <c r="U67" s="1350">
        <f t="shared" ref="U67:U130" si="29">G67+I67+M67+Q67+R67</f>
        <v>1193</v>
      </c>
      <c r="V67" s="1370">
        <v>346</v>
      </c>
      <c r="W67" s="1370">
        <v>346</v>
      </c>
      <c r="X67" s="1395"/>
      <c r="Y67" s="1395"/>
      <c r="Z67" s="1350">
        <f t="shared" ref="Z67:AA107" si="30">H67+L67+P67</f>
        <v>322</v>
      </c>
      <c r="AA67" s="1350">
        <f t="shared" si="30"/>
        <v>322</v>
      </c>
      <c r="AB67" s="1350">
        <f t="shared" ref="AB67:AB130" si="31">W67-AA67</f>
        <v>24</v>
      </c>
      <c r="AC67" s="1395">
        <v>24</v>
      </c>
      <c r="AD67" s="1395">
        <v>24</v>
      </c>
      <c r="AE67" s="1395"/>
      <c r="AF67" s="1395"/>
      <c r="AG67" s="1350">
        <v>100</v>
      </c>
      <c r="AH67" s="1350"/>
      <c r="AI67" s="1368" t="s">
        <v>423</v>
      </c>
      <c r="AJ67" s="1357"/>
      <c r="AK67" s="1333"/>
    </row>
    <row r="68" spans="1:37" s="1334" customFormat="1" ht="31.5" x14ac:dyDescent="0.25">
      <c r="A68" s="1368">
        <v>2</v>
      </c>
      <c r="B68" s="1367" t="s">
        <v>1771</v>
      </c>
      <c r="C68" s="1357" t="s">
        <v>1821</v>
      </c>
      <c r="D68" s="1369">
        <v>33841</v>
      </c>
      <c r="E68" s="1369"/>
      <c r="F68" s="1369">
        <v>31526</v>
      </c>
      <c r="G68" s="1369"/>
      <c r="H68" s="1370"/>
      <c r="I68" s="1370"/>
      <c r="J68" s="1397"/>
      <c r="K68" s="1397"/>
      <c r="L68" s="1370">
        <v>0</v>
      </c>
      <c r="M68" s="1370">
        <v>0</v>
      </c>
      <c r="N68" s="1397"/>
      <c r="O68" s="1397"/>
      <c r="P68" s="1395"/>
      <c r="Q68" s="1395"/>
      <c r="R68" s="1395"/>
      <c r="S68" s="1395"/>
      <c r="T68" s="1350">
        <f t="shared" si="28"/>
        <v>31526</v>
      </c>
      <c r="U68" s="1350">
        <f t="shared" si="29"/>
        <v>0</v>
      </c>
      <c r="V68" s="1370">
        <v>196</v>
      </c>
      <c r="W68" s="1370">
        <v>196</v>
      </c>
      <c r="X68" s="1395"/>
      <c r="Y68" s="1395"/>
      <c r="Z68" s="1350">
        <f t="shared" si="30"/>
        <v>0</v>
      </c>
      <c r="AA68" s="1350">
        <f t="shared" si="30"/>
        <v>0</v>
      </c>
      <c r="AB68" s="1350">
        <f t="shared" si="31"/>
        <v>196</v>
      </c>
      <c r="AC68" s="1395">
        <v>196</v>
      </c>
      <c r="AD68" s="1395">
        <v>196</v>
      </c>
      <c r="AE68" s="1395"/>
      <c r="AF68" s="1395"/>
      <c r="AG68" s="1350">
        <v>100</v>
      </c>
      <c r="AH68" s="1350"/>
      <c r="AI68" s="1368" t="s">
        <v>420</v>
      </c>
      <c r="AJ68" s="1357"/>
      <c r="AK68" s="1333"/>
    </row>
    <row r="69" spans="1:37" s="1334" customFormat="1" ht="31.5" x14ac:dyDescent="0.25">
      <c r="A69" s="1368">
        <v>3</v>
      </c>
      <c r="B69" s="1367" t="s">
        <v>1757</v>
      </c>
      <c r="C69" s="1368" t="s">
        <v>1822</v>
      </c>
      <c r="D69" s="1370">
        <v>6533.3</v>
      </c>
      <c r="E69" s="1370">
        <v>3000</v>
      </c>
      <c r="F69" s="1369">
        <v>2971</v>
      </c>
      <c r="G69" s="1369">
        <v>2971</v>
      </c>
      <c r="H69" s="1370"/>
      <c r="I69" s="1370"/>
      <c r="J69" s="1397"/>
      <c r="K69" s="1397"/>
      <c r="L69" s="1370"/>
      <c r="M69" s="1370"/>
      <c r="N69" s="1397"/>
      <c r="O69" s="1397"/>
      <c r="P69" s="1395"/>
      <c r="Q69" s="1395"/>
      <c r="R69" s="1395"/>
      <c r="S69" s="1395"/>
      <c r="T69" s="1350">
        <f t="shared" si="28"/>
        <v>2971</v>
      </c>
      <c r="U69" s="1350">
        <f t="shared" si="29"/>
        <v>2971</v>
      </c>
      <c r="V69" s="1370">
        <v>20</v>
      </c>
      <c r="W69" s="1370">
        <v>20</v>
      </c>
      <c r="X69" s="1395"/>
      <c r="Y69" s="1395"/>
      <c r="Z69" s="1350">
        <f t="shared" si="30"/>
        <v>0</v>
      </c>
      <c r="AA69" s="1350">
        <f t="shared" si="30"/>
        <v>0</v>
      </c>
      <c r="AB69" s="1350">
        <f t="shared" si="31"/>
        <v>20</v>
      </c>
      <c r="AC69" s="1395">
        <v>20</v>
      </c>
      <c r="AD69" s="1395">
        <v>20</v>
      </c>
      <c r="AE69" s="1395"/>
      <c r="AF69" s="1395"/>
      <c r="AG69" s="1350">
        <v>100</v>
      </c>
      <c r="AH69" s="1350"/>
      <c r="AI69" s="1368" t="s">
        <v>1009</v>
      </c>
      <c r="AJ69" s="1357"/>
      <c r="AK69" s="1333"/>
    </row>
    <row r="70" spans="1:37" s="1334" customFormat="1" ht="21" x14ac:dyDescent="0.25">
      <c r="A70" s="1368">
        <v>4</v>
      </c>
      <c r="B70" s="1397" t="s">
        <v>1755</v>
      </c>
      <c r="C70" s="1368" t="s">
        <v>1823</v>
      </c>
      <c r="D70" s="1374">
        <v>4721.3124520000001</v>
      </c>
      <c r="E70" s="1374">
        <f>D70</f>
        <v>4721.3124520000001</v>
      </c>
      <c r="F70" s="1369">
        <v>2518</v>
      </c>
      <c r="G70" s="1369">
        <v>2518</v>
      </c>
      <c r="H70" s="1370"/>
      <c r="I70" s="1370"/>
      <c r="J70" s="1397"/>
      <c r="K70" s="1397"/>
      <c r="L70" s="1370"/>
      <c r="M70" s="1370"/>
      <c r="N70" s="1397"/>
      <c r="O70" s="1397"/>
      <c r="P70" s="1395"/>
      <c r="Q70" s="1395"/>
      <c r="R70" s="1395"/>
      <c r="S70" s="1395"/>
      <c r="T70" s="1350">
        <f t="shared" si="28"/>
        <v>2518</v>
      </c>
      <c r="U70" s="1350">
        <f t="shared" si="29"/>
        <v>2518</v>
      </c>
      <c r="V70" s="1397">
        <v>156</v>
      </c>
      <c r="W70" s="1397">
        <v>156</v>
      </c>
      <c r="X70" s="1395"/>
      <c r="Y70" s="1395"/>
      <c r="Z70" s="1350">
        <f t="shared" si="30"/>
        <v>0</v>
      </c>
      <c r="AA70" s="1350">
        <f t="shared" si="30"/>
        <v>0</v>
      </c>
      <c r="AB70" s="1350">
        <f t="shared" si="31"/>
        <v>156</v>
      </c>
      <c r="AC70" s="1395">
        <v>156</v>
      </c>
      <c r="AD70" s="1395">
        <v>156</v>
      </c>
      <c r="AE70" s="1395"/>
      <c r="AF70" s="1395"/>
      <c r="AG70" s="1350">
        <v>100</v>
      </c>
      <c r="AH70" s="1350"/>
      <c r="AI70" s="1357" t="s">
        <v>421</v>
      </c>
      <c r="AJ70" s="1357"/>
      <c r="AK70" s="1333"/>
    </row>
    <row r="71" spans="1:37" s="1334" customFormat="1" ht="21" x14ac:dyDescent="0.25">
      <c r="A71" s="1368">
        <v>5</v>
      </c>
      <c r="B71" s="1367" t="s">
        <v>1772</v>
      </c>
      <c r="C71" s="1357" t="s">
        <v>1824</v>
      </c>
      <c r="D71" s="1370">
        <v>34041</v>
      </c>
      <c r="E71" s="1370"/>
      <c r="F71" s="1369">
        <v>30352</v>
      </c>
      <c r="G71" s="1369">
        <v>30352</v>
      </c>
      <c r="H71" s="1370"/>
      <c r="I71" s="1370"/>
      <c r="J71" s="1397"/>
      <c r="K71" s="1397"/>
      <c r="L71" s="1370"/>
      <c r="M71" s="1370"/>
      <c r="N71" s="1397"/>
      <c r="O71" s="1397"/>
      <c r="P71" s="1395"/>
      <c r="Q71" s="1395"/>
      <c r="R71" s="1395"/>
      <c r="S71" s="1395"/>
      <c r="T71" s="1350">
        <f t="shared" si="28"/>
        <v>30352</v>
      </c>
      <c r="U71" s="1350">
        <f t="shared" si="29"/>
        <v>30352</v>
      </c>
      <c r="V71" s="1397">
        <v>439</v>
      </c>
      <c r="W71" s="1397">
        <v>439</v>
      </c>
      <c r="X71" s="1395"/>
      <c r="Y71" s="1395"/>
      <c r="Z71" s="1350">
        <f t="shared" si="30"/>
        <v>0</v>
      </c>
      <c r="AA71" s="1350">
        <f t="shared" si="30"/>
        <v>0</v>
      </c>
      <c r="AB71" s="1350">
        <f t="shared" si="31"/>
        <v>439</v>
      </c>
      <c r="AC71" s="1395">
        <v>439</v>
      </c>
      <c r="AD71" s="1395">
        <v>439</v>
      </c>
      <c r="AE71" s="1395"/>
      <c r="AF71" s="1395"/>
      <c r="AG71" s="1350">
        <v>100</v>
      </c>
      <c r="AH71" s="1350"/>
      <c r="AI71" s="1368" t="s">
        <v>421</v>
      </c>
      <c r="AJ71" s="1357"/>
      <c r="AK71" s="1333"/>
    </row>
    <row r="72" spans="1:37" s="1334" customFormat="1" ht="31.5" x14ac:dyDescent="0.25">
      <c r="A72" s="1368">
        <v>6</v>
      </c>
      <c r="B72" s="1367" t="s">
        <v>1632</v>
      </c>
      <c r="C72" s="1368" t="s">
        <v>1825</v>
      </c>
      <c r="D72" s="1420">
        <v>31300</v>
      </c>
      <c r="E72" s="1420">
        <v>31300</v>
      </c>
      <c r="F72" s="1369">
        <f>18034+3050</f>
        <v>21084</v>
      </c>
      <c r="G72" s="1369">
        <f>18034+3050</f>
        <v>21084</v>
      </c>
      <c r="H72" s="1370"/>
      <c r="I72" s="1370"/>
      <c r="J72" s="1397"/>
      <c r="K72" s="1397"/>
      <c r="L72" s="1370"/>
      <c r="M72" s="1370"/>
      <c r="N72" s="1397"/>
      <c r="O72" s="1397"/>
      <c r="P72" s="1395"/>
      <c r="Q72" s="1395"/>
      <c r="R72" s="1395"/>
      <c r="S72" s="1395"/>
      <c r="T72" s="1350">
        <f t="shared" si="28"/>
        <v>21084</v>
      </c>
      <c r="U72" s="1350">
        <f t="shared" si="29"/>
        <v>21084</v>
      </c>
      <c r="V72" s="1370">
        <v>255</v>
      </c>
      <c r="W72" s="1370">
        <v>255</v>
      </c>
      <c r="X72" s="1395"/>
      <c r="Y72" s="1395"/>
      <c r="Z72" s="1350">
        <f t="shared" si="30"/>
        <v>0</v>
      </c>
      <c r="AA72" s="1350">
        <f t="shared" si="30"/>
        <v>0</v>
      </c>
      <c r="AB72" s="1350">
        <f t="shared" si="31"/>
        <v>255</v>
      </c>
      <c r="AC72" s="1395">
        <v>255</v>
      </c>
      <c r="AD72" s="1395">
        <v>255</v>
      </c>
      <c r="AE72" s="1395"/>
      <c r="AF72" s="1395"/>
      <c r="AG72" s="1350">
        <v>100</v>
      </c>
      <c r="AH72" s="1350"/>
      <c r="AI72" s="1368" t="s">
        <v>418</v>
      </c>
      <c r="AJ72" s="1357"/>
      <c r="AK72" s="1333"/>
    </row>
    <row r="73" spans="1:37" s="1334" customFormat="1" ht="21" x14ac:dyDescent="0.25">
      <c r="A73" s="1368">
        <v>7</v>
      </c>
      <c r="B73" s="1367" t="s">
        <v>1633</v>
      </c>
      <c r="C73" s="1368" t="s">
        <v>1826</v>
      </c>
      <c r="D73" s="1420">
        <v>39607.699999999997</v>
      </c>
      <c r="E73" s="1420">
        <f>9187+8983</f>
        <v>18170</v>
      </c>
      <c r="F73" s="1369">
        <v>9832</v>
      </c>
      <c r="G73" s="1369">
        <v>9832</v>
      </c>
      <c r="H73" s="1370"/>
      <c r="I73" s="1370"/>
      <c r="J73" s="1397"/>
      <c r="K73" s="1397"/>
      <c r="L73" s="1370"/>
      <c r="M73" s="1370"/>
      <c r="N73" s="1397"/>
      <c r="O73" s="1397"/>
      <c r="P73" s="1395"/>
      <c r="Q73" s="1395"/>
      <c r="R73" s="1395"/>
      <c r="S73" s="1395"/>
      <c r="T73" s="1350">
        <f t="shared" si="28"/>
        <v>9832</v>
      </c>
      <c r="U73" s="1350">
        <f t="shared" si="29"/>
        <v>9832</v>
      </c>
      <c r="V73" s="1370">
        <v>231</v>
      </c>
      <c r="W73" s="1370">
        <v>231</v>
      </c>
      <c r="X73" s="1395"/>
      <c r="Y73" s="1395"/>
      <c r="Z73" s="1350">
        <f t="shared" si="30"/>
        <v>0</v>
      </c>
      <c r="AA73" s="1350">
        <f t="shared" si="30"/>
        <v>0</v>
      </c>
      <c r="AB73" s="1350">
        <f t="shared" si="31"/>
        <v>231</v>
      </c>
      <c r="AC73" s="1395">
        <v>231</v>
      </c>
      <c r="AD73" s="1395">
        <v>231</v>
      </c>
      <c r="AE73" s="1395"/>
      <c r="AF73" s="1395"/>
      <c r="AG73" s="1350">
        <v>100</v>
      </c>
      <c r="AH73" s="1350"/>
      <c r="AI73" s="1368" t="s">
        <v>418</v>
      </c>
      <c r="AJ73" s="1357"/>
      <c r="AK73" s="1333"/>
    </row>
    <row r="74" spans="1:37" s="1334" customFormat="1" ht="21" x14ac:dyDescent="0.25">
      <c r="A74" s="1368">
        <v>8</v>
      </c>
      <c r="B74" s="1367" t="s">
        <v>1634</v>
      </c>
      <c r="C74" s="1357" t="s">
        <v>1827</v>
      </c>
      <c r="D74" s="1420">
        <v>28317</v>
      </c>
      <c r="E74" s="1420">
        <v>28317</v>
      </c>
      <c r="F74" s="1369">
        <v>23645</v>
      </c>
      <c r="G74" s="1369">
        <v>23645</v>
      </c>
      <c r="H74" s="1370"/>
      <c r="I74" s="1370"/>
      <c r="J74" s="1397"/>
      <c r="K74" s="1397"/>
      <c r="L74" s="1370"/>
      <c r="M74" s="1370"/>
      <c r="N74" s="1397"/>
      <c r="O74" s="1397"/>
      <c r="P74" s="1395"/>
      <c r="Q74" s="1395"/>
      <c r="R74" s="1395"/>
      <c r="S74" s="1395"/>
      <c r="T74" s="1350">
        <f t="shared" si="28"/>
        <v>23645</v>
      </c>
      <c r="U74" s="1350">
        <f t="shared" si="29"/>
        <v>23645</v>
      </c>
      <c r="V74" s="1370">
        <v>531</v>
      </c>
      <c r="W74" s="1370">
        <v>531</v>
      </c>
      <c r="X74" s="1395"/>
      <c r="Y74" s="1395"/>
      <c r="Z74" s="1350">
        <f t="shared" si="30"/>
        <v>0</v>
      </c>
      <c r="AA74" s="1350">
        <f t="shared" si="30"/>
        <v>0</v>
      </c>
      <c r="AB74" s="1350">
        <f t="shared" si="31"/>
        <v>531</v>
      </c>
      <c r="AC74" s="1395">
        <v>531</v>
      </c>
      <c r="AD74" s="1395">
        <v>531</v>
      </c>
      <c r="AE74" s="1395"/>
      <c r="AF74" s="1395"/>
      <c r="AG74" s="1350">
        <v>100</v>
      </c>
      <c r="AH74" s="1350"/>
      <c r="AI74" s="1368" t="s">
        <v>418</v>
      </c>
      <c r="AJ74" s="1357"/>
      <c r="AK74" s="1333"/>
    </row>
    <row r="75" spans="1:37" s="1334" customFormat="1" ht="31.5" x14ac:dyDescent="0.25">
      <c r="A75" s="1368">
        <v>9</v>
      </c>
      <c r="B75" s="1421" t="s">
        <v>1670</v>
      </c>
      <c r="C75" s="1368" t="s">
        <v>1828</v>
      </c>
      <c r="D75" s="1370">
        <v>5420</v>
      </c>
      <c r="E75" s="1370">
        <v>64</v>
      </c>
      <c r="F75" s="1370">
        <v>4663</v>
      </c>
      <c r="G75" s="1369"/>
      <c r="H75" s="1370"/>
      <c r="I75" s="1370"/>
      <c r="J75" s="1397"/>
      <c r="K75" s="1397"/>
      <c r="L75" s="1370"/>
      <c r="M75" s="1370"/>
      <c r="N75" s="1397"/>
      <c r="O75" s="1397"/>
      <c r="P75" s="1395"/>
      <c r="Q75" s="1395"/>
      <c r="R75" s="1395"/>
      <c r="S75" s="1395"/>
      <c r="T75" s="1350">
        <f t="shared" si="28"/>
        <v>4663</v>
      </c>
      <c r="U75" s="1350">
        <f t="shared" si="29"/>
        <v>0</v>
      </c>
      <c r="V75" s="1397">
        <v>64</v>
      </c>
      <c r="W75" s="1397">
        <v>64</v>
      </c>
      <c r="X75" s="1395"/>
      <c r="Y75" s="1395"/>
      <c r="Z75" s="1350">
        <f t="shared" si="30"/>
        <v>0</v>
      </c>
      <c r="AA75" s="1350">
        <f t="shared" si="30"/>
        <v>0</v>
      </c>
      <c r="AB75" s="1350">
        <f t="shared" si="31"/>
        <v>64</v>
      </c>
      <c r="AC75" s="1395">
        <v>64</v>
      </c>
      <c r="AD75" s="1395">
        <v>64</v>
      </c>
      <c r="AE75" s="1395"/>
      <c r="AF75" s="1395"/>
      <c r="AG75" s="1350">
        <v>100</v>
      </c>
      <c r="AH75" s="1350"/>
      <c r="AI75" s="1368" t="s">
        <v>418</v>
      </c>
      <c r="AJ75" s="1357"/>
      <c r="AK75" s="1333"/>
    </row>
    <row r="76" spans="1:37" s="1334" customFormat="1" ht="31.5" x14ac:dyDescent="0.25">
      <c r="A76" s="1368">
        <v>10</v>
      </c>
      <c r="B76" s="1422" t="s">
        <v>1671</v>
      </c>
      <c r="C76" s="1423" t="s">
        <v>1829</v>
      </c>
      <c r="D76" s="1424">
        <v>15040</v>
      </c>
      <c r="E76" s="1424">
        <v>94</v>
      </c>
      <c r="F76" s="1369">
        <v>14206</v>
      </c>
      <c r="G76" s="1369"/>
      <c r="H76" s="1370"/>
      <c r="I76" s="1370"/>
      <c r="J76" s="1397"/>
      <c r="K76" s="1397"/>
      <c r="L76" s="1370"/>
      <c r="M76" s="1370"/>
      <c r="N76" s="1397"/>
      <c r="O76" s="1397"/>
      <c r="P76" s="1395"/>
      <c r="Q76" s="1395"/>
      <c r="R76" s="1395"/>
      <c r="S76" s="1395"/>
      <c r="T76" s="1350">
        <f t="shared" si="28"/>
        <v>14206</v>
      </c>
      <c r="U76" s="1350">
        <f t="shared" si="29"/>
        <v>0</v>
      </c>
      <c r="V76" s="1397">
        <v>94</v>
      </c>
      <c r="W76" s="1397">
        <v>94</v>
      </c>
      <c r="X76" s="1395"/>
      <c r="Y76" s="1395"/>
      <c r="Z76" s="1350">
        <f t="shared" si="30"/>
        <v>0</v>
      </c>
      <c r="AA76" s="1350">
        <f t="shared" si="30"/>
        <v>0</v>
      </c>
      <c r="AB76" s="1350">
        <f t="shared" si="31"/>
        <v>94</v>
      </c>
      <c r="AC76" s="1395">
        <v>94</v>
      </c>
      <c r="AD76" s="1395">
        <v>94</v>
      </c>
      <c r="AE76" s="1395"/>
      <c r="AF76" s="1395"/>
      <c r="AG76" s="1350">
        <v>100</v>
      </c>
      <c r="AH76" s="1350"/>
      <c r="AI76" s="1368" t="s">
        <v>418</v>
      </c>
      <c r="AJ76" s="1357"/>
      <c r="AK76" s="1333"/>
    </row>
    <row r="77" spans="1:37" s="1334" customFormat="1" ht="52.5" x14ac:dyDescent="0.25">
      <c r="A77" s="1368">
        <v>11</v>
      </c>
      <c r="B77" s="1397" t="s">
        <v>1705</v>
      </c>
      <c r="C77" s="1357" t="s">
        <v>1830</v>
      </c>
      <c r="D77" s="1425">
        <v>8748.1630000000005</v>
      </c>
      <c r="E77" s="1425">
        <v>8748.1630000000005</v>
      </c>
      <c r="F77" s="1369">
        <v>7873</v>
      </c>
      <c r="G77" s="1369">
        <v>7873</v>
      </c>
      <c r="H77" s="1370"/>
      <c r="I77" s="1370"/>
      <c r="J77" s="1397"/>
      <c r="K77" s="1397"/>
      <c r="L77" s="1370"/>
      <c r="M77" s="1370"/>
      <c r="N77" s="1397"/>
      <c r="O77" s="1397"/>
      <c r="P77" s="1395"/>
      <c r="Q77" s="1395"/>
      <c r="R77" s="1395"/>
      <c r="S77" s="1395"/>
      <c r="T77" s="1350">
        <f t="shared" si="28"/>
        <v>7873</v>
      </c>
      <c r="U77" s="1350">
        <f t="shared" si="29"/>
        <v>7873</v>
      </c>
      <c r="V77" s="1397">
        <v>706</v>
      </c>
      <c r="W77" s="1397">
        <v>706</v>
      </c>
      <c r="X77" s="1395"/>
      <c r="Y77" s="1395"/>
      <c r="Z77" s="1350">
        <f t="shared" si="30"/>
        <v>0</v>
      </c>
      <c r="AA77" s="1350">
        <f t="shared" si="30"/>
        <v>0</v>
      </c>
      <c r="AB77" s="1350">
        <f t="shared" si="31"/>
        <v>706</v>
      </c>
      <c r="AC77" s="1395">
        <v>706</v>
      </c>
      <c r="AD77" s="1395">
        <v>706</v>
      </c>
      <c r="AE77" s="1395"/>
      <c r="AF77" s="1395"/>
      <c r="AG77" s="1350">
        <v>100</v>
      </c>
      <c r="AH77" s="1350"/>
      <c r="AI77" s="1368" t="s">
        <v>420</v>
      </c>
      <c r="AJ77" s="1357"/>
      <c r="AK77" s="1333"/>
    </row>
    <row r="78" spans="1:37" s="1334" customFormat="1" ht="31.5" x14ac:dyDescent="0.25">
      <c r="A78" s="1368">
        <v>12</v>
      </c>
      <c r="B78" s="1397" t="s">
        <v>1706</v>
      </c>
      <c r="C78" s="1357" t="s">
        <v>1831</v>
      </c>
      <c r="D78" s="1425">
        <v>9322</v>
      </c>
      <c r="E78" s="1425">
        <v>9322</v>
      </c>
      <c r="F78" s="1369">
        <v>4903</v>
      </c>
      <c r="G78" s="1369">
        <v>4903</v>
      </c>
      <c r="H78" s="1370"/>
      <c r="I78" s="1370"/>
      <c r="J78" s="1397"/>
      <c r="K78" s="1397"/>
      <c r="L78" s="1370"/>
      <c r="M78" s="1370"/>
      <c r="N78" s="1397"/>
      <c r="O78" s="1397"/>
      <c r="P78" s="1395"/>
      <c r="Q78" s="1395"/>
      <c r="R78" s="1395"/>
      <c r="S78" s="1395"/>
      <c r="T78" s="1350">
        <f t="shared" si="28"/>
        <v>4903</v>
      </c>
      <c r="U78" s="1350">
        <f t="shared" si="29"/>
        <v>4903</v>
      </c>
      <c r="V78" s="1397">
        <v>1099</v>
      </c>
      <c r="W78" s="1397">
        <v>1099</v>
      </c>
      <c r="X78" s="1395"/>
      <c r="Y78" s="1395"/>
      <c r="Z78" s="1350">
        <f t="shared" si="30"/>
        <v>0</v>
      </c>
      <c r="AA78" s="1350">
        <f t="shared" si="30"/>
        <v>0</v>
      </c>
      <c r="AB78" s="1350">
        <f t="shared" si="31"/>
        <v>1099</v>
      </c>
      <c r="AC78" s="1395">
        <v>1099</v>
      </c>
      <c r="AD78" s="1395">
        <v>1099</v>
      </c>
      <c r="AE78" s="1395"/>
      <c r="AF78" s="1395"/>
      <c r="AG78" s="1350">
        <v>100</v>
      </c>
      <c r="AH78" s="1350"/>
      <c r="AI78" s="1368" t="s">
        <v>420</v>
      </c>
      <c r="AJ78" s="1357"/>
      <c r="AK78" s="1333"/>
    </row>
    <row r="79" spans="1:37" s="1334" customFormat="1" ht="31.5" x14ac:dyDescent="0.25">
      <c r="A79" s="1368">
        <v>13</v>
      </c>
      <c r="B79" s="1397" t="s">
        <v>1707</v>
      </c>
      <c r="C79" s="1357" t="s">
        <v>1832</v>
      </c>
      <c r="D79" s="1425">
        <v>2001</v>
      </c>
      <c r="E79" s="1425">
        <v>88</v>
      </c>
      <c r="F79" s="1369">
        <v>761</v>
      </c>
      <c r="G79" s="1369"/>
      <c r="H79" s="1370"/>
      <c r="I79" s="1370"/>
      <c r="J79" s="1397"/>
      <c r="K79" s="1397"/>
      <c r="L79" s="1370"/>
      <c r="M79" s="1370"/>
      <c r="N79" s="1397"/>
      <c r="O79" s="1397"/>
      <c r="P79" s="1395"/>
      <c r="Q79" s="1395"/>
      <c r="R79" s="1395"/>
      <c r="S79" s="1395"/>
      <c r="T79" s="1350">
        <f t="shared" si="28"/>
        <v>761</v>
      </c>
      <c r="U79" s="1350">
        <f t="shared" si="29"/>
        <v>0</v>
      </c>
      <c r="V79" s="1397">
        <v>88</v>
      </c>
      <c r="W79" s="1397">
        <v>88</v>
      </c>
      <c r="X79" s="1395"/>
      <c r="Y79" s="1395"/>
      <c r="Z79" s="1350">
        <f t="shared" si="30"/>
        <v>0</v>
      </c>
      <c r="AA79" s="1350">
        <f t="shared" si="30"/>
        <v>0</v>
      </c>
      <c r="AB79" s="1350">
        <f t="shared" si="31"/>
        <v>88</v>
      </c>
      <c r="AC79" s="1395">
        <v>88</v>
      </c>
      <c r="AD79" s="1395">
        <v>88</v>
      </c>
      <c r="AE79" s="1395"/>
      <c r="AF79" s="1395"/>
      <c r="AG79" s="1350">
        <v>100</v>
      </c>
      <c r="AH79" s="1350"/>
      <c r="AI79" s="1368" t="s">
        <v>420</v>
      </c>
      <c r="AJ79" s="1357"/>
      <c r="AK79" s="1333"/>
    </row>
    <row r="80" spans="1:37" s="1334" customFormat="1" ht="31.5" x14ac:dyDescent="0.25">
      <c r="A80" s="1368">
        <v>14</v>
      </c>
      <c r="B80" s="1397" t="s">
        <v>1750</v>
      </c>
      <c r="C80" s="1357" t="s">
        <v>1833</v>
      </c>
      <c r="D80" s="1425">
        <v>7022</v>
      </c>
      <c r="E80" s="1425">
        <v>7022</v>
      </c>
      <c r="F80" s="1369">
        <v>3285</v>
      </c>
      <c r="G80" s="1369">
        <v>3285</v>
      </c>
      <c r="H80" s="1370"/>
      <c r="I80" s="1370"/>
      <c r="J80" s="1397"/>
      <c r="K80" s="1397"/>
      <c r="L80" s="1370"/>
      <c r="M80" s="1370"/>
      <c r="N80" s="1397"/>
      <c r="O80" s="1397"/>
      <c r="P80" s="1395"/>
      <c r="Q80" s="1395"/>
      <c r="R80" s="1395"/>
      <c r="S80" s="1395"/>
      <c r="T80" s="1350">
        <f t="shared" si="28"/>
        <v>3285</v>
      </c>
      <c r="U80" s="1350">
        <f t="shared" si="29"/>
        <v>3285</v>
      </c>
      <c r="V80" s="1397">
        <v>1361</v>
      </c>
      <c r="W80" s="1397">
        <v>1361</v>
      </c>
      <c r="X80" s="1395"/>
      <c r="Y80" s="1395"/>
      <c r="Z80" s="1350">
        <f t="shared" si="30"/>
        <v>0</v>
      </c>
      <c r="AA80" s="1350">
        <f t="shared" si="30"/>
        <v>0</v>
      </c>
      <c r="AB80" s="1350">
        <f t="shared" si="31"/>
        <v>1361</v>
      </c>
      <c r="AC80" s="1395">
        <v>1361</v>
      </c>
      <c r="AD80" s="1395">
        <v>1361</v>
      </c>
      <c r="AE80" s="1395"/>
      <c r="AF80" s="1395"/>
      <c r="AG80" s="1350">
        <v>100</v>
      </c>
      <c r="AH80" s="1350"/>
      <c r="AI80" s="1368" t="s">
        <v>420</v>
      </c>
      <c r="AJ80" s="1357"/>
      <c r="AK80" s="1333"/>
    </row>
    <row r="81" spans="1:37" s="1334" customFormat="1" ht="31.5" x14ac:dyDescent="0.25">
      <c r="A81" s="1368">
        <v>15</v>
      </c>
      <c r="B81" s="1421" t="s">
        <v>1773</v>
      </c>
      <c r="C81" s="1368" t="s">
        <v>1834</v>
      </c>
      <c r="D81" s="1425">
        <v>74313</v>
      </c>
      <c r="E81" s="1369">
        <v>21935</v>
      </c>
      <c r="F81" s="1370">
        <v>52378</v>
      </c>
      <c r="G81" s="1370"/>
      <c r="H81" s="1370"/>
      <c r="I81" s="1370"/>
      <c r="J81" s="1397"/>
      <c r="K81" s="1397"/>
      <c r="L81" s="1370"/>
      <c r="M81" s="1370"/>
      <c r="N81" s="1397"/>
      <c r="O81" s="1397"/>
      <c r="P81" s="1395"/>
      <c r="Q81" s="1395"/>
      <c r="R81" s="1395"/>
      <c r="S81" s="1395"/>
      <c r="T81" s="1350">
        <f t="shared" si="28"/>
        <v>52378</v>
      </c>
      <c r="U81" s="1350">
        <f t="shared" si="29"/>
        <v>0</v>
      </c>
      <c r="V81" s="1397">
        <v>8524</v>
      </c>
      <c r="W81" s="1397">
        <v>8524</v>
      </c>
      <c r="X81" s="1395"/>
      <c r="Y81" s="1395"/>
      <c r="Z81" s="1350">
        <f t="shared" si="30"/>
        <v>0</v>
      </c>
      <c r="AA81" s="1350">
        <f t="shared" si="30"/>
        <v>0</v>
      </c>
      <c r="AB81" s="1350">
        <f t="shared" si="31"/>
        <v>8524</v>
      </c>
      <c r="AC81" s="1395">
        <v>8524</v>
      </c>
      <c r="AD81" s="1395">
        <v>8524</v>
      </c>
      <c r="AE81" s="1395"/>
      <c r="AF81" s="1395"/>
      <c r="AG81" s="1350">
        <v>100</v>
      </c>
      <c r="AH81" s="1350"/>
      <c r="AI81" s="1368" t="s">
        <v>426</v>
      </c>
      <c r="AJ81" s="1357"/>
      <c r="AK81" s="1333"/>
    </row>
    <row r="82" spans="1:37" s="1334" customFormat="1" ht="21" x14ac:dyDescent="0.25">
      <c r="A82" s="1368">
        <v>16</v>
      </c>
      <c r="B82" s="1426" t="s">
        <v>1774</v>
      </c>
      <c r="C82" s="1357" t="s">
        <v>1835</v>
      </c>
      <c r="D82" s="1427">
        <v>610.6</v>
      </c>
      <c r="E82" s="1370">
        <v>343.4</v>
      </c>
      <c r="F82" s="1370">
        <v>906</v>
      </c>
      <c r="G82" s="1370"/>
      <c r="H82" s="1370"/>
      <c r="I82" s="1370"/>
      <c r="J82" s="1397"/>
      <c r="K82" s="1397"/>
      <c r="L82" s="1370"/>
      <c r="M82" s="1370"/>
      <c r="N82" s="1397"/>
      <c r="O82" s="1397"/>
      <c r="P82" s="1395"/>
      <c r="Q82" s="1395"/>
      <c r="R82" s="1395"/>
      <c r="S82" s="1395"/>
      <c r="T82" s="1350">
        <f t="shared" si="28"/>
        <v>906</v>
      </c>
      <c r="U82" s="1350">
        <f t="shared" si="29"/>
        <v>0</v>
      </c>
      <c r="V82" s="1421">
        <v>343.4</v>
      </c>
      <c r="W82" s="1421">
        <v>343.4</v>
      </c>
      <c r="X82" s="1395"/>
      <c r="Y82" s="1395"/>
      <c r="Z82" s="1350">
        <f t="shared" si="30"/>
        <v>0</v>
      </c>
      <c r="AA82" s="1350">
        <f t="shared" si="30"/>
        <v>0</v>
      </c>
      <c r="AB82" s="1350">
        <f t="shared" si="31"/>
        <v>343.4</v>
      </c>
      <c r="AC82" s="1395">
        <v>343.4</v>
      </c>
      <c r="AD82" s="1395">
        <v>343.4</v>
      </c>
      <c r="AE82" s="1395"/>
      <c r="AF82" s="1395"/>
      <c r="AG82" s="1350">
        <v>100</v>
      </c>
      <c r="AH82" s="1350"/>
      <c r="AI82" s="1428" t="s">
        <v>423</v>
      </c>
      <c r="AJ82" s="1357"/>
      <c r="AK82" s="1333"/>
    </row>
    <row r="83" spans="1:37" s="1334" customFormat="1" ht="42" x14ac:dyDescent="0.25">
      <c r="A83" s="1368">
        <v>17</v>
      </c>
      <c r="B83" s="1426" t="s">
        <v>1686</v>
      </c>
      <c r="C83" s="1357" t="s">
        <v>1836</v>
      </c>
      <c r="D83" s="1427">
        <v>40713</v>
      </c>
      <c r="E83" s="1370">
        <v>310.85800000000745</v>
      </c>
      <c r="F83" s="1370">
        <v>36044.050999999999</v>
      </c>
      <c r="G83" s="1370"/>
      <c r="H83" s="1370"/>
      <c r="I83" s="1370"/>
      <c r="J83" s="1397"/>
      <c r="K83" s="1397"/>
      <c r="L83" s="1370"/>
      <c r="M83" s="1370"/>
      <c r="N83" s="1397"/>
      <c r="O83" s="1397"/>
      <c r="P83" s="1395"/>
      <c r="Q83" s="1395"/>
      <c r="R83" s="1395"/>
      <c r="S83" s="1395"/>
      <c r="T83" s="1350">
        <f t="shared" si="28"/>
        <v>36044.050999999999</v>
      </c>
      <c r="U83" s="1350">
        <f t="shared" si="29"/>
        <v>0</v>
      </c>
      <c r="V83" s="1421">
        <v>310.85800000000745</v>
      </c>
      <c r="W83" s="1421">
        <v>310.85800000000745</v>
      </c>
      <c r="X83" s="1395"/>
      <c r="Y83" s="1395"/>
      <c r="Z83" s="1350">
        <f t="shared" si="30"/>
        <v>0</v>
      </c>
      <c r="AA83" s="1350">
        <f t="shared" si="30"/>
        <v>0</v>
      </c>
      <c r="AB83" s="1350">
        <f t="shared" si="31"/>
        <v>310.85800000000745</v>
      </c>
      <c r="AC83" s="1395">
        <v>310.85800000000745</v>
      </c>
      <c r="AD83" s="1395">
        <v>310.85800000000745</v>
      </c>
      <c r="AE83" s="1395"/>
      <c r="AF83" s="1395"/>
      <c r="AG83" s="1350">
        <v>100</v>
      </c>
      <c r="AH83" s="1350"/>
      <c r="AI83" s="1428" t="s">
        <v>1837</v>
      </c>
      <c r="AJ83" s="1357"/>
      <c r="AK83" s="1333"/>
    </row>
    <row r="84" spans="1:37" s="1334" customFormat="1" ht="21" x14ac:dyDescent="0.25">
      <c r="A84" s="1368">
        <v>18</v>
      </c>
      <c r="B84" s="1426" t="s">
        <v>1756</v>
      </c>
      <c r="C84" s="1357"/>
      <c r="D84" s="1427">
        <v>7341</v>
      </c>
      <c r="E84" s="1370">
        <v>169.5</v>
      </c>
      <c r="F84" s="1370">
        <v>6819.8</v>
      </c>
      <c r="G84" s="1370"/>
      <c r="H84" s="1370"/>
      <c r="I84" s="1370"/>
      <c r="J84" s="1397"/>
      <c r="K84" s="1397"/>
      <c r="L84" s="1370"/>
      <c r="M84" s="1370"/>
      <c r="N84" s="1397"/>
      <c r="O84" s="1397"/>
      <c r="P84" s="1395"/>
      <c r="Q84" s="1395"/>
      <c r="R84" s="1395"/>
      <c r="S84" s="1395"/>
      <c r="T84" s="1350">
        <f t="shared" si="28"/>
        <v>6819.8</v>
      </c>
      <c r="U84" s="1350">
        <f t="shared" si="29"/>
        <v>0</v>
      </c>
      <c r="V84" s="1421">
        <v>169.5</v>
      </c>
      <c r="W84" s="1421">
        <v>169.5</v>
      </c>
      <c r="X84" s="1395"/>
      <c r="Y84" s="1395"/>
      <c r="Z84" s="1350">
        <f t="shared" si="30"/>
        <v>0</v>
      </c>
      <c r="AA84" s="1350">
        <f t="shared" si="30"/>
        <v>0</v>
      </c>
      <c r="AB84" s="1350">
        <f t="shared" si="31"/>
        <v>169.5</v>
      </c>
      <c r="AC84" s="1395">
        <v>169.5</v>
      </c>
      <c r="AD84" s="1395">
        <v>169.5</v>
      </c>
      <c r="AE84" s="1395"/>
      <c r="AF84" s="1395"/>
      <c r="AG84" s="1350">
        <v>100</v>
      </c>
      <c r="AH84" s="1350"/>
      <c r="AI84" s="1428" t="s">
        <v>426</v>
      </c>
      <c r="AJ84" s="1357"/>
      <c r="AK84" s="1333"/>
    </row>
    <row r="85" spans="1:37" s="1334" customFormat="1" ht="21" x14ac:dyDescent="0.25">
      <c r="A85" s="1368">
        <v>19</v>
      </c>
      <c r="B85" s="1426" t="s">
        <v>1708</v>
      </c>
      <c r="C85" s="1357" t="s">
        <v>1838</v>
      </c>
      <c r="D85" s="1427">
        <v>35638</v>
      </c>
      <c r="E85" s="1370">
        <v>2655.0999999999985</v>
      </c>
      <c r="F85" s="1370">
        <v>30766.418000000001</v>
      </c>
      <c r="G85" s="1370"/>
      <c r="H85" s="1370"/>
      <c r="I85" s="1370"/>
      <c r="J85" s="1397"/>
      <c r="K85" s="1397"/>
      <c r="L85" s="1370"/>
      <c r="M85" s="1370"/>
      <c r="N85" s="1397"/>
      <c r="O85" s="1397"/>
      <c r="P85" s="1395"/>
      <c r="Q85" s="1395"/>
      <c r="R85" s="1395"/>
      <c r="S85" s="1395"/>
      <c r="T85" s="1350">
        <f t="shared" si="28"/>
        <v>30766.418000000001</v>
      </c>
      <c r="U85" s="1350">
        <f t="shared" si="29"/>
        <v>0</v>
      </c>
      <c r="V85" s="1421">
        <v>2757.6999999999985</v>
      </c>
      <c r="W85" s="1421">
        <v>2655.0999999999985</v>
      </c>
      <c r="X85" s="1395"/>
      <c r="Y85" s="1395"/>
      <c r="Z85" s="1350">
        <f t="shared" si="30"/>
        <v>0</v>
      </c>
      <c r="AA85" s="1350">
        <f t="shared" si="30"/>
        <v>0</v>
      </c>
      <c r="AB85" s="1350">
        <f t="shared" si="31"/>
        <v>2655.0999999999985</v>
      </c>
      <c r="AC85" s="1395">
        <v>2655.0999999999985</v>
      </c>
      <c r="AD85" s="1395">
        <v>2655.0999999999985</v>
      </c>
      <c r="AE85" s="1395"/>
      <c r="AF85" s="1395"/>
      <c r="AG85" s="1350">
        <v>100</v>
      </c>
      <c r="AH85" s="1350"/>
      <c r="AI85" s="1428" t="s">
        <v>420</v>
      </c>
      <c r="AJ85" s="1357"/>
      <c r="AK85" s="1333"/>
    </row>
    <row r="86" spans="1:37" s="1334" customFormat="1" ht="31.5" x14ac:dyDescent="0.25">
      <c r="A86" s="1368">
        <v>20</v>
      </c>
      <c r="B86" s="1426" t="s">
        <v>1733</v>
      </c>
      <c r="C86" s="1357" t="s">
        <v>1839</v>
      </c>
      <c r="D86" s="1427">
        <v>398</v>
      </c>
      <c r="E86" s="1370">
        <v>12.151999999999987</v>
      </c>
      <c r="F86" s="1370">
        <v>343.375</v>
      </c>
      <c r="G86" s="1370"/>
      <c r="H86" s="1370"/>
      <c r="I86" s="1370"/>
      <c r="J86" s="1397"/>
      <c r="K86" s="1397"/>
      <c r="L86" s="1370"/>
      <c r="M86" s="1370"/>
      <c r="N86" s="1397"/>
      <c r="O86" s="1397"/>
      <c r="P86" s="1395"/>
      <c r="Q86" s="1395"/>
      <c r="R86" s="1395"/>
      <c r="S86" s="1395"/>
      <c r="T86" s="1350">
        <f t="shared" si="28"/>
        <v>343.375</v>
      </c>
      <c r="U86" s="1350">
        <f t="shared" si="29"/>
        <v>0</v>
      </c>
      <c r="V86" s="1421">
        <v>12.151999999999987</v>
      </c>
      <c r="W86" s="1421">
        <v>12</v>
      </c>
      <c r="X86" s="1395"/>
      <c r="Y86" s="1395"/>
      <c r="Z86" s="1350">
        <f t="shared" si="30"/>
        <v>0</v>
      </c>
      <c r="AA86" s="1350">
        <f t="shared" si="30"/>
        <v>0</v>
      </c>
      <c r="AB86" s="1350">
        <f t="shared" si="31"/>
        <v>12</v>
      </c>
      <c r="AC86" s="1395">
        <v>12</v>
      </c>
      <c r="AD86" s="1395">
        <v>12</v>
      </c>
      <c r="AE86" s="1395"/>
      <c r="AF86" s="1395"/>
      <c r="AG86" s="1350">
        <v>100</v>
      </c>
      <c r="AH86" s="1350"/>
      <c r="AI86" s="1428" t="s">
        <v>1840</v>
      </c>
      <c r="AJ86" s="1357"/>
      <c r="AK86" s="1333"/>
    </row>
    <row r="87" spans="1:37" s="1334" customFormat="1" ht="21" x14ac:dyDescent="0.25">
      <c r="A87" s="1368">
        <v>21</v>
      </c>
      <c r="B87" s="1426" t="s">
        <v>1728</v>
      </c>
      <c r="C87" s="1357" t="s">
        <v>1841</v>
      </c>
      <c r="D87" s="1427">
        <v>6641</v>
      </c>
      <c r="E87" s="1370">
        <v>119.12899999999991</v>
      </c>
      <c r="F87" s="1370">
        <v>5437.268</v>
      </c>
      <c r="G87" s="1370"/>
      <c r="H87" s="1370"/>
      <c r="I87" s="1370"/>
      <c r="J87" s="1397"/>
      <c r="K87" s="1397"/>
      <c r="L87" s="1370"/>
      <c r="M87" s="1370"/>
      <c r="N87" s="1397"/>
      <c r="O87" s="1397"/>
      <c r="P87" s="1395"/>
      <c r="Q87" s="1395"/>
      <c r="R87" s="1395"/>
      <c r="S87" s="1395"/>
      <c r="T87" s="1350">
        <f t="shared" si="28"/>
        <v>5437.268</v>
      </c>
      <c r="U87" s="1350">
        <f t="shared" si="29"/>
        <v>0</v>
      </c>
      <c r="V87" s="1421">
        <v>119.12899999999991</v>
      </c>
      <c r="W87" s="1421">
        <v>119.12899999999991</v>
      </c>
      <c r="X87" s="1395"/>
      <c r="Y87" s="1395"/>
      <c r="Z87" s="1350">
        <f t="shared" si="30"/>
        <v>0</v>
      </c>
      <c r="AA87" s="1350">
        <f t="shared" si="30"/>
        <v>0</v>
      </c>
      <c r="AB87" s="1350">
        <f t="shared" si="31"/>
        <v>119.12899999999991</v>
      </c>
      <c r="AC87" s="1395">
        <v>119.12899999999991</v>
      </c>
      <c r="AD87" s="1395">
        <v>119.12899999999991</v>
      </c>
      <c r="AE87" s="1395"/>
      <c r="AF87" s="1395"/>
      <c r="AG87" s="1350">
        <v>100</v>
      </c>
      <c r="AH87" s="1350"/>
      <c r="AI87" s="1428" t="s">
        <v>1842</v>
      </c>
      <c r="AJ87" s="1357"/>
      <c r="AK87" s="1333"/>
    </row>
    <row r="88" spans="1:37" s="1334" customFormat="1" ht="31.5" x14ac:dyDescent="0.25">
      <c r="A88" s="1368">
        <v>22</v>
      </c>
      <c r="B88" s="1367" t="s">
        <v>1723</v>
      </c>
      <c r="C88" s="1357" t="s">
        <v>1843</v>
      </c>
      <c r="D88" s="1421">
        <v>22241</v>
      </c>
      <c r="E88" s="1370">
        <v>123.2510000000002</v>
      </c>
      <c r="F88" s="1370">
        <v>16849.263999999999</v>
      </c>
      <c r="G88" s="1370"/>
      <c r="H88" s="1370"/>
      <c r="I88" s="1370"/>
      <c r="J88" s="1397"/>
      <c r="K88" s="1397"/>
      <c r="L88" s="1370"/>
      <c r="M88" s="1370"/>
      <c r="N88" s="1397"/>
      <c r="O88" s="1397"/>
      <c r="P88" s="1395"/>
      <c r="Q88" s="1395"/>
      <c r="R88" s="1395"/>
      <c r="S88" s="1395"/>
      <c r="T88" s="1350">
        <f t="shared" si="28"/>
        <v>16849.263999999999</v>
      </c>
      <c r="U88" s="1350">
        <f t="shared" si="29"/>
        <v>0</v>
      </c>
      <c r="V88" s="1421">
        <v>123.2510000000002</v>
      </c>
      <c r="W88" s="1421">
        <v>123.2510000000002</v>
      </c>
      <c r="X88" s="1395"/>
      <c r="Y88" s="1395"/>
      <c r="Z88" s="1350">
        <f t="shared" si="30"/>
        <v>0</v>
      </c>
      <c r="AA88" s="1350">
        <f t="shared" si="30"/>
        <v>0</v>
      </c>
      <c r="AB88" s="1350">
        <f t="shared" si="31"/>
        <v>123.2510000000002</v>
      </c>
      <c r="AC88" s="1395">
        <v>123.2510000000002</v>
      </c>
      <c r="AD88" s="1395">
        <v>123.2510000000002</v>
      </c>
      <c r="AE88" s="1395"/>
      <c r="AF88" s="1395"/>
      <c r="AG88" s="1350">
        <v>100</v>
      </c>
      <c r="AH88" s="1350"/>
      <c r="AI88" s="1368" t="s">
        <v>422</v>
      </c>
      <c r="AJ88" s="1357"/>
      <c r="AK88" s="1333"/>
    </row>
    <row r="89" spans="1:37" s="1334" customFormat="1" ht="21" x14ac:dyDescent="0.25">
      <c r="A89" s="1368">
        <v>23</v>
      </c>
      <c r="B89" s="1426" t="s">
        <v>1679</v>
      </c>
      <c r="C89" s="1357" t="s">
        <v>1844</v>
      </c>
      <c r="D89" s="1427">
        <v>2345</v>
      </c>
      <c r="E89" s="1370">
        <v>52.954885999999988</v>
      </c>
      <c r="F89" s="1370">
        <v>2052.4</v>
      </c>
      <c r="G89" s="1370"/>
      <c r="H89" s="1370"/>
      <c r="I89" s="1370"/>
      <c r="J89" s="1397"/>
      <c r="K89" s="1397"/>
      <c r="L89" s="1370"/>
      <c r="M89" s="1370"/>
      <c r="N89" s="1397"/>
      <c r="O89" s="1397"/>
      <c r="P89" s="1395"/>
      <c r="Q89" s="1395"/>
      <c r="R89" s="1395"/>
      <c r="S89" s="1395"/>
      <c r="T89" s="1350">
        <f t="shared" si="28"/>
        <v>2052.4</v>
      </c>
      <c r="U89" s="1350">
        <f t="shared" si="29"/>
        <v>0</v>
      </c>
      <c r="V89" s="1421">
        <v>52.954885999999988</v>
      </c>
      <c r="W89" s="1421">
        <v>52.954885999999988</v>
      </c>
      <c r="X89" s="1395"/>
      <c r="Y89" s="1395"/>
      <c r="Z89" s="1350">
        <f t="shared" si="30"/>
        <v>0</v>
      </c>
      <c r="AA89" s="1350">
        <f t="shared" si="30"/>
        <v>0</v>
      </c>
      <c r="AB89" s="1350">
        <f t="shared" si="31"/>
        <v>52.954885999999988</v>
      </c>
      <c r="AC89" s="1395">
        <v>52.954885999999988</v>
      </c>
      <c r="AD89" s="1395">
        <v>52.954885999999988</v>
      </c>
      <c r="AE89" s="1395"/>
      <c r="AF89" s="1395"/>
      <c r="AG89" s="1350">
        <v>100</v>
      </c>
      <c r="AH89" s="1350"/>
      <c r="AI89" s="1428" t="s">
        <v>1597</v>
      </c>
      <c r="AJ89" s="1357"/>
      <c r="AK89" s="1333"/>
    </row>
    <row r="90" spans="1:37" s="1334" customFormat="1" ht="21" x14ac:dyDescent="0.25">
      <c r="A90" s="1368">
        <v>24</v>
      </c>
      <c r="B90" s="1426" t="s">
        <v>1845</v>
      </c>
      <c r="C90" s="1357" t="s">
        <v>1846</v>
      </c>
      <c r="D90" s="1427">
        <v>9870</v>
      </c>
      <c r="E90" s="1370">
        <v>58.299999999999272</v>
      </c>
      <c r="F90" s="1370">
        <v>7624.6</v>
      </c>
      <c r="G90" s="1370"/>
      <c r="H90" s="1370"/>
      <c r="I90" s="1370"/>
      <c r="J90" s="1397"/>
      <c r="K90" s="1397"/>
      <c r="L90" s="1370"/>
      <c r="M90" s="1370"/>
      <c r="N90" s="1397"/>
      <c r="O90" s="1397"/>
      <c r="P90" s="1395"/>
      <c r="Q90" s="1395"/>
      <c r="R90" s="1395"/>
      <c r="S90" s="1395"/>
      <c r="T90" s="1350">
        <f t="shared" si="28"/>
        <v>7624.6</v>
      </c>
      <c r="U90" s="1350">
        <f t="shared" si="29"/>
        <v>0</v>
      </c>
      <c r="V90" s="1421">
        <v>58.299999999999272</v>
      </c>
      <c r="W90" s="1421">
        <v>58.299999999999272</v>
      </c>
      <c r="X90" s="1395"/>
      <c r="Y90" s="1395"/>
      <c r="Z90" s="1350">
        <f t="shared" si="30"/>
        <v>0</v>
      </c>
      <c r="AA90" s="1350">
        <f t="shared" si="30"/>
        <v>0</v>
      </c>
      <c r="AB90" s="1350">
        <f t="shared" si="31"/>
        <v>58.299999999999272</v>
      </c>
      <c r="AC90" s="1395">
        <v>58.299999999999272</v>
      </c>
      <c r="AD90" s="1395">
        <v>58.299999999999272</v>
      </c>
      <c r="AE90" s="1395"/>
      <c r="AF90" s="1395"/>
      <c r="AG90" s="1350">
        <v>100</v>
      </c>
      <c r="AH90" s="1350"/>
      <c r="AI90" s="1428" t="s">
        <v>1847</v>
      </c>
      <c r="AJ90" s="1357"/>
      <c r="AK90" s="1333"/>
    </row>
    <row r="91" spans="1:37" s="1334" customFormat="1" ht="52.5" x14ac:dyDescent="0.25">
      <c r="A91" s="1368">
        <v>25</v>
      </c>
      <c r="B91" s="1426" t="s">
        <v>1724</v>
      </c>
      <c r="C91" s="1357" t="s">
        <v>1848</v>
      </c>
      <c r="D91" s="1427">
        <v>24241.329673</v>
      </c>
      <c r="E91" s="1370">
        <v>123.24972800000251</v>
      </c>
      <c r="F91" s="1370">
        <v>16902.904999999999</v>
      </c>
      <c r="G91" s="1370"/>
      <c r="H91" s="1370"/>
      <c r="I91" s="1370"/>
      <c r="J91" s="1397"/>
      <c r="K91" s="1397"/>
      <c r="L91" s="1370"/>
      <c r="M91" s="1370"/>
      <c r="N91" s="1397"/>
      <c r="O91" s="1397"/>
      <c r="P91" s="1395"/>
      <c r="Q91" s="1395"/>
      <c r="R91" s="1395"/>
      <c r="S91" s="1395"/>
      <c r="T91" s="1350">
        <f t="shared" si="28"/>
        <v>16902.904999999999</v>
      </c>
      <c r="U91" s="1350">
        <f t="shared" si="29"/>
        <v>0</v>
      </c>
      <c r="V91" s="1421">
        <v>123.24972800000251</v>
      </c>
      <c r="W91" s="1421">
        <v>123.24972800000251</v>
      </c>
      <c r="X91" s="1395"/>
      <c r="Y91" s="1395"/>
      <c r="Z91" s="1350">
        <f t="shared" si="30"/>
        <v>0</v>
      </c>
      <c r="AA91" s="1350">
        <f t="shared" si="30"/>
        <v>0</v>
      </c>
      <c r="AB91" s="1350">
        <f t="shared" si="31"/>
        <v>123.24972800000251</v>
      </c>
      <c r="AC91" s="1395">
        <v>123.24972800000251</v>
      </c>
      <c r="AD91" s="1395">
        <v>123.24972800000251</v>
      </c>
      <c r="AE91" s="1395"/>
      <c r="AF91" s="1395"/>
      <c r="AG91" s="1350">
        <v>100</v>
      </c>
      <c r="AH91" s="1350"/>
      <c r="AI91" s="1428" t="s">
        <v>422</v>
      </c>
      <c r="AJ91" s="1357"/>
      <c r="AK91" s="1333"/>
    </row>
    <row r="92" spans="1:37" s="1334" customFormat="1" ht="21" x14ac:dyDescent="0.25">
      <c r="A92" s="1368">
        <v>26</v>
      </c>
      <c r="B92" s="1367" t="s">
        <v>1709</v>
      </c>
      <c r="C92" s="1357" t="s">
        <v>1849</v>
      </c>
      <c r="D92" s="1370">
        <v>8757</v>
      </c>
      <c r="E92" s="1370">
        <v>1566</v>
      </c>
      <c r="F92" s="1369">
        <f>D92-I92</f>
        <v>8757</v>
      </c>
      <c r="G92" s="1369"/>
      <c r="H92" s="1370"/>
      <c r="I92" s="1370"/>
      <c r="J92" s="1397"/>
      <c r="K92" s="1397"/>
      <c r="L92" s="1370">
        <v>1566</v>
      </c>
      <c r="M92" s="1370">
        <v>1566</v>
      </c>
      <c r="N92" s="1397"/>
      <c r="O92" s="1397"/>
      <c r="P92" s="1395"/>
      <c r="Q92" s="1395"/>
      <c r="R92" s="1395"/>
      <c r="S92" s="1395"/>
      <c r="T92" s="1350">
        <f t="shared" si="28"/>
        <v>10323</v>
      </c>
      <c r="U92" s="1350">
        <f t="shared" si="29"/>
        <v>1566</v>
      </c>
      <c r="V92" s="1370">
        <v>1977</v>
      </c>
      <c r="W92" s="1370">
        <v>1977</v>
      </c>
      <c r="X92" s="1395"/>
      <c r="Y92" s="1395"/>
      <c r="Z92" s="1350">
        <f t="shared" si="30"/>
        <v>1566</v>
      </c>
      <c r="AA92" s="1350">
        <f t="shared" si="30"/>
        <v>1566</v>
      </c>
      <c r="AB92" s="1350">
        <f t="shared" si="31"/>
        <v>411</v>
      </c>
      <c r="AC92" s="1395">
        <v>411</v>
      </c>
      <c r="AD92" s="1395">
        <v>411</v>
      </c>
      <c r="AE92" s="1395"/>
      <c r="AF92" s="1395"/>
      <c r="AG92" s="1350">
        <v>100</v>
      </c>
      <c r="AH92" s="1350"/>
      <c r="AI92" s="1368" t="s">
        <v>954</v>
      </c>
      <c r="AJ92" s="1357"/>
      <c r="AK92" s="1333"/>
    </row>
    <row r="93" spans="1:37" s="1334" customFormat="1" ht="31.5" x14ac:dyDescent="0.25">
      <c r="A93" s="1368">
        <v>27</v>
      </c>
      <c r="B93" s="1367" t="s">
        <v>1617</v>
      </c>
      <c r="C93" s="1368" t="s">
        <v>1850</v>
      </c>
      <c r="D93" s="1370">
        <v>14618</v>
      </c>
      <c r="E93" s="1370">
        <v>14618</v>
      </c>
      <c r="F93" s="1369">
        <v>12118</v>
      </c>
      <c r="G93" s="1369">
        <v>12118</v>
      </c>
      <c r="H93" s="1370"/>
      <c r="I93" s="1370"/>
      <c r="J93" s="1397"/>
      <c r="K93" s="1397"/>
      <c r="L93" s="1370"/>
      <c r="M93" s="1370"/>
      <c r="N93" s="1397"/>
      <c r="O93" s="1397"/>
      <c r="P93" s="1395"/>
      <c r="Q93" s="1395"/>
      <c r="R93" s="1395"/>
      <c r="S93" s="1395"/>
      <c r="T93" s="1350">
        <f t="shared" si="28"/>
        <v>12118</v>
      </c>
      <c r="U93" s="1350">
        <f t="shared" si="29"/>
        <v>12118</v>
      </c>
      <c r="V93" s="1370">
        <v>1005</v>
      </c>
      <c r="W93" s="1370">
        <v>1005</v>
      </c>
      <c r="X93" s="1395"/>
      <c r="Y93" s="1395">
        <v>359</v>
      </c>
      <c r="Z93" s="1350">
        <f t="shared" si="30"/>
        <v>0</v>
      </c>
      <c r="AA93" s="1350">
        <f t="shared" si="30"/>
        <v>0</v>
      </c>
      <c r="AB93" s="1350">
        <f t="shared" si="31"/>
        <v>1005</v>
      </c>
      <c r="AC93" s="1395">
        <v>1005</v>
      </c>
      <c r="AD93" s="1395">
        <v>1005</v>
      </c>
      <c r="AE93" s="1395"/>
      <c r="AF93" s="1350">
        <f>Y93-K93-O93-S93</f>
        <v>359</v>
      </c>
      <c r="AG93" s="1350">
        <v>100</v>
      </c>
      <c r="AH93" s="1350"/>
      <c r="AI93" s="1368" t="s">
        <v>418</v>
      </c>
      <c r="AJ93" s="1357"/>
      <c r="AK93" s="1333"/>
    </row>
    <row r="94" spans="1:37" s="1334" customFormat="1" ht="31.5" x14ac:dyDescent="0.25">
      <c r="A94" s="1368">
        <v>28</v>
      </c>
      <c r="B94" s="1367" t="s">
        <v>1672</v>
      </c>
      <c r="C94" s="1368" t="s">
        <v>1851</v>
      </c>
      <c r="D94" s="1370">
        <v>12920</v>
      </c>
      <c r="E94" s="1370">
        <v>1020</v>
      </c>
      <c r="F94" s="1369">
        <v>11489</v>
      </c>
      <c r="G94" s="1369"/>
      <c r="H94" s="1370"/>
      <c r="I94" s="1370"/>
      <c r="J94" s="1397"/>
      <c r="K94" s="1397"/>
      <c r="L94" s="1370"/>
      <c r="M94" s="1370"/>
      <c r="N94" s="1397"/>
      <c r="O94" s="1397"/>
      <c r="P94" s="1395"/>
      <c r="Q94" s="1395"/>
      <c r="R94" s="1395"/>
      <c r="S94" s="1395">
        <v>0</v>
      </c>
      <c r="T94" s="1350">
        <f t="shared" si="28"/>
        <v>11489</v>
      </c>
      <c r="U94" s="1350">
        <f t="shared" si="29"/>
        <v>0</v>
      </c>
      <c r="V94" s="1370">
        <v>95</v>
      </c>
      <c r="W94" s="1370">
        <v>95</v>
      </c>
      <c r="X94" s="1395"/>
      <c r="Y94" s="1395"/>
      <c r="Z94" s="1350">
        <f t="shared" si="30"/>
        <v>0</v>
      </c>
      <c r="AA94" s="1350">
        <f t="shared" si="30"/>
        <v>0</v>
      </c>
      <c r="AB94" s="1350">
        <f t="shared" si="31"/>
        <v>95</v>
      </c>
      <c r="AC94" s="1395">
        <v>95</v>
      </c>
      <c r="AD94" s="1395">
        <v>95</v>
      </c>
      <c r="AE94" s="1395"/>
      <c r="AF94" s="1395"/>
      <c r="AG94" s="1350">
        <v>100</v>
      </c>
      <c r="AH94" s="1350"/>
      <c r="AI94" s="1368" t="s">
        <v>418</v>
      </c>
      <c r="AJ94" s="1357"/>
      <c r="AK94" s="1333"/>
    </row>
    <row r="95" spans="1:37" s="1334" customFormat="1" ht="21" x14ac:dyDescent="0.25">
      <c r="A95" s="1368">
        <v>29</v>
      </c>
      <c r="B95" s="1421" t="s">
        <v>1762</v>
      </c>
      <c r="C95" s="1368" t="s">
        <v>1852</v>
      </c>
      <c r="D95" s="1425">
        <v>79998</v>
      </c>
      <c r="E95" s="1369">
        <f>1747+8000</f>
        <v>9747</v>
      </c>
      <c r="F95" s="1370">
        <v>69450</v>
      </c>
      <c r="G95" s="1370">
        <f>F95-61450</f>
        <v>8000</v>
      </c>
      <c r="H95" s="1370"/>
      <c r="I95" s="1370"/>
      <c r="J95" s="1397"/>
      <c r="K95" s="1397"/>
      <c r="L95" s="1370"/>
      <c r="M95" s="1370"/>
      <c r="N95" s="1397"/>
      <c r="O95" s="1397"/>
      <c r="P95" s="1395"/>
      <c r="Q95" s="1395"/>
      <c r="R95" s="1395">
        <v>0</v>
      </c>
      <c r="S95" s="1395"/>
      <c r="T95" s="1350">
        <f t="shared" si="28"/>
        <v>69450</v>
      </c>
      <c r="U95" s="1350">
        <f t="shared" si="29"/>
        <v>8000</v>
      </c>
      <c r="V95" s="1370">
        <v>2136</v>
      </c>
      <c r="W95" s="1370">
        <v>2136</v>
      </c>
      <c r="X95" s="1395"/>
      <c r="Y95" s="1395">
        <v>1747</v>
      </c>
      <c r="Z95" s="1350">
        <f t="shared" si="30"/>
        <v>0</v>
      </c>
      <c r="AA95" s="1350">
        <f t="shared" si="30"/>
        <v>0</v>
      </c>
      <c r="AB95" s="1350">
        <f t="shared" si="31"/>
        <v>2136</v>
      </c>
      <c r="AC95" s="1395">
        <v>2136</v>
      </c>
      <c r="AD95" s="1395">
        <v>2136</v>
      </c>
      <c r="AE95" s="1395"/>
      <c r="AF95" s="1350">
        <f>Y95-K95-O95-S95</f>
        <v>1747</v>
      </c>
      <c r="AG95" s="1350">
        <v>100</v>
      </c>
      <c r="AH95" s="1350"/>
      <c r="AI95" s="1368" t="s">
        <v>418</v>
      </c>
      <c r="AJ95" s="1357"/>
      <c r="AK95" s="1333"/>
    </row>
    <row r="96" spans="1:37" s="1334" customFormat="1" ht="21" x14ac:dyDescent="0.25">
      <c r="A96" s="1368">
        <v>30</v>
      </c>
      <c r="B96" s="1367" t="s">
        <v>1751</v>
      </c>
      <c r="C96" s="1368" t="s">
        <v>1853</v>
      </c>
      <c r="D96" s="1370">
        <v>5303</v>
      </c>
      <c r="E96" s="1370">
        <v>989</v>
      </c>
      <c r="F96" s="1370">
        <v>4314</v>
      </c>
      <c r="G96" s="1370"/>
      <c r="H96" s="1370"/>
      <c r="I96" s="1370"/>
      <c r="J96" s="1397"/>
      <c r="K96" s="1397"/>
      <c r="L96" s="1370"/>
      <c r="M96" s="1370"/>
      <c r="N96" s="1397"/>
      <c r="O96" s="1397"/>
      <c r="P96" s="1395"/>
      <c r="Q96" s="1395"/>
      <c r="R96" s="1395"/>
      <c r="S96" s="1395"/>
      <c r="T96" s="1350">
        <f t="shared" si="28"/>
        <v>4314</v>
      </c>
      <c r="U96" s="1350">
        <f t="shared" si="29"/>
        <v>0</v>
      </c>
      <c r="V96" s="1370">
        <f>989+180</f>
        <v>1169</v>
      </c>
      <c r="W96" s="1370">
        <f>989+180</f>
        <v>1169</v>
      </c>
      <c r="X96" s="1395"/>
      <c r="Y96" s="1395"/>
      <c r="Z96" s="1350">
        <f t="shared" si="30"/>
        <v>0</v>
      </c>
      <c r="AA96" s="1350">
        <f t="shared" si="30"/>
        <v>0</v>
      </c>
      <c r="AB96" s="1350">
        <f t="shared" si="31"/>
        <v>1169</v>
      </c>
      <c r="AC96" s="1395">
        <v>180</v>
      </c>
      <c r="AD96" s="1395">
        <v>180</v>
      </c>
      <c r="AE96" s="1395"/>
      <c r="AF96" s="1395"/>
      <c r="AG96" s="1350">
        <v>100</v>
      </c>
      <c r="AH96" s="1350"/>
      <c r="AI96" s="1357" t="s">
        <v>420</v>
      </c>
      <c r="AJ96" s="1357"/>
      <c r="AK96" s="1333"/>
    </row>
    <row r="97" spans="1:37" s="1334" customFormat="1" ht="31.5" x14ac:dyDescent="0.25">
      <c r="A97" s="1368">
        <v>31</v>
      </c>
      <c r="B97" s="1367" t="s">
        <v>1776</v>
      </c>
      <c r="C97" s="1357" t="s">
        <v>1854</v>
      </c>
      <c r="D97" s="1369">
        <v>7272</v>
      </c>
      <c r="E97" s="1370">
        <f>D97-4500</f>
        <v>2772</v>
      </c>
      <c r="F97" s="1369">
        <v>4795</v>
      </c>
      <c r="G97" s="1369">
        <f>F97-4500</f>
        <v>295</v>
      </c>
      <c r="H97" s="1370">
        <v>800</v>
      </c>
      <c r="I97" s="1370">
        <v>800</v>
      </c>
      <c r="J97" s="1397"/>
      <c r="K97" s="1397"/>
      <c r="L97" s="1370"/>
      <c r="M97" s="1370"/>
      <c r="N97" s="1397"/>
      <c r="O97" s="1397"/>
      <c r="P97" s="1395"/>
      <c r="Q97" s="1395"/>
      <c r="R97" s="1395"/>
      <c r="S97" s="1395">
        <v>0</v>
      </c>
      <c r="T97" s="1350">
        <f t="shared" si="28"/>
        <v>5595</v>
      </c>
      <c r="U97" s="1350">
        <f t="shared" si="29"/>
        <v>1095</v>
      </c>
      <c r="V97" s="1370">
        <v>1840</v>
      </c>
      <c r="W97" s="1370">
        <v>1840</v>
      </c>
      <c r="X97" s="1395"/>
      <c r="Y97" s="1395"/>
      <c r="Z97" s="1350">
        <f t="shared" si="30"/>
        <v>800</v>
      </c>
      <c r="AA97" s="1350">
        <f t="shared" si="30"/>
        <v>800</v>
      </c>
      <c r="AB97" s="1350">
        <f t="shared" si="31"/>
        <v>1040</v>
      </c>
      <c r="AC97" s="1395">
        <v>1040</v>
      </c>
      <c r="AD97" s="1395">
        <v>1040</v>
      </c>
      <c r="AE97" s="1395"/>
      <c r="AF97" s="1395"/>
      <c r="AG97" s="1350">
        <v>100</v>
      </c>
      <c r="AH97" s="1350"/>
      <c r="AI97" s="1357" t="s">
        <v>1031</v>
      </c>
      <c r="AJ97" s="1357"/>
      <c r="AK97" s="1333"/>
    </row>
    <row r="98" spans="1:37" s="1334" customFormat="1" ht="31.5" x14ac:dyDescent="0.25">
      <c r="A98" s="1368">
        <v>32</v>
      </c>
      <c r="B98" s="1397" t="s">
        <v>1018</v>
      </c>
      <c r="C98" s="1357" t="s">
        <v>1019</v>
      </c>
      <c r="D98" s="1429">
        <v>154886</v>
      </c>
      <c r="E98" s="1429">
        <v>46000</v>
      </c>
      <c r="F98" s="1369">
        <f>52316+6661+11590</f>
        <v>70567</v>
      </c>
      <c r="G98" s="1369">
        <v>8640</v>
      </c>
      <c r="H98" s="1370"/>
      <c r="I98" s="1370"/>
      <c r="J98" s="1397"/>
      <c r="K98" s="1397"/>
      <c r="L98" s="1370">
        <v>6345</v>
      </c>
      <c r="M98" s="1370">
        <v>6345</v>
      </c>
      <c r="N98" s="1397"/>
      <c r="O98" s="1397"/>
      <c r="P98" s="1395">
        <v>10000</v>
      </c>
      <c r="Q98" s="1395">
        <v>10000</v>
      </c>
      <c r="R98" s="1395">
        <v>0</v>
      </c>
      <c r="S98" s="1395">
        <v>10000</v>
      </c>
      <c r="T98" s="1350">
        <f>F98+H98+L98+P98</f>
        <v>86912</v>
      </c>
      <c r="U98" s="1350">
        <f>G98+I98+M98+Q98+R98</f>
        <v>24985</v>
      </c>
      <c r="V98" s="1370">
        <v>74319</v>
      </c>
      <c r="W98" s="1370">
        <v>27360</v>
      </c>
      <c r="X98" s="1395"/>
      <c r="Y98" s="1370">
        <v>27360</v>
      </c>
      <c r="Z98" s="1350">
        <f t="shared" si="30"/>
        <v>16345</v>
      </c>
      <c r="AA98" s="1350">
        <f t="shared" si="30"/>
        <v>16345</v>
      </c>
      <c r="AB98" s="1350">
        <f>W98-AA98</f>
        <v>11015</v>
      </c>
      <c r="AC98" s="1395">
        <v>11015</v>
      </c>
      <c r="AD98" s="1395">
        <v>11015</v>
      </c>
      <c r="AE98" s="1395"/>
      <c r="AF98" s="1350">
        <f>Y98-K98-O98-S98</f>
        <v>17360</v>
      </c>
      <c r="AG98" s="1350">
        <v>100</v>
      </c>
      <c r="AH98" s="1350"/>
      <c r="AI98" s="1368" t="s">
        <v>427</v>
      </c>
      <c r="AJ98" s="1357"/>
      <c r="AK98" s="1333"/>
    </row>
    <row r="99" spans="1:37" s="1334" customFormat="1" ht="42" x14ac:dyDescent="0.25">
      <c r="A99" s="1368">
        <v>33</v>
      </c>
      <c r="B99" s="1430" t="s">
        <v>1214</v>
      </c>
      <c r="C99" s="1368" t="s">
        <v>988</v>
      </c>
      <c r="D99" s="1370">
        <v>1281</v>
      </c>
      <c r="E99" s="1370">
        <v>1281</v>
      </c>
      <c r="F99" s="1370"/>
      <c r="G99" s="1370"/>
      <c r="H99" s="1370"/>
      <c r="I99" s="1370"/>
      <c r="J99" s="1397"/>
      <c r="K99" s="1397"/>
      <c r="L99" s="1370">
        <v>500</v>
      </c>
      <c r="M99" s="1370">
        <v>500</v>
      </c>
      <c r="N99" s="1397"/>
      <c r="O99" s="1397"/>
      <c r="P99" s="1395">
        <v>500</v>
      </c>
      <c r="Q99" s="1395">
        <v>500</v>
      </c>
      <c r="R99" s="1395"/>
      <c r="S99" s="1395"/>
      <c r="T99" s="1350">
        <f>F99+H99+L99+P99</f>
        <v>1000</v>
      </c>
      <c r="U99" s="1350">
        <f>G99+I99+M99+Q99+R99</f>
        <v>1000</v>
      </c>
      <c r="V99" s="1370">
        <v>1800</v>
      </c>
      <c r="W99" s="1370">
        <v>1800</v>
      </c>
      <c r="X99" s="1395"/>
      <c r="Y99" s="1395"/>
      <c r="Z99" s="1350">
        <f t="shared" si="30"/>
        <v>1000</v>
      </c>
      <c r="AA99" s="1350">
        <f t="shared" si="30"/>
        <v>1000</v>
      </c>
      <c r="AB99" s="1350">
        <f>W99-AA99</f>
        <v>800</v>
      </c>
      <c r="AC99" s="1395">
        <v>161</v>
      </c>
      <c r="AD99" s="1395">
        <v>161</v>
      </c>
      <c r="AE99" s="1395"/>
      <c r="AF99" s="1395"/>
      <c r="AG99" s="1350">
        <v>100</v>
      </c>
      <c r="AH99" s="1350"/>
      <c r="AI99" s="1357" t="s">
        <v>983</v>
      </c>
      <c r="AJ99" s="1357"/>
      <c r="AK99" s="1333"/>
    </row>
    <row r="100" spans="1:37" s="1334" customFormat="1" ht="31.5" x14ac:dyDescent="0.25">
      <c r="A100" s="1368">
        <v>34</v>
      </c>
      <c r="B100" s="1430" t="s">
        <v>1014</v>
      </c>
      <c r="C100" s="1357" t="s">
        <v>1015</v>
      </c>
      <c r="D100" s="1370">
        <v>2926</v>
      </c>
      <c r="E100" s="1370">
        <v>2926</v>
      </c>
      <c r="F100" s="1370"/>
      <c r="G100" s="1370"/>
      <c r="H100" s="1370"/>
      <c r="I100" s="1370"/>
      <c r="J100" s="1397"/>
      <c r="K100" s="1397"/>
      <c r="L100" s="1370">
        <v>1000</v>
      </c>
      <c r="M100" s="1370">
        <v>1000</v>
      </c>
      <c r="N100" s="1397"/>
      <c r="O100" s="1397"/>
      <c r="P100" s="1395">
        <v>1000</v>
      </c>
      <c r="Q100" s="1395">
        <v>1000</v>
      </c>
      <c r="R100" s="1395"/>
      <c r="S100" s="1395">
        <v>0</v>
      </c>
      <c r="T100" s="1350">
        <f>F100+H100+L100+P100</f>
        <v>2000</v>
      </c>
      <c r="U100" s="1350">
        <f>G100+I100+M100+Q100+R100</f>
        <v>2000</v>
      </c>
      <c r="V100" s="1370">
        <v>2633.4</v>
      </c>
      <c r="W100" s="1370">
        <v>2633.4</v>
      </c>
      <c r="X100" s="1395"/>
      <c r="Y100" s="1395"/>
      <c r="Z100" s="1350">
        <f t="shared" si="30"/>
        <v>2000</v>
      </c>
      <c r="AA100" s="1350">
        <f t="shared" si="30"/>
        <v>2000</v>
      </c>
      <c r="AB100" s="1350">
        <f>W100-AA100</f>
        <v>633.40000000000009</v>
      </c>
      <c r="AC100" s="1395">
        <v>633.40000000000009</v>
      </c>
      <c r="AD100" s="1395">
        <v>633.40000000000009</v>
      </c>
      <c r="AE100" s="1395"/>
      <c r="AF100" s="1395"/>
      <c r="AG100" s="1350">
        <v>100</v>
      </c>
      <c r="AH100" s="1350"/>
      <c r="AI100" s="1368" t="s">
        <v>418</v>
      </c>
      <c r="AJ100" s="1357"/>
      <c r="AK100" s="1333"/>
    </row>
    <row r="101" spans="1:37" s="1334" customFormat="1" ht="42" x14ac:dyDescent="0.25">
      <c r="A101" s="1368">
        <v>35</v>
      </c>
      <c r="B101" s="1431" t="s">
        <v>1687</v>
      </c>
      <c r="C101" s="1432" t="s">
        <v>984</v>
      </c>
      <c r="D101" s="1429">
        <v>775123</v>
      </c>
      <c r="E101" s="1429">
        <f>D101-653550</f>
        <v>121573</v>
      </c>
      <c r="F101" s="1369">
        <v>653085</v>
      </c>
      <c r="G101" s="1369"/>
      <c r="H101" s="1370">
        <v>2720</v>
      </c>
      <c r="I101" s="1370">
        <v>2720</v>
      </c>
      <c r="J101" s="1397"/>
      <c r="K101" s="1395">
        <v>2720</v>
      </c>
      <c r="L101" s="1370">
        <v>2500</v>
      </c>
      <c r="M101" s="1370">
        <v>2500</v>
      </c>
      <c r="N101" s="1397"/>
      <c r="O101" s="1397"/>
      <c r="P101" s="1395">
        <v>10000</v>
      </c>
      <c r="Q101" s="1395">
        <v>10000</v>
      </c>
      <c r="R101" s="1395"/>
      <c r="S101" s="1395">
        <v>10000</v>
      </c>
      <c r="T101" s="1350">
        <f>F101+H101+L101+P101</f>
        <v>668305</v>
      </c>
      <c r="U101" s="1350">
        <f>G101+I101+M101+Q101+R101</f>
        <v>15220</v>
      </c>
      <c r="V101" s="1370">
        <v>33000</v>
      </c>
      <c r="W101" s="1370">
        <v>33000</v>
      </c>
      <c r="X101" s="1395"/>
      <c r="Y101" s="1395">
        <v>26683</v>
      </c>
      <c r="Z101" s="1350">
        <f t="shared" si="30"/>
        <v>15220</v>
      </c>
      <c r="AA101" s="1350">
        <f t="shared" si="30"/>
        <v>15220</v>
      </c>
      <c r="AB101" s="1350">
        <f>W101-AA101</f>
        <v>17780</v>
      </c>
      <c r="AC101" s="1395">
        <v>17780</v>
      </c>
      <c r="AD101" s="1395">
        <v>17780</v>
      </c>
      <c r="AE101" s="1395"/>
      <c r="AF101" s="1350">
        <f>Y101-K101-O101-S101</f>
        <v>13963</v>
      </c>
      <c r="AG101" s="1350">
        <v>100</v>
      </c>
      <c r="AH101" s="1350"/>
      <c r="AI101" s="1357" t="s">
        <v>983</v>
      </c>
      <c r="AJ101" s="1357"/>
      <c r="AK101" s="1333"/>
    </row>
    <row r="102" spans="1:37" s="1334" customFormat="1" ht="21" x14ac:dyDescent="0.25">
      <c r="A102" s="1368">
        <v>36</v>
      </c>
      <c r="B102" s="1433" t="s">
        <v>1673</v>
      </c>
      <c r="C102" s="1357" t="s">
        <v>1855</v>
      </c>
      <c r="D102" s="1370">
        <v>400190</v>
      </c>
      <c r="E102" s="1370">
        <f>D102-359316</f>
        <v>40874</v>
      </c>
      <c r="F102" s="1370">
        <f>342135+15000+4216-50000</f>
        <v>311351</v>
      </c>
      <c r="G102" s="1370">
        <v>2035</v>
      </c>
      <c r="H102" s="1370"/>
      <c r="I102" s="1370"/>
      <c r="J102" s="1397"/>
      <c r="K102" s="1397"/>
      <c r="L102" s="1370"/>
      <c r="M102" s="1370"/>
      <c r="N102" s="1397"/>
      <c r="O102" s="1397"/>
      <c r="P102" s="1395"/>
      <c r="Q102" s="1395"/>
      <c r="R102" s="1395"/>
      <c r="S102" s="1395"/>
      <c r="T102" s="1350">
        <f>F102+H102+L102+P102</f>
        <v>311351</v>
      </c>
      <c r="U102" s="1350">
        <f>G102+I102+M102+Q102+R102</f>
        <v>2035</v>
      </c>
      <c r="V102" s="1397">
        <f>3712+50000</f>
        <v>53712</v>
      </c>
      <c r="W102" s="1397">
        <v>3712</v>
      </c>
      <c r="X102" s="1395"/>
      <c r="Y102" s="1395"/>
      <c r="Z102" s="1350">
        <f t="shared" si="30"/>
        <v>0</v>
      </c>
      <c r="AA102" s="1350">
        <f t="shared" si="30"/>
        <v>0</v>
      </c>
      <c r="AB102" s="1350">
        <f>W102-AA102</f>
        <v>3712</v>
      </c>
      <c r="AC102" s="1395">
        <v>3712</v>
      </c>
      <c r="AD102" s="1395">
        <v>3712</v>
      </c>
      <c r="AE102" s="1395"/>
      <c r="AF102" s="1395"/>
      <c r="AG102" s="1350">
        <f>(AC102+T102)/D102*100</f>
        <v>78.728354031834883</v>
      </c>
      <c r="AH102" s="1350"/>
      <c r="AI102" s="1368" t="s">
        <v>418</v>
      </c>
      <c r="AJ102" s="1357"/>
      <c r="AK102" s="1333"/>
    </row>
    <row r="103" spans="1:37" s="1334" customFormat="1" ht="31.5" x14ac:dyDescent="0.25">
      <c r="A103" s="1368">
        <v>37</v>
      </c>
      <c r="B103" s="1430" t="s">
        <v>999</v>
      </c>
      <c r="C103" s="1357" t="s">
        <v>1000</v>
      </c>
      <c r="D103" s="1370">
        <v>9504</v>
      </c>
      <c r="E103" s="1370">
        <v>8433</v>
      </c>
      <c r="F103" s="1370"/>
      <c r="G103" s="1370"/>
      <c r="H103" s="1370"/>
      <c r="I103" s="1370"/>
      <c r="J103" s="1397"/>
      <c r="K103" s="1397"/>
      <c r="L103" s="1370">
        <v>2500</v>
      </c>
      <c r="M103" s="1370">
        <v>1000</v>
      </c>
      <c r="N103" s="1397"/>
      <c r="O103" s="1397"/>
      <c r="P103" s="1395">
        <v>3000</v>
      </c>
      <c r="Q103" s="1395">
        <v>3000</v>
      </c>
      <c r="R103" s="1395"/>
      <c r="S103" s="1395">
        <v>0</v>
      </c>
      <c r="T103" s="1350">
        <f t="shared" si="28"/>
        <v>5500</v>
      </c>
      <c r="U103" s="1350">
        <f t="shared" si="29"/>
        <v>4000</v>
      </c>
      <c r="V103" s="1370">
        <v>8553.6</v>
      </c>
      <c r="W103" s="1370">
        <v>7589.7</v>
      </c>
      <c r="X103" s="1395"/>
      <c r="Y103" s="1395"/>
      <c r="Z103" s="1350">
        <f t="shared" si="30"/>
        <v>5500</v>
      </c>
      <c r="AA103" s="1350">
        <f t="shared" si="30"/>
        <v>4000</v>
      </c>
      <c r="AB103" s="1350">
        <f t="shared" si="31"/>
        <v>3589.7</v>
      </c>
      <c r="AC103" s="1395">
        <v>3589.7</v>
      </c>
      <c r="AD103" s="1395">
        <v>3589.7</v>
      </c>
      <c r="AE103" s="1395"/>
      <c r="AF103" s="1395"/>
      <c r="AG103" s="1350">
        <v>100</v>
      </c>
      <c r="AH103" s="1350"/>
      <c r="AI103" s="1368" t="s">
        <v>418</v>
      </c>
      <c r="AJ103" s="1357"/>
      <c r="AK103" s="1333"/>
    </row>
    <row r="104" spans="1:37" s="1334" customFormat="1" ht="18" x14ac:dyDescent="0.25">
      <c r="A104" s="1366" t="s">
        <v>439</v>
      </c>
      <c r="B104" s="1363" t="s">
        <v>1210</v>
      </c>
      <c r="C104" s="1434"/>
      <c r="D104" s="1365">
        <f t="shared" ref="D104:AF104" si="32">SUM(D105:D122)</f>
        <v>1193121.058</v>
      </c>
      <c r="E104" s="1365">
        <f t="shared" si="32"/>
        <v>200328</v>
      </c>
      <c r="F104" s="1365">
        <f t="shared" si="32"/>
        <v>878489</v>
      </c>
      <c r="G104" s="1365">
        <f t="shared" si="32"/>
        <v>35115</v>
      </c>
      <c r="H104" s="1365">
        <f t="shared" si="32"/>
        <v>151760</v>
      </c>
      <c r="I104" s="1365">
        <f t="shared" si="32"/>
        <v>3069</v>
      </c>
      <c r="J104" s="1365">
        <f t="shared" si="32"/>
        <v>2000</v>
      </c>
      <c r="K104" s="1365">
        <f t="shared" si="32"/>
        <v>0</v>
      </c>
      <c r="L104" s="1365">
        <f t="shared" si="32"/>
        <v>7935</v>
      </c>
      <c r="M104" s="1365">
        <f t="shared" si="32"/>
        <v>3312</v>
      </c>
      <c r="N104" s="1365">
        <f t="shared" si="32"/>
        <v>0</v>
      </c>
      <c r="O104" s="1365">
        <f t="shared" si="32"/>
        <v>0</v>
      </c>
      <c r="P104" s="1365">
        <f t="shared" si="32"/>
        <v>19692</v>
      </c>
      <c r="Q104" s="1365">
        <f t="shared" si="32"/>
        <v>19692</v>
      </c>
      <c r="R104" s="1365">
        <f t="shared" si="32"/>
        <v>1999.7000000000003</v>
      </c>
      <c r="S104" s="1365">
        <f t="shared" si="32"/>
        <v>1027</v>
      </c>
      <c r="T104" s="1365">
        <f t="shared" si="32"/>
        <v>1057876</v>
      </c>
      <c r="U104" s="1365">
        <f t="shared" si="32"/>
        <v>63187.7</v>
      </c>
      <c r="V104" s="1365">
        <f t="shared" si="32"/>
        <v>209587.51</v>
      </c>
      <c r="W104" s="1365">
        <f t="shared" si="32"/>
        <v>61273.51</v>
      </c>
      <c r="X104" s="1365">
        <f t="shared" si="32"/>
        <v>0</v>
      </c>
      <c r="Y104" s="1365">
        <f t="shared" si="32"/>
        <v>4019</v>
      </c>
      <c r="Z104" s="1365">
        <f t="shared" si="32"/>
        <v>179387</v>
      </c>
      <c r="AA104" s="1365">
        <f t="shared" si="32"/>
        <v>26073</v>
      </c>
      <c r="AB104" s="1365">
        <f t="shared" si="32"/>
        <v>35200.51</v>
      </c>
      <c r="AC104" s="1365">
        <f t="shared" si="32"/>
        <v>34649.51</v>
      </c>
      <c r="AD104" s="1365">
        <f t="shared" si="32"/>
        <v>34649.51</v>
      </c>
      <c r="AE104" s="1365">
        <f t="shared" si="32"/>
        <v>0</v>
      </c>
      <c r="AF104" s="1365">
        <f t="shared" si="32"/>
        <v>2992</v>
      </c>
      <c r="AG104" s="1350"/>
      <c r="AH104" s="1350"/>
      <c r="AI104" s="1434"/>
      <c r="AJ104" s="1357"/>
      <c r="AK104" s="1333">
        <v>1</v>
      </c>
    </row>
    <row r="105" spans="1:37" s="1334" customFormat="1" ht="31.5" x14ac:dyDescent="0.25">
      <c r="A105" s="1368">
        <v>1</v>
      </c>
      <c r="B105" s="1397" t="s">
        <v>1016</v>
      </c>
      <c r="C105" s="1357" t="s">
        <v>1017</v>
      </c>
      <c r="D105" s="1370">
        <v>9158</v>
      </c>
      <c r="E105" s="1370">
        <v>9158</v>
      </c>
      <c r="F105" s="1369">
        <v>4607</v>
      </c>
      <c r="G105" s="1369">
        <v>4607</v>
      </c>
      <c r="H105" s="1370"/>
      <c r="I105" s="1370"/>
      <c r="J105" s="1397"/>
      <c r="K105" s="1397"/>
      <c r="L105" s="1370"/>
      <c r="M105" s="1370"/>
      <c r="N105" s="1397"/>
      <c r="O105" s="1397"/>
      <c r="P105" s="1395">
        <v>3000</v>
      </c>
      <c r="Q105" s="1395">
        <v>3000</v>
      </c>
      <c r="R105" s="1395"/>
      <c r="S105" s="1395">
        <v>1027</v>
      </c>
      <c r="T105" s="1350">
        <f t="shared" si="28"/>
        <v>7607</v>
      </c>
      <c r="U105" s="1350">
        <f t="shared" si="29"/>
        <v>7607</v>
      </c>
      <c r="V105" s="1370">
        <v>4551</v>
      </c>
      <c r="W105" s="1370">
        <v>4551</v>
      </c>
      <c r="X105" s="1395"/>
      <c r="Y105" s="1395">
        <v>1027</v>
      </c>
      <c r="Z105" s="1350">
        <f t="shared" si="30"/>
        <v>3000</v>
      </c>
      <c r="AA105" s="1350">
        <f t="shared" si="30"/>
        <v>3000</v>
      </c>
      <c r="AB105" s="1350">
        <f t="shared" si="31"/>
        <v>1551</v>
      </c>
      <c r="AC105" s="1395">
        <v>1000</v>
      </c>
      <c r="AD105" s="1395">
        <v>1000</v>
      </c>
      <c r="AE105" s="1395"/>
      <c r="AF105" s="1350">
        <f t="shared" ref="AF105:AF106" si="33">Y105-K105-O105-S105</f>
        <v>0</v>
      </c>
      <c r="AG105" s="1350">
        <f>(U105+AD105)/E105*100</f>
        <v>93.983402489626556</v>
      </c>
      <c r="AH105" s="1350">
        <f>AB105-AC105</f>
        <v>551</v>
      </c>
      <c r="AI105" s="1357" t="s">
        <v>434</v>
      </c>
      <c r="AJ105" s="1357"/>
      <c r="AK105" s="1333"/>
    </row>
    <row r="106" spans="1:37" s="1334" customFormat="1" ht="21" x14ac:dyDescent="0.25">
      <c r="A106" s="1368">
        <v>2</v>
      </c>
      <c r="B106" s="1421" t="s">
        <v>1627</v>
      </c>
      <c r="C106" s="1368" t="s">
        <v>1856</v>
      </c>
      <c r="D106" s="1370">
        <v>14007</v>
      </c>
      <c r="E106" s="1370">
        <v>13793</v>
      </c>
      <c r="F106" s="1370">
        <v>12385</v>
      </c>
      <c r="G106" s="1370">
        <v>11885</v>
      </c>
      <c r="H106" s="1370"/>
      <c r="I106" s="1370"/>
      <c r="J106" s="1397"/>
      <c r="K106" s="1397"/>
      <c r="L106" s="1370"/>
      <c r="M106" s="1370"/>
      <c r="N106" s="1397"/>
      <c r="O106" s="1397"/>
      <c r="P106" s="1395"/>
      <c r="Q106" s="1395"/>
      <c r="R106" s="1395"/>
      <c r="S106" s="1395"/>
      <c r="T106" s="1350">
        <f t="shared" si="28"/>
        <v>12385</v>
      </c>
      <c r="U106" s="1350">
        <f t="shared" si="29"/>
        <v>11885</v>
      </c>
      <c r="V106" s="1370">
        <v>1158</v>
      </c>
      <c r="W106" s="1370">
        <v>1158</v>
      </c>
      <c r="X106" s="1395"/>
      <c r="Y106" s="1395">
        <v>1158</v>
      </c>
      <c r="Z106" s="1350">
        <f t="shared" si="30"/>
        <v>0</v>
      </c>
      <c r="AA106" s="1350">
        <f t="shared" si="30"/>
        <v>0</v>
      </c>
      <c r="AB106" s="1350">
        <f t="shared" si="31"/>
        <v>1158</v>
      </c>
      <c r="AC106" s="1395">
        <v>1158</v>
      </c>
      <c r="AD106" s="1395">
        <v>1158</v>
      </c>
      <c r="AE106" s="1395"/>
      <c r="AF106" s="1350">
        <f t="shared" si="33"/>
        <v>1158</v>
      </c>
      <c r="AG106" s="1350">
        <f>(AC106+T106)/D106*100</f>
        <v>96.687370600414084</v>
      </c>
      <c r="AH106" s="1350">
        <f t="shared" ref="AH106:AH131" si="34">AB106-AC106</f>
        <v>0</v>
      </c>
      <c r="AI106" s="1368" t="s">
        <v>427</v>
      </c>
      <c r="AJ106" s="1357"/>
      <c r="AK106" s="1333"/>
    </row>
    <row r="107" spans="1:37" s="1334" customFormat="1" ht="31.5" x14ac:dyDescent="0.25">
      <c r="A107" s="1368">
        <v>3</v>
      </c>
      <c r="B107" s="1367" t="s">
        <v>1735</v>
      </c>
      <c r="C107" s="1357" t="s">
        <v>1857</v>
      </c>
      <c r="D107" s="1370">
        <v>3837</v>
      </c>
      <c r="E107" s="1370">
        <v>3837</v>
      </c>
      <c r="F107" s="1369">
        <v>1600</v>
      </c>
      <c r="G107" s="1369">
        <v>1600</v>
      </c>
      <c r="H107" s="1370"/>
      <c r="I107" s="1370"/>
      <c r="J107" s="1397"/>
      <c r="K107" s="1397"/>
      <c r="L107" s="1370"/>
      <c r="M107" s="1370"/>
      <c r="N107" s="1397"/>
      <c r="O107" s="1397"/>
      <c r="P107" s="1395"/>
      <c r="Q107" s="1395"/>
      <c r="R107" s="1395"/>
      <c r="S107" s="1395">
        <v>0</v>
      </c>
      <c r="T107" s="1350">
        <f t="shared" si="28"/>
        <v>1600</v>
      </c>
      <c r="U107" s="1350">
        <f t="shared" si="29"/>
        <v>1600</v>
      </c>
      <c r="V107" s="1370">
        <v>25</v>
      </c>
      <c r="W107" s="1370">
        <v>25</v>
      </c>
      <c r="X107" s="1395"/>
      <c r="Y107" s="1395"/>
      <c r="Z107" s="1350">
        <f t="shared" si="30"/>
        <v>0</v>
      </c>
      <c r="AA107" s="1350">
        <f t="shared" si="30"/>
        <v>0</v>
      </c>
      <c r="AB107" s="1350">
        <f t="shared" si="31"/>
        <v>25</v>
      </c>
      <c r="AC107" s="1395">
        <v>25</v>
      </c>
      <c r="AD107" s="1395">
        <v>25</v>
      </c>
      <c r="AE107" s="1395"/>
      <c r="AF107" s="1395"/>
      <c r="AG107" s="1350"/>
      <c r="AH107" s="1350">
        <f t="shared" si="34"/>
        <v>0</v>
      </c>
      <c r="AI107" s="1357" t="s">
        <v>1858</v>
      </c>
      <c r="AJ107" s="1357"/>
      <c r="AK107" s="1333"/>
    </row>
    <row r="108" spans="1:37" s="1334" customFormat="1" ht="21" x14ac:dyDescent="0.25">
      <c r="A108" s="1368">
        <v>4</v>
      </c>
      <c r="B108" s="1367" t="s">
        <v>1763</v>
      </c>
      <c r="C108" s="1368" t="s">
        <v>1859</v>
      </c>
      <c r="D108" s="1370">
        <v>6950</v>
      </c>
      <c r="E108" s="1370">
        <v>6950</v>
      </c>
      <c r="F108" s="1369">
        <v>4812</v>
      </c>
      <c r="G108" s="1369">
        <v>4812</v>
      </c>
      <c r="H108" s="1370"/>
      <c r="I108" s="1370"/>
      <c r="J108" s="1397"/>
      <c r="K108" s="1397"/>
      <c r="L108" s="1370"/>
      <c r="M108" s="1370"/>
      <c r="N108" s="1397"/>
      <c r="O108" s="1397"/>
      <c r="P108" s="1395"/>
      <c r="Q108" s="1395"/>
      <c r="R108" s="1395"/>
      <c r="S108" s="1395">
        <v>0</v>
      </c>
      <c r="T108" s="1350">
        <f t="shared" si="28"/>
        <v>4812</v>
      </c>
      <c r="U108" s="1350">
        <f t="shared" si="29"/>
        <v>4812</v>
      </c>
      <c r="V108" s="1370">
        <v>2138</v>
      </c>
      <c r="W108" s="1370">
        <v>2138</v>
      </c>
      <c r="X108" s="1395"/>
      <c r="Y108" s="1395"/>
      <c r="Z108" s="1350">
        <f t="shared" ref="Z108:AA141" si="35">H108+L108+P108</f>
        <v>0</v>
      </c>
      <c r="AA108" s="1350">
        <f t="shared" si="35"/>
        <v>0</v>
      </c>
      <c r="AB108" s="1350">
        <f t="shared" si="31"/>
        <v>2138</v>
      </c>
      <c r="AC108" s="1395">
        <v>2138</v>
      </c>
      <c r="AD108" s="1395">
        <v>2138</v>
      </c>
      <c r="AE108" s="1395"/>
      <c r="AF108" s="1395"/>
      <c r="AG108" s="1350">
        <f t="shared" ref="AG108:AG122" si="36">(AC108+T108)/D108*100</f>
        <v>100</v>
      </c>
      <c r="AH108" s="1350">
        <f t="shared" si="34"/>
        <v>0</v>
      </c>
      <c r="AI108" s="1368" t="s">
        <v>418</v>
      </c>
      <c r="AJ108" s="1357"/>
      <c r="AK108" s="1333"/>
    </row>
    <row r="109" spans="1:37" s="1334" customFormat="1" ht="31.5" x14ac:dyDescent="0.25">
      <c r="A109" s="1368">
        <v>5</v>
      </c>
      <c r="B109" s="1397" t="s">
        <v>1759</v>
      </c>
      <c r="C109" s="1357" t="s">
        <v>1860</v>
      </c>
      <c r="D109" s="1370">
        <v>2355</v>
      </c>
      <c r="E109" s="1370">
        <v>2355</v>
      </c>
      <c r="F109" s="1369">
        <v>1700</v>
      </c>
      <c r="G109" s="1369">
        <v>1700</v>
      </c>
      <c r="H109" s="1370"/>
      <c r="I109" s="1370"/>
      <c r="J109" s="1397"/>
      <c r="K109" s="1397"/>
      <c r="L109" s="1370"/>
      <c r="M109" s="1370"/>
      <c r="N109" s="1397"/>
      <c r="O109" s="1397"/>
      <c r="P109" s="1395"/>
      <c r="Q109" s="1395"/>
      <c r="R109" s="1395"/>
      <c r="S109" s="1395">
        <v>0</v>
      </c>
      <c r="T109" s="1350">
        <f t="shared" si="28"/>
        <v>1700</v>
      </c>
      <c r="U109" s="1350">
        <f t="shared" si="29"/>
        <v>1700</v>
      </c>
      <c r="V109" s="1370">
        <v>655</v>
      </c>
      <c r="W109" s="1370">
        <v>655</v>
      </c>
      <c r="X109" s="1395"/>
      <c r="Y109" s="1395"/>
      <c r="Z109" s="1350">
        <f t="shared" si="35"/>
        <v>0</v>
      </c>
      <c r="AA109" s="1350">
        <f t="shared" si="35"/>
        <v>0</v>
      </c>
      <c r="AB109" s="1350">
        <f t="shared" si="31"/>
        <v>655</v>
      </c>
      <c r="AC109" s="1395">
        <v>655</v>
      </c>
      <c r="AD109" s="1395">
        <v>655</v>
      </c>
      <c r="AE109" s="1395"/>
      <c r="AF109" s="1395"/>
      <c r="AG109" s="1350">
        <f t="shared" si="36"/>
        <v>100</v>
      </c>
      <c r="AH109" s="1350">
        <f t="shared" si="34"/>
        <v>0</v>
      </c>
      <c r="AI109" s="1357" t="s">
        <v>1861</v>
      </c>
      <c r="AJ109" s="1357"/>
      <c r="AK109" s="1333"/>
    </row>
    <row r="110" spans="1:37" s="1334" customFormat="1" ht="21" x14ac:dyDescent="0.25">
      <c r="A110" s="1368">
        <v>6</v>
      </c>
      <c r="B110" s="1367" t="s">
        <v>1674</v>
      </c>
      <c r="C110" s="1368" t="s">
        <v>1859</v>
      </c>
      <c r="D110" s="1369">
        <v>6950</v>
      </c>
      <c r="E110" s="1369">
        <f>D110-4812</f>
        <v>2138</v>
      </c>
      <c r="F110" s="1369">
        <v>4812</v>
      </c>
      <c r="G110" s="1369"/>
      <c r="H110" s="1370"/>
      <c r="I110" s="1370"/>
      <c r="J110" s="1397"/>
      <c r="K110" s="1397"/>
      <c r="L110" s="1370"/>
      <c r="M110" s="1370"/>
      <c r="N110" s="1397"/>
      <c r="O110" s="1397"/>
      <c r="P110" s="1395"/>
      <c r="Q110" s="1395"/>
      <c r="R110" s="1395"/>
      <c r="S110" s="1395">
        <v>0</v>
      </c>
      <c r="T110" s="1350">
        <f t="shared" si="28"/>
        <v>4812</v>
      </c>
      <c r="U110" s="1350">
        <f t="shared" si="29"/>
        <v>0</v>
      </c>
      <c r="V110" s="1370">
        <v>2138</v>
      </c>
      <c r="W110" s="1370">
        <v>2138</v>
      </c>
      <c r="X110" s="1395"/>
      <c r="Y110" s="1395"/>
      <c r="Z110" s="1350">
        <f t="shared" si="35"/>
        <v>0</v>
      </c>
      <c r="AA110" s="1350">
        <f t="shared" si="35"/>
        <v>0</v>
      </c>
      <c r="AB110" s="1350">
        <f t="shared" si="31"/>
        <v>2138</v>
      </c>
      <c r="AC110" s="1395">
        <v>2138</v>
      </c>
      <c r="AD110" s="1395">
        <v>2138</v>
      </c>
      <c r="AE110" s="1395"/>
      <c r="AF110" s="1395"/>
      <c r="AG110" s="1350">
        <f t="shared" si="36"/>
        <v>100</v>
      </c>
      <c r="AH110" s="1350">
        <f t="shared" si="34"/>
        <v>0</v>
      </c>
      <c r="AI110" s="1368" t="s">
        <v>418</v>
      </c>
      <c r="AJ110" s="1357"/>
      <c r="AK110" s="1333"/>
    </row>
    <row r="111" spans="1:37" s="1334" customFormat="1" ht="31.5" x14ac:dyDescent="0.25">
      <c r="A111" s="1368">
        <v>7</v>
      </c>
      <c r="B111" s="1397" t="s">
        <v>1862</v>
      </c>
      <c r="C111" s="1368" t="s">
        <v>1863</v>
      </c>
      <c r="D111" s="1370">
        <v>6288.1579999999994</v>
      </c>
      <c r="E111" s="1370">
        <v>1257</v>
      </c>
      <c r="F111" s="1369">
        <v>5031</v>
      </c>
      <c r="G111" s="1369"/>
      <c r="H111" s="1370"/>
      <c r="I111" s="1370"/>
      <c r="J111" s="1397"/>
      <c r="K111" s="1397"/>
      <c r="L111" s="1370"/>
      <c r="M111" s="1370"/>
      <c r="N111" s="1397"/>
      <c r="O111" s="1397"/>
      <c r="P111" s="1395"/>
      <c r="Q111" s="1395"/>
      <c r="R111" s="1395"/>
      <c r="S111" s="1395">
        <v>0</v>
      </c>
      <c r="T111" s="1350">
        <f t="shared" si="28"/>
        <v>5031</v>
      </c>
      <c r="U111" s="1350">
        <f t="shared" si="29"/>
        <v>0</v>
      </c>
      <c r="V111" s="1370">
        <v>128</v>
      </c>
      <c r="W111" s="1370">
        <v>128</v>
      </c>
      <c r="X111" s="1395"/>
      <c r="Y111" s="1395"/>
      <c r="Z111" s="1350">
        <f t="shared" si="35"/>
        <v>0</v>
      </c>
      <c r="AA111" s="1350">
        <f t="shared" si="35"/>
        <v>0</v>
      </c>
      <c r="AB111" s="1350">
        <f t="shared" si="31"/>
        <v>128</v>
      </c>
      <c r="AC111" s="1395">
        <v>128</v>
      </c>
      <c r="AD111" s="1395">
        <v>128</v>
      </c>
      <c r="AE111" s="1395"/>
      <c r="AF111" s="1395"/>
      <c r="AG111" s="1350">
        <f t="shared" si="36"/>
        <v>82.04310387875114</v>
      </c>
      <c r="AH111" s="1350">
        <f t="shared" si="34"/>
        <v>0</v>
      </c>
      <c r="AI111" s="1368" t="s">
        <v>418</v>
      </c>
      <c r="AJ111" s="1357"/>
      <c r="AK111" s="1333"/>
    </row>
    <row r="112" spans="1:37" s="1334" customFormat="1" ht="31.5" x14ac:dyDescent="0.25">
      <c r="A112" s="1368">
        <v>8</v>
      </c>
      <c r="B112" s="1421" t="s">
        <v>1676</v>
      </c>
      <c r="C112" s="1368" t="s">
        <v>1864</v>
      </c>
      <c r="D112" s="1374">
        <v>5470</v>
      </c>
      <c r="E112" s="1374">
        <v>60</v>
      </c>
      <c r="F112" s="1370">
        <v>5410</v>
      </c>
      <c r="G112" s="1370"/>
      <c r="H112" s="1370"/>
      <c r="I112" s="1370"/>
      <c r="J112" s="1397"/>
      <c r="K112" s="1397"/>
      <c r="L112" s="1370"/>
      <c r="M112" s="1370"/>
      <c r="N112" s="1397"/>
      <c r="O112" s="1397"/>
      <c r="P112" s="1395"/>
      <c r="Q112" s="1395"/>
      <c r="R112" s="1395"/>
      <c r="S112" s="1395"/>
      <c r="T112" s="1350">
        <f t="shared" si="28"/>
        <v>5410</v>
      </c>
      <c r="U112" s="1350">
        <f t="shared" si="29"/>
        <v>0</v>
      </c>
      <c r="V112" s="1370">
        <v>60</v>
      </c>
      <c r="W112" s="1370">
        <v>60</v>
      </c>
      <c r="X112" s="1395"/>
      <c r="Y112" s="1395"/>
      <c r="Z112" s="1350">
        <f t="shared" si="35"/>
        <v>0</v>
      </c>
      <c r="AA112" s="1350">
        <f t="shared" si="35"/>
        <v>0</v>
      </c>
      <c r="AB112" s="1350">
        <f t="shared" si="31"/>
        <v>60</v>
      </c>
      <c r="AC112" s="1395">
        <v>60</v>
      </c>
      <c r="AD112" s="1395">
        <v>60</v>
      </c>
      <c r="AE112" s="1395"/>
      <c r="AF112" s="1395"/>
      <c r="AG112" s="1350">
        <f t="shared" si="36"/>
        <v>100</v>
      </c>
      <c r="AH112" s="1350">
        <f t="shared" si="34"/>
        <v>0</v>
      </c>
      <c r="AI112" s="1368" t="s">
        <v>418</v>
      </c>
      <c r="AJ112" s="1357"/>
      <c r="AK112" s="1333"/>
    </row>
    <row r="113" spans="1:37" s="1334" customFormat="1" ht="31.5" x14ac:dyDescent="0.25">
      <c r="A113" s="1368">
        <v>9</v>
      </c>
      <c r="B113" s="1367" t="s">
        <v>1717</v>
      </c>
      <c r="C113" s="1368" t="s">
        <v>1865</v>
      </c>
      <c r="D113" s="1370">
        <v>6757</v>
      </c>
      <c r="E113" s="1370">
        <v>6757</v>
      </c>
      <c r="F113" s="1369">
        <v>5461</v>
      </c>
      <c r="G113" s="1369">
        <v>5461</v>
      </c>
      <c r="H113" s="1370"/>
      <c r="I113" s="1370"/>
      <c r="J113" s="1397"/>
      <c r="K113" s="1397"/>
      <c r="L113" s="1370"/>
      <c r="M113" s="1370"/>
      <c r="N113" s="1397"/>
      <c r="O113" s="1397"/>
      <c r="P113" s="1395"/>
      <c r="Q113" s="1395"/>
      <c r="R113" s="1395"/>
      <c r="S113" s="1395"/>
      <c r="T113" s="1350">
        <f t="shared" si="28"/>
        <v>5461</v>
      </c>
      <c r="U113" s="1350">
        <f t="shared" si="29"/>
        <v>5461</v>
      </c>
      <c r="V113" s="1370">
        <v>1296</v>
      </c>
      <c r="W113" s="1370">
        <v>1296</v>
      </c>
      <c r="X113" s="1395"/>
      <c r="Y113" s="1395">
        <v>896</v>
      </c>
      <c r="Z113" s="1350">
        <f t="shared" si="35"/>
        <v>0</v>
      </c>
      <c r="AA113" s="1350">
        <f t="shared" si="35"/>
        <v>0</v>
      </c>
      <c r="AB113" s="1350">
        <f t="shared" si="31"/>
        <v>1296</v>
      </c>
      <c r="AC113" s="1395">
        <v>1296</v>
      </c>
      <c r="AD113" s="1395">
        <v>1296</v>
      </c>
      <c r="AE113" s="1395"/>
      <c r="AF113" s="1350">
        <f t="shared" ref="AF113:AF114" si="37">Y113-K113-O113-S113</f>
        <v>896</v>
      </c>
      <c r="AG113" s="1350">
        <f t="shared" si="36"/>
        <v>100</v>
      </c>
      <c r="AH113" s="1350">
        <f t="shared" si="34"/>
        <v>0</v>
      </c>
      <c r="AI113" s="1368" t="s">
        <v>425</v>
      </c>
      <c r="AJ113" s="1357"/>
      <c r="AK113" s="1333"/>
    </row>
    <row r="114" spans="1:37" s="1334" customFormat="1" ht="31.5" x14ac:dyDescent="0.25">
      <c r="A114" s="1368">
        <v>10</v>
      </c>
      <c r="B114" s="1435" t="s">
        <v>1702</v>
      </c>
      <c r="C114" s="1436" t="s">
        <v>1866</v>
      </c>
      <c r="D114" s="1437">
        <v>850</v>
      </c>
      <c r="E114" s="1437">
        <v>765</v>
      </c>
      <c r="F114" s="1369">
        <v>609</v>
      </c>
      <c r="G114" s="1369"/>
      <c r="H114" s="1370"/>
      <c r="I114" s="1370"/>
      <c r="J114" s="1397"/>
      <c r="K114" s="1397"/>
      <c r="L114" s="1370"/>
      <c r="M114" s="1370"/>
      <c r="N114" s="1397"/>
      <c r="O114" s="1397"/>
      <c r="P114" s="1395"/>
      <c r="Q114" s="1395"/>
      <c r="R114" s="1395"/>
      <c r="S114" s="1395"/>
      <c r="T114" s="1350">
        <f t="shared" si="28"/>
        <v>609</v>
      </c>
      <c r="U114" s="1350">
        <f t="shared" si="29"/>
        <v>0</v>
      </c>
      <c r="V114" s="1370">
        <v>156</v>
      </c>
      <c r="W114" s="1370">
        <v>156</v>
      </c>
      <c r="X114" s="1395"/>
      <c r="Y114" s="1395">
        <v>56</v>
      </c>
      <c r="Z114" s="1350">
        <f t="shared" si="35"/>
        <v>0</v>
      </c>
      <c r="AA114" s="1350">
        <f t="shared" si="35"/>
        <v>0</v>
      </c>
      <c r="AB114" s="1350">
        <f t="shared" si="31"/>
        <v>156</v>
      </c>
      <c r="AC114" s="1395">
        <v>156</v>
      </c>
      <c r="AD114" s="1395">
        <v>156</v>
      </c>
      <c r="AE114" s="1395"/>
      <c r="AF114" s="1350">
        <f t="shared" si="37"/>
        <v>56</v>
      </c>
      <c r="AG114" s="1350">
        <f t="shared" si="36"/>
        <v>90</v>
      </c>
      <c r="AH114" s="1350">
        <f t="shared" si="34"/>
        <v>0</v>
      </c>
      <c r="AI114" s="1357" t="s">
        <v>997</v>
      </c>
      <c r="AJ114" s="1357" t="s">
        <v>1211</v>
      </c>
      <c r="AK114" s="1333"/>
    </row>
    <row r="115" spans="1:37" s="1334" customFormat="1" ht="31.5" x14ac:dyDescent="0.25">
      <c r="A115" s="1368">
        <v>11</v>
      </c>
      <c r="B115" s="1433" t="s">
        <v>1710</v>
      </c>
      <c r="C115" s="1368" t="s">
        <v>1867</v>
      </c>
      <c r="D115" s="1369">
        <v>26940</v>
      </c>
      <c r="E115" s="1369">
        <v>4631</v>
      </c>
      <c r="F115" s="1369">
        <v>20444</v>
      </c>
      <c r="G115" s="1369"/>
      <c r="H115" s="1370"/>
      <c r="I115" s="1370"/>
      <c r="J115" s="1397"/>
      <c r="K115" s="1397"/>
      <c r="L115" s="1370"/>
      <c r="M115" s="1370"/>
      <c r="N115" s="1397"/>
      <c r="O115" s="1397"/>
      <c r="P115" s="1395"/>
      <c r="Q115" s="1395"/>
      <c r="R115" s="1395"/>
      <c r="S115" s="1395">
        <v>0</v>
      </c>
      <c r="T115" s="1350">
        <f t="shared" si="28"/>
        <v>20444</v>
      </c>
      <c r="U115" s="1350">
        <f t="shared" si="29"/>
        <v>0</v>
      </c>
      <c r="V115" s="1370">
        <v>4631</v>
      </c>
      <c r="W115" s="1370">
        <v>4631</v>
      </c>
      <c r="X115" s="1395"/>
      <c r="Y115" s="1395"/>
      <c r="Z115" s="1350">
        <f t="shared" si="35"/>
        <v>0</v>
      </c>
      <c r="AA115" s="1350">
        <f t="shared" si="35"/>
        <v>0</v>
      </c>
      <c r="AB115" s="1350">
        <f t="shared" si="31"/>
        <v>4631</v>
      </c>
      <c r="AC115" s="1395">
        <v>4631</v>
      </c>
      <c r="AD115" s="1395">
        <v>4631</v>
      </c>
      <c r="AE115" s="1395"/>
      <c r="AF115" s="1395"/>
      <c r="AG115" s="1350">
        <f t="shared" si="36"/>
        <v>93.077208611729773</v>
      </c>
      <c r="AH115" s="1350">
        <f t="shared" si="34"/>
        <v>0</v>
      </c>
      <c r="AI115" s="1368" t="s">
        <v>954</v>
      </c>
      <c r="AJ115" s="1357" t="s">
        <v>1211</v>
      </c>
      <c r="AK115" s="1333"/>
    </row>
    <row r="116" spans="1:37" s="1334" customFormat="1" ht="31.5" x14ac:dyDescent="0.25">
      <c r="A116" s="1368">
        <v>12</v>
      </c>
      <c r="B116" s="1367" t="s">
        <v>1212</v>
      </c>
      <c r="C116" s="1368" t="s">
        <v>1213</v>
      </c>
      <c r="D116" s="1369">
        <v>34168</v>
      </c>
      <c r="E116" s="1369">
        <f>D116-19201</f>
        <v>14967</v>
      </c>
      <c r="F116" s="1369">
        <v>19201</v>
      </c>
      <c r="G116" s="1369"/>
      <c r="H116" s="1370">
        <f>2569+5000</f>
        <v>7569</v>
      </c>
      <c r="I116" s="1370">
        <v>2569</v>
      </c>
      <c r="J116" s="1397">
        <v>2000</v>
      </c>
      <c r="K116" s="1397"/>
      <c r="L116" s="1370">
        <f>M116</f>
        <v>3000</v>
      </c>
      <c r="M116" s="1370">
        <v>3000</v>
      </c>
      <c r="N116" s="1397"/>
      <c r="O116" s="1397"/>
      <c r="P116" s="1395">
        <v>2000</v>
      </c>
      <c r="Q116" s="1395">
        <v>2000</v>
      </c>
      <c r="R116" s="1395"/>
      <c r="S116" s="1395">
        <v>0</v>
      </c>
      <c r="T116" s="1350">
        <f t="shared" si="28"/>
        <v>31770</v>
      </c>
      <c r="U116" s="1350">
        <f t="shared" si="29"/>
        <v>7569</v>
      </c>
      <c r="V116" s="1370">
        <v>9967</v>
      </c>
      <c r="W116" s="1370">
        <v>9967</v>
      </c>
      <c r="X116" s="1395"/>
      <c r="Y116" s="1395"/>
      <c r="Z116" s="1350">
        <f t="shared" si="35"/>
        <v>12569</v>
      </c>
      <c r="AA116" s="1350">
        <f t="shared" si="35"/>
        <v>7569</v>
      </c>
      <c r="AB116" s="1350">
        <f t="shared" si="31"/>
        <v>2398</v>
      </c>
      <c r="AC116" s="1395">
        <v>2398</v>
      </c>
      <c r="AD116" s="1395">
        <v>2398</v>
      </c>
      <c r="AE116" s="1395"/>
      <c r="AF116" s="1395"/>
      <c r="AG116" s="1350">
        <f t="shared" si="36"/>
        <v>100</v>
      </c>
      <c r="AH116" s="1350">
        <f t="shared" si="34"/>
        <v>0</v>
      </c>
      <c r="AI116" s="1368" t="s">
        <v>418</v>
      </c>
      <c r="AJ116" s="1357"/>
      <c r="AK116" s="1333"/>
    </row>
    <row r="117" spans="1:37" s="1334" customFormat="1" ht="21" x14ac:dyDescent="0.25">
      <c r="A117" s="1368">
        <v>13</v>
      </c>
      <c r="B117" s="1367" t="s">
        <v>1754</v>
      </c>
      <c r="C117" s="1357" t="s">
        <v>1868</v>
      </c>
      <c r="D117" s="1370">
        <v>11907</v>
      </c>
      <c r="E117" s="1370">
        <v>1774</v>
      </c>
      <c r="F117" s="1370">
        <v>4236</v>
      </c>
      <c r="G117" s="1370">
        <v>50</v>
      </c>
      <c r="H117" s="1370">
        <f>500+5897</f>
        <v>6397</v>
      </c>
      <c r="I117" s="1370">
        <v>500</v>
      </c>
      <c r="J117" s="1397"/>
      <c r="K117" s="1397"/>
      <c r="L117" s="1370"/>
      <c r="M117" s="1370"/>
      <c r="N117" s="1397"/>
      <c r="O117" s="1397"/>
      <c r="P117" s="1395"/>
      <c r="Q117" s="1395"/>
      <c r="R117" s="1395"/>
      <c r="S117" s="1395">
        <v>0</v>
      </c>
      <c r="T117" s="1350">
        <f t="shared" si="28"/>
        <v>10633</v>
      </c>
      <c r="U117" s="1350">
        <f t="shared" si="29"/>
        <v>550</v>
      </c>
      <c r="V117" s="1370">
        <v>7071</v>
      </c>
      <c r="W117" s="1370">
        <v>1174</v>
      </c>
      <c r="X117" s="1395"/>
      <c r="Y117" s="1395"/>
      <c r="Z117" s="1350">
        <f t="shared" si="35"/>
        <v>6397</v>
      </c>
      <c r="AA117" s="1350">
        <f t="shared" si="35"/>
        <v>500</v>
      </c>
      <c r="AB117" s="1350">
        <f t="shared" si="31"/>
        <v>674</v>
      </c>
      <c r="AC117" s="1395">
        <v>674</v>
      </c>
      <c r="AD117" s="1395">
        <v>674</v>
      </c>
      <c r="AE117" s="1395"/>
      <c r="AF117" s="1395"/>
      <c r="AG117" s="1350">
        <f t="shared" si="36"/>
        <v>94.960947341899725</v>
      </c>
      <c r="AH117" s="1350">
        <f t="shared" si="34"/>
        <v>0</v>
      </c>
      <c r="AI117" s="1357" t="s">
        <v>420</v>
      </c>
      <c r="AJ117" s="1357" t="s">
        <v>1211</v>
      </c>
      <c r="AK117" s="1333"/>
    </row>
    <row r="118" spans="1:37" s="1334" customFormat="1" ht="31.5" x14ac:dyDescent="0.25">
      <c r="A118" s="1368">
        <v>14</v>
      </c>
      <c r="B118" s="1421" t="s">
        <v>1029</v>
      </c>
      <c r="C118" s="1368" t="s">
        <v>1030</v>
      </c>
      <c r="D118" s="1369">
        <v>982870</v>
      </c>
      <c r="E118" s="1370">
        <v>98164</v>
      </c>
      <c r="F118" s="1369">
        <v>759706</v>
      </c>
      <c r="G118" s="1369"/>
      <c r="H118" s="1370">
        <v>125000</v>
      </c>
      <c r="I118" s="1370"/>
      <c r="J118" s="1397"/>
      <c r="K118" s="1397"/>
      <c r="L118" s="1370">
        <v>312</v>
      </c>
      <c r="M118" s="1370">
        <v>312</v>
      </c>
      <c r="N118" s="1397"/>
      <c r="O118" s="1397"/>
      <c r="P118" s="1395">
        <v>4000</v>
      </c>
      <c r="Q118" s="1395">
        <v>4000</v>
      </c>
      <c r="R118" s="1395">
        <v>2000</v>
      </c>
      <c r="S118" s="1395">
        <v>0</v>
      </c>
      <c r="T118" s="1350">
        <f t="shared" si="28"/>
        <v>889018</v>
      </c>
      <c r="U118" s="1350">
        <f t="shared" si="29"/>
        <v>6312</v>
      </c>
      <c r="V118" s="1370">
        <v>136936</v>
      </c>
      <c r="W118" s="1370">
        <v>11936</v>
      </c>
      <c r="X118" s="1395"/>
      <c r="Y118" s="1395"/>
      <c r="Z118" s="1350">
        <f t="shared" si="35"/>
        <v>129312</v>
      </c>
      <c r="AA118" s="1350">
        <f t="shared" si="35"/>
        <v>4312</v>
      </c>
      <c r="AB118" s="1350">
        <f t="shared" si="31"/>
        <v>7624</v>
      </c>
      <c r="AC118" s="1395">
        <v>7624</v>
      </c>
      <c r="AD118" s="1395">
        <v>7624</v>
      </c>
      <c r="AE118" s="1395"/>
      <c r="AF118" s="1395"/>
      <c r="AG118" s="1350">
        <f t="shared" si="36"/>
        <v>91.226917089747374</v>
      </c>
      <c r="AH118" s="1350">
        <f t="shared" si="34"/>
        <v>0</v>
      </c>
      <c r="AI118" s="1368" t="s">
        <v>418</v>
      </c>
      <c r="AJ118" s="1357"/>
      <c r="AK118" s="1333"/>
    </row>
    <row r="119" spans="1:37" s="1334" customFormat="1" ht="31.5" x14ac:dyDescent="0.25">
      <c r="A119" s="1368">
        <v>15</v>
      </c>
      <c r="B119" s="1438" t="s">
        <v>1718</v>
      </c>
      <c r="C119" s="1357" t="s">
        <v>1869</v>
      </c>
      <c r="D119" s="1384">
        <v>4313</v>
      </c>
      <c r="E119" s="1384">
        <v>4313</v>
      </c>
      <c r="F119" s="1369">
        <v>3000</v>
      </c>
      <c r="G119" s="1369">
        <v>3000</v>
      </c>
      <c r="H119" s="1384"/>
      <c r="I119" s="1384"/>
      <c r="J119" s="1397"/>
      <c r="K119" s="1397"/>
      <c r="L119" s="1384"/>
      <c r="M119" s="1384"/>
      <c r="N119" s="1397"/>
      <c r="O119" s="1397"/>
      <c r="P119" s="1395"/>
      <c r="Q119" s="1395"/>
      <c r="R119" s="1395">
        <v>-0.29999999999972715</v>
      </c>
      <c r="S119" s="1395"/>
      <c r="T119" s="1350">
        <f t="shared" si="28"/>
        <v>3000</v>
      </c>
      <c r="U119" s="1350">
        <f t="shared" si="29"/>
        <v>2999.7000000000003</v>
      </c>
      <c r="V119" s="1370">
        <v>881.70000000000027</v>
      </c>
      <c r="W119" s="1370">
        <v>881.70000000000027</v>
      </c>
      <c r="X119" s="1395"/>
      <c r="Y119" s="1395">
        <v>882</v>
      </c>
      <c r="Z119" s="1350">
        <f t="shared" si="35"/>
        <v>0</v>
      </c>
      <c r="AA119" s="1350">
        <f t="shared" si="35"/>
        <v>0</v>
      </c>
      <c r="AB119" s="1350">
        <f t="shared" si="31"/>
        <v>881.70000000000027</v>
      </c>
      <c r="AC119" s="1395">
        <v>881.70000000000027</v>
      </c>
      <c r="AD119" s="1395">
        <v>881.70000000000027</v>
      </c>
      <c r="AE119" s="1395"/>
      <c r="AF119" s="1350">
        <f>Y119-K119-O119-S119</f>
        <v>882</v>
      </c>
      <c r="AG119" s="1350">
        <f t="shared" si="36"/>
        <v>90</v>
      </c>
      <c r="AH119" s="1350">
        <f t="shared" si="34"/>
        <v>0</v>
      </c>
      <c r="AI119" s="1368" t="s">
        <v>425</v>
      </c>
      <c r="AJ119" s="1357"/>
      <c r="AK119" s="1333"/>
    </row>
    <row r="120" spans="1:37" s="1334" customFormat="1" ht="31.5" x14ac:dyDescent="0.25">
      <c r="A120" s="1368">
        <v>16</v>
      </c>
      <c r="B120" s="1421" t="s">
        <v>1719</v>
      </c>
      <c r="C120" s="1368" t="s">
        <v>1870</v>
      </c>
      <c r="D120" s="1369">
        <v>2887</v>
      </c>
      <c r="E120" s="1369">
        <v>2887</v>
      </c>
      <c r="F120" s="1369">
        <v>2000</v>
      </c>
      <c r="G120" s="1369">
        <v>2000</v>
      </c>
      <c r="H120" s="1370"/>
      <c r="I120" s="1370"/>
      <c r="J120" s="1397"/>
      <c r="K120" s="1397"/>
      <c r="L120" s="1370"/>
      <c r="M120" s="1370"/>
      <c r="N120" s="1397"/>
      <c r="O120" s="1397"/>
      <c r="P120" s="1395"/>
      <c r="Q120" s="1395"/>
      <c r="R120" s="1395"/>
      <c r="S120" s="1395"/>
      <c r="T120" s="1350">
        <f t="shared" si="28"/>
        <v>2000</v>
      </c>
      <c r="U120" s="1350">
        <f t="shared" si="29"/>
        <v>2000</v>
      </c>
      <c r="V120" s="1370">
        <v>598.30000000000018</v>
      </c>
      <c r="W120" s="1370">
        <v>598.30000000000018</v>
      </c>
      <c r="X120" s="1395"/>
      <c r="Y120" s="1395"/>
      <c r="Z120" s="1350">
        <f t="shared" si="35"/>
        <v>0</v>
      </c>
      <c r="AA120" s="1350">
        <f t="shared" si="35"/>
        <v>0</v>
      </c>
      <c r="AB120" s="1350">
        <f t="shared" si="31"/>
        <v>598.30000000000018</v>
      </c>
      <c r="AC120" s="1395">
        <v>598.30000000000018</v>
      </c>
      <c r="AD120" s="1395">
        <v>598.30000000000018</v>
      </c>
      <c r="AE120" s="1395"/>
      <c r="AF120" s="1395"/>
      <c r="AG120" s="1350">
        <f t="shared" si="36"/>
        <v>90</v>
      </c>
      <c r="AH120" s="1350">
        <f t="shared" si="34"/>
        <v>0</v>
      </c>
      <c r="AI120" s="1368" t="s">
        <v>425</v>
      </c>
      <c r="AJ120" s="1357"/>
      <c r="AK120" s="1333"/>
    </row>
    <row r="121" spans="1:37" s="1334" customFormat="1" ht="31.5" x14ac:dyDescent="0.25">
      <c r="A121" s="1368">
        <v>17</v>
      </c>
      <c r="B121" s="1433" t="s">
        <v>1700</v>
      </c>
      <c r="C121" s="1357" t="s">
        <v>1871</v>
      </c>
      <c r="D121" s="1374">
        <v>13730.9</v>
      </c>
      <c r="E121" s="1374">
        <v>1399</v>
      </c>
      <c r="F121" s="1369">
        <v>12332</v>
      </c>
      <c r="G121" s="1369"/>
      <c r="H121" s="1370"/>
      <c r="I121" s="1370"/>
      <c r="J121" s="1397"/>
      <c r="K121" s="1397"/>
      <c r="L121" s="1370"/>
      <c r="M121" s="1370"/>
      <c r="N121" s="1397"/>
      <c r="O121" s="1397"/>
      <c r="P121" s="1395"/>
      <c r="Q121" s="1395"/>
      <c r="R121" s="1395"/>
      <c r="S121" s="1395"/>
      <c r="T121" s="1350">
        <f t="shared" si="28"/>
        <v>12332</v>
      </c>
      <c r="U121" s="1350">
        <f t="shared" si="29"/>
        <v>0</v>
      </c>
      <c r="V121" s="1370">
        <v>25.809999999999491</v>
      </c>
      <c r="W121" s="1370">
        <v>25.809999999999491</v>
      </c>
      <c r="X121" s="1395"/>
      <c r="Y121" s="1395"/>
      <c r="Z121" s="1350">
        <f t="shared" si="35"/>
        <v>0</v>
      </c>
      <c r="AA121" s="1350">
        <f t="shared" si="35"/>
        <v>0</v>
      </c>
      <c r="AB121" s="1350">
        <f t="shared" si="31"/>
        <v>25.809999999999491</v>
      </c>
      <c r="AC121" s="1395">
        <v>25.809999999999491</v>
      </c>
      <c r="AD121" s="1395">
        <v>25.809999999999491</v>
      </c>
      <c r="AE121" s="1395"/>
      <c r="AF121" s="1395"/>
      <c r="AG121" s="1350">
        <f t="shared" si="36"/>
        <v>90</v>
      </c>
      <c r="AH121" s="1350">
        <f t="shared" si="34"/>
        <v>0</v>
      </c>
      <c r="AI121" s="1357" t="s">
        <v>1872</v>
      </c>
      <c r="AJ121" s="1357"/>
      <c r="AK121" s="1333"/>
    </row>
    <row r="122" spans="1:37" s="1334" customFormat="1" ht="42" x14ac:dyDescent="0.25">
      <c r="A122" s="1368">
        <v>18</v>
      </c>
      <c r="B122" s="1431" t="s">
        <v>985</v>
      </c>
      <c r="C122" s="1357" t="s">
        <v>986</v>
      </c>
      <c r="D122" s="1370">
        <v>53683</v>
      </c>
      <c r="E122" s="1370">
        <f>D122-28560</f>
        <v>25123</v>
      </c>
      <c r="F122" s="1369">
        <v>11143</v>
      </c>
      <c r="G122" s="1369"/>
      <c r="H122" s="1370">
        <v>12794</v>
      </c>
      <c r="I122" s="1370"/>
      <c r="J122" s="1397"/>
      <c r="K122" s="1397"/>
      <c r="L122" s="1370">
        <v>4623</v>
      </c>
      <c r="M122" s="1370"/>
      <c r="N122" s="1397"/>
      <c r="O122" s="1397"/>
      <c r="P122" s="1395">
        <v>10692</v>
      </c>
      <c r="Q122" s="1395">
        <v>10692</v>
      </c>
      <c r="R122" s="1395"/>
      <c r="S122" s="1395">
        <v>0</v>
      </c>
      <c r="T122" s="1350">
        <f t="shared" si="28"/>
        <v>39252</v>
      </c>
      <c r="U122" s="1350">
        <f t="shared" si="29"/>
        <v>10692</v>
      </c>
      <c r="V122" s="1370">
        <v>37171.700000000004</v>
      </c>
      <c r="W122" s="1370">
        <v>19754.700000000004</v>
      </c>
      <c r="X122" s="1395"/>
      <c r="Y122" s="1395"/>
      <c r="Z122" s="1350">
        <f t="shared" si="35"/>
        <v>28109</v>
      </c>
      <c r="AA122" s="1350">
        <f>I122+M122+Q122</f>
        <v>10692</v>
      </c>
      <c r="AB122" s="1350">
        <f t="shared" si="31"/>
        <v>9062.7000000000044</v>
      </c>
      <c r="AC122" s="1395">
        <v>9062.7000000000044</v>
      </c>
      <c r="AD122" s="1395">
        <v>9062.7000000000044</v>
      </c>
      <c r="AE122" s="1395"/>
      <c r="AF122" s="1395"/>
      <c r="AG122" s="1350">
        <f t="shared" si="36"/>
        <v>90.000000000000014</v>
      </c>
      <c r="AH122" s="1350">
        <f t="shared" si="34"/>
        <v>0</v>
      </c>
      <c r="AI122" s="1357" t="s">
        <v>983</v>
      </c>
      <c r="AJ122" s="1357" t="s">
        <v>1873</v>
      </c>
      <c r="AK122" s="1333"/>
    </row>
    <row r="123" spans="1:37" s="1392" customFormat="1" ht="10.5" x14ac:dyDescent="0.25">
      <c r="A123" s="1390" t="s">
        <v>147</v>
      </c>
      <c r="B123" s="1391" t="s">
        <v>1798</v>
      </c>
      <c r="C123" s="1380"/>
      <c r="D123" s="1349">
        <f t="shared" ref="D123:AF123" si="38">SUM(D124:D131)</f>
        <v>150741.4</v>
      </c>
      <c r="E123" s="1349">
        <f t="shared" si="38"/>
        <v>78520.5</v>
      </c>
      <c r="F123" s="1349">
        <f t="shared" si="38"/>
        <v>63440</v>
      </c>
      <c r="G123" s="1349">
        <f t="shared" si="38"/>
        <v>21474</v>
      </c>
      <c r="H123" s="1349">
        <f t="shared" si="38"/>
        <v>0</v>
      </c>
      <c r="I123" s="1349">
        <f t="shared" si="38"/>
        <v>0</v>
      </c>
      <c r="J123" s="1349">
        <f t="shared" si="38"/>
        <v>0</v>
      </c>
      <c r="K123" s="1349">
        <f t="shared" si="38"/>
        <v>0</v>
      </c>
      <c r="L123" s="1349">
        <f t="shared" si="38"/>
        <v>1200</v>
      </c>
      <c r="M123" s="1349">
        <f t="shared" si="38"/>
        <v>1200</v>
      </c>
      <c r="N123" s="1349">
        <f t="shared" si="38"/>
        <v>0</v>
      </c>
      <c r="O123" s="1349">
        <f t="shared" si="38"/>
        <v>0</v>
      </c>
      <c r="P123" s="1349">
        <f t="shared" si="38"/>
        <v>12289</v>
      </c>
      <c r="Q123" s="1349">
        <f t="shared" si="38"/>
        <v>12289</v>
      </c>
      <c r="R123" s="1349">
        <f t="shared" si="38"/>
        <v>0</v>
      </c>
      <c r="S123" s="1349">
        <f t="shared" si="38"/>
        <v>0</v>
      </c>
      <c r="T123" s="1349">
        <f t="shared" si="38"/>
        <v>76929</v>
      </c>
      <c r="U123" s="1349">
        <f t="shared" si="38"/>
        <v>34963</v>
      </c>
      <c r="V123" s="1349">
        <f t="shared" si="38"/>
        <v>41071.149999999994</v>
      </c>
      <c r="W123" s="1349">
        <f t="shared" si="38"/>
        <v>40298.050000000003</v>
      </c>
      <c r="X123" s="1349">
        <f t="shared" si="38"/>
        <v>0</v>
      </c>
      <c r="Y123" s="1349">
        <f t="shared" si="38"/>
        <v>6796</v>
      </c>
      <c r="Z123" s="1349">
        <f t="shared" si="38"/>
        <v>13489</v>
      </c>
      <c r="AA123" s="1349">
        <f t="shared" si="38"/>
        <v>13489</v>
      </c>
      <c r="AB123" s="1349">
        <f t="shared" si="38"/>
        <v>26809.05</v>
      </c>
      <c r="AC123" s="1349">
        <f t="shared" si="38"/>
        <v>26809.05</v>
      </c>
      <c r="AD123" s="1349">
        <f t="shared" si="38"/>
        <v>26809.05</v>
      </c>
      <c r="AE123" s="1349">
        <f t="shared" si="38"/>
        <v>0</v>
      </c>
      <c r="AF123" s="1349">
        <f t="shared" si="38"/>
        <v>6796</v>
      </c>
      <c r="AG123" s="1350"/>
      <c r="AH123" s="1350">
        <f t="shared" si="34"/>
        <v>0</v>
      </c>
      <c r="AI123" s="1380"/>
      <c r="AJ123" s="1380"/>
      <c r="AK123" s="1353">
        <v>1</v>
      </c>
    </row>
    <row r="124" spans="1:37" s="1334" customFormat="1" ht="21" x14ac:dyDescent="0.25">
      <c r="A124" s="1368">
        <v>1</v>
      </c>
      <c r="B124" s="1397" t="s">
        <v>1001</v>
      </c>
      <c r="C124" s="1357"/>
      <c r="D124" s="1370">
        <v>32000</v>
      </c>
      <c r="E124" s="1370">
        <v>32000</v>
      </c>
      <c r="F124" s="1369">
        <f>9000+5974</f>
        <v>14974</v>
      </c>
      <c r="G124" s="1369">
        <f>9000+5974</f>
        <v>14974</v>
      </c>
      <c r="H124" s="1370"/>
      <c r="I124" s="1370"/>
      <c r="J124" s="1397"/>
      <c r="K124" s="1397"/>
      <c r="L124" s="1370"/>
      <c r="M124" s="1370"/>
      <c r="N124" s="1397"/>
      <c r="O124" s="1397"/>
      <c r="P124" s="1395">
        <v>8289</v>
      </c>
      <c r="Q124" s="1395">
        <v>8289</v>
      </c>
      <c r="R124" s="1395"/>
      <c r="S124" s="1395">
        <v>0</v>
      </c>
      <c r="T124" s="1350">
        <f t="shared" si="28"/>
        <v>23263</v>
      </c>
      <c r="U124" s="1350">
        <f t="shared" si="29"/>
        <v>23263</v>
      </c>
      <c r="V124" s="1370">
        <v>13826</v>
      </c>
      <c r="W124" s="1370">
        <v>13826</v>
      </c>
      <c r="X124" s="1395"/>
      <c r="Y124" s="1395"/>
      <c r="Z124" s="1350">
        <f t="shared" si="35"/>
        <v>8289</v>
      </c>
      <c r="AA124" s="1350">
        <f t="shared" si="35"/>
        <v>8289</v>
      </c>
      <c r="AB124" s="1350">
        <f t="shared" si="31"/>
        <v>5537</v>
      </c>
      <c r="AC124" s="1395">
        <v>5537</v>
      </c>
      <c r="AD124" s="1395">
        <v>5537</v>
      </c>
      <c r="AE124" s="1395"/>
      <c r="AF124" s="1395"/>
      <c r="AG124" s="1350">
        <f t="shared" ref="AG124:AG128" si="39">(AC124+T124)/D124*100</f>
        <v>90</v>
      </c>
      <c r="AH124" s="1350">
        <f t="shared" si="34"/>
        <v>0</v>
      </c>
      <c r="AI124" s="1368" t="s">
        <v>427</v>
      </c>
      <c r="AJ124" s="1357"/>
      <c r="AK124" s="1333"/>
    </row>
    <row r="125" spans="1:37" s="1334" customFormat="1" ht="21" x14ac:dyDescent="0.25">
      <c r="A125" s="1368">
        <v>2</v>
      </c>
      <c r="B125" s="1438" t="s">
        <v>1714</v>
      </c>
      <c r="C125" s="1357" t="s">
        <v>1874</v>
      </c>
      <c r="D125" s="1384">
        <v>9852</v>
      </c>
      <c r="E125" s="1384">
        <v>9852</v>
      </c>
      <c r="F125" s="1369">
        <v>3500</v>
      </c>
      <c r="G125" s="1369">
        <v>3500</v>
      </c>
      <c r="H125" s="1384"/>
      <c r="I125" s="1384"/>
      <c r="J125" s="1397"/>
      <c r="K125" s="1397"/>
      <c r="L125" s="1384"/>
      <c r="M125" s="1384"/>
      <c r="N125" s="1397"/>
      <c r="O125" s="1397"/>
      <c r="P125" s="1395"/>
      <c r="Q125" s="1395"/>
      <c r="R125" s="1395">
        <v>0</v>
      </c>
      <c r="S125" s="1395"/>
      <c r="T125" s="1350">
        <f t="shared" si="28"/>
        <v>3500</v>
      </c>
      <c r="U125" s="1350">
        <f t="shared" si="29"/>
        <v>3500</v>
      </c>
      <c r="V125" s="1370">
        <f>W125</f>
        <v>2727</v>
      </c>
      <c r="W125" s="1370">
        <v>2727</v>
      </c>
      <c r="X125" s="1395"/>
      <c r="Y125" s="1395">
        <v>2727</v>
      </c>
      <c r="Z125" s="1350">
        <f t="shared" si="35"/>
        <v>0</v>
      </c>
      <c r="AA125" s="1350">
        <f t="shared" si="35"/>
        <v>0</v>
      </c>
      <c r="AB125" s="1350">
        <f t="shared" si="31"/>
        <v>2727</v>
      </c>
      <c r="AC125" s="1395">
        <v>2727</v>
      </c>
      <c r="AD125" s="1395">
        <v>2727</v>
      </c>
      <c r="AE125" s="1395"/>
      <c r="AF125" s="1350">
        <f>Y125-K125-O125-S125</f>
        <v>2727</v>
      </c>
      <c r="AG125" s="1350">
        <f>(AC125+T125+2640)/D125*100</f>
        <v>90.002030044660984</v>
      </c>
      <c r="AH125" s="1350">
        <f t="shared" si="34"/>
        <v>0</v>
      </c>
      <c r="AI125" s="1368" t="s">
        <v>425</v>
      </c>
      <c r="AJ125" s="1357"/>
      <c r="AK125" s="1333"/>
    </row>
    <row r="126" spans="1:37" s="1334" customFormat="1" ht="31.5" x14ac:dyDescent="0.25">
      <c r="A126" s="1368">
        <v>3</v>
      </c>
      <c r="B126" s="1397" t="s">
        <v>1770</v>
      </c>
      <c r="C126" s="1357" t="s">
        <v>1875</v>
      </c>
      <c r="D126" s="1370">
        <v>14911</v>
      </c>
      <c r="E126" s="1370">
        <f>D126-11405</f>
        <v>3506</v>
      </c>
      <c r="F126" s="1369">
        <v>11405</v>
      </c>
      <c r="G126" s="1369"/>
      <c r="H126" s="1370"/>
      <c r="I126" s="1370"/>
      <c r="J126" s="1397"/>
      <c r="K126" s="1397"/>
      <c r="L126" s="1370"/>
      <c r="M126" s="1370"/>
      <c r="N126" s="1397"/>
      <c r="O126" s="1397"/>
      <c r="P126" s="1395"/>
      <c r="Q126" s="1395"/>
      <c r="R126" s="1395"/>
      <c r="S126" s="1395">
        <v>0</v>
      </c>
      <c r="T126" s="1350">
        <f t="shared" si="28"/>
        <v>11405</v>
      </c>
      <c r="U126" s="1350">
        <f t="shared" si="29"/>
        <v>0</v>
      </c>
      <c r="V126" s="1370">
        <v>2014.8999999999996</v>
      </c>
      <c r="W126" s="1370">
        <v>2014.8999999999996</v>
      </c>
      <c r="X126" s="1395"/>
      <c r="Y126" s="1395"/>
      <c r="Z126" s="1350">
        <f t="shared" si="35"/>
        <v>0</v>
      </c>
      <c r="AA126" s="1350">
        <f t="shared" si="35"/>
        <v>0</v>
      </c>
      <c r="AB126" s="1350">
        <f t="shared" si="31"/>
        <v>2014.8999999999996</v>
      </c>
      <c r="AC126" s="1395">
        <v>2014.8999999999996</v>
      </c>
      <c r="AD126" s="1395">
        <v>2014.8999999999996</v>
      </c>
      <c r="AE126" s="1395"/>
      <c r="AF126" s="1395"/>
      <c r="AG126" s="1350">
        <f t="shared" si="39"/>
        <v>90</v>
      </c>
      <c r="AH126" s="1350">
        <f t="shared" si="34"/>
        <v>0</v>
      </c>
      <c r="AI126" s="1368" t="s">
        <v>418</v>
      </c>
      <c r="AJ126" s="1357"/>
      <c r="AK126" s="1333"/>
    </row>
    <row r="127" spans="1:37" s="1334" customFormat="1" ht="21" x14ac:dyDescent="0.25">
      <c r="A127" s="1368">
        <v>4</v>
      </c>
      <c r="B127" s="1367" t="s">
        <v>1712</v>
      </c>
      <c r="C127" s="1357" t="s">
        <v>1876</v>
      </c>
      <c r="D127" s="1370">
        <v>39869</v>
      </c>
      <c r="E127" s="1370">
        <f>D127-F127</f>
        <v>9308</v>
      </c>
      <c r="F127" s="1369">
        <v>30561</v>
      </c>
      <c r="G127" s="1369"/>
      <c r="H127" s="1370"/>
      <c r="I127" s="1370"/>
      <c r="J127" s="1397"/>
      <c r="K127" s="1397"/>
      <c r="L127" s="1370"/>
      <c r="M127" s="1370"/>
      <c r="N127" s="1397"/>
      <c r="O127" s="1397"/>
      <c r="P127" s="1395"/>
      <c r="Q127" s="1395"/>
      <c r="R127" s="1395"/>
      <c r="S127" s="1395">
        <v>0</v>
      </c>
      <c r="T127" s="1350">
        <f t="shared" si="28"/>
        <v>30561</v>
      </c>
      <c r="U127" s="1350">
        <f t="shared" si="29"/>
        <v>0</v>
      </c>
      <c r="V127" s="1370">
        <v>5321.0999999999985</v>
      </c>
      <c r="W127" s="1370">
        <v>5321.0999999999985</v>
      </c>
      <c r="X127" s="1395"/>
      <c r="Y127" s="1395"/>
      <c r="Z127" s="1350">
        <f t="shared" si="35"/>
        <v>0</v>
      </c>
      <c r="AA127" s="1350">
        <f t="shared" si="35"/>
        <v>0</v>
      </c>
      <c r="AB127" s="1350">
        <f t="shared" si="31"/>
        <v>5321.0999999999985</v>
      </c>
      <c r="AC127" s="1395">
        <v>5321.0999999999985</v>
      </c>
      <c r="AD127" s="1395">
        <v>5321.0999999999985</v>
      </c>
      <c r="AE127" s="1395"/>
      <c r="AF127" s="1395"/>
      <c r="AG127" s="1350">
        <f t="shared" si="39"/>
        <v>89.999999999999986</v>
      </c>
      <c r="AH127" s="1350">
        <f t="shared" si="34"/>
        <v>0</v>
      </c>
      <c r="AI127" s="1357" t="s">
        <v>426</v>
      </c>
      <c r="AJ127" s="1357"/>
      <c r="AK127" s="1333"/>
    </row>
    <row r="128" spans="1:37" s="1334" customFormat="1" ht="31.5" x14ac:dyDescent="0.25">
      <c r="A128" s="1368">
        <v>5</v>
      </c>
      <c r="B128" s="1367" t="s">
        <v>1716</v>
      </c>
      <c r="C128" s="1368" t="s">
        <v>1877</v>
      </c>
      <c r="D128" s="1369">
        <v>7854.5</v>
      </c>
      <c r="E128" s="1369">
        <f>D128</f>
        <v>7854.5</v>
      </c>
      <c r="F128" s="1369">
        <v>3000</v>
      </c>
      <c r="G128" s="1369">
        <v>3000</v>
      </c>
      <c r="H128" s="1370"/>
      <c r="I128" s="1370"/>
      <c r="J128" s="1397"/>
      <c r="K128" s="1397"/>
      <c r="L128" s="1370"/>
      <c r="M128" s="1370"/>
      <c r="N128" s="1397"/>
      <c r="O128" s="1397"/>
      <c r="P128" s="1395"/>
      <c r="Q128" s="1395"/>
      <c r="R128" s="1395"/>
      <c r="S128" s="1395"/>
      <c r="T128" s="1350">
        <f t="shared" si="28"/>
        <v>3000</v>
      </c>
      <c r="U128" s="1350">
        <f t="shared" si="29"/>
        <v>3000</v>
      </c>
      <c r="V128" s="1370">
        <v>4069.05</v>
      </c>
      <c r="W128" s="1370">
        <v>4069.05</v>
      </c>
      <c r="X128" s="1395"/>
      <c r="Y128" s="1395">
        <v>4069</v>
      </c>
      <c r="Z128" s="1350">
        <f t="shared" si="35"/>
        <v>0</v>
      </c>
      <c r="AA128" s="1350">
        <f t="shared" si="35"/>
        <v>0</v>
      </c>
      <c r="AB128" s="1350">
        <f t="shared" si="31"/>
        <v>4069.05</v>
      </c>
      <c r="AC128" s="1395">
        <v>4069.05</v>
      </c>
      <c r="AD128" s="1395">
        <v>4069.05</v>
      </c>
      <c r="AE128" s="1395"/>
      <c r="AF128" s="1350">
        <f>Y128-K128-O128-S128</f>
        <v>4069</v>
      </c>
      <c r="AG128" s="1350">
        <f t="shared" si="39"/>
        <v>90</v>
      </c>
      <c r="AH128" s="1350">
        <f t="shared" si="34"/>
        <v>0</v>
      </c>
      <c r="AI128" s="1368" t="s">
        <v>425</v>
      </c>
      <c r="AJ128" s="1357"/>
      <c r="AK128" s="1333"/>
    </row>
    <row r="129" spans="1:38" s="1334" customFormat="1" ht="21" x14ac:dyDescent="0.25">
      <c r="A129" s="1368">
        <v>6</v>
      </c>
      <c r="B129" s="1430" t="s">
        <v>1722</v>
      </c>
      <c r="C129" s="1368" t="s">
        <v>1878</v>
      </c>
      <c r="D129" s="1370">
        <v>3454.9</v>
      </c>
      <c r="E129" s="1370">
        <v>2600</v>
      </c>
      <c r="F129" s="1439"/>
      <c r="G129" s="1370"/>
      <c r="H129" s="1370"/>
      <c r="I129" s="1370"/>
      <c r="J129" s="1397"/>
      <c r="K129" s="1397"/>
      <c r="L129" s="1370">
        <v>1200</v>
      </c>
      <c r="M129" s="1370">
        <v>1200</v>
      </c>
      <c r="N129" s="1397"/>
      <c r="O129" s="1397"/>
      <c r="P129" s="1350"/>
      <c r="Q129" s="1440"/>
      <c r="R129" s="1395"/>
      <c r="S129" s="1395">
        <v>0</v>
      </c>
      <c r="T129" s="1350">
        <f t="shared" si="28"/>
        <v>1200</v>
      </c>
      <c r="U129" s="1350">
        <f t="shared" si="29"/>
        <v>1200</v>
      </c>
      <c r="V129" s="1370">
        <v>3113.1</v>
      </c>
      <c r="W129" s="1370">
        <v>2340</v>
      </c>
      <c r="X129" s="1395"/>
      <c r="Y129" s="1395"/>
      <c r="Z129" s="1350">
        <f t="shared" si="35"/>
        <v>1200</v>
      </c>
      <c r="AA129" s="1350">
        <f t="shared" si="35"/>
        <v>1200</v>
      </c>
      <c r="AB129" s="1350">
        <f t="shared" si="31"/>
        <v>1140</v>
      </c>
      <c r="AC129" s="1395">
        <v>1140</v>
      </c>
      <c r="AD129" s="1395">
        <v>1140</v>
      </c>
      <c r="AE129" s="1395"/>
      <c r="AF129" s="1395"/>
      <c r="AG129" s="1350">
        <f>(AC129+T129)/E129*100</f>
        <v>90</v>
      </c>
      <c r="AH129" s="1350">
        <f t="shared" si="34"/>
        <v>0</v>
      </c>
      <c r="AI129" s="1357" t="s">
        <v>423</v>
      </c>
      <c r="AJ129" s="1357"/>
      <c r="AK129" s="1333"/>
    </row>
    <row r="130" spans="1:38" s="1334" customFormat="1" ht="21" x14ac:dyDescent="0.25">
      <c r="A130" s="1368">
        <v>7</v>
      </c>
      <c r="B130" s="1438" t="s">
        <v>1749</v>
      </c>
      <c r="C130" s="1357" t="s">
        <v>1879</v>
      </c>
      <c r="D130" s="1369">
        <v>34000</v>
      </c>
      <c r="E130" s="1369">
        <f>D130-11000-15000</f>
        <v>8000</v>
      </c>
      <c r="F130" s="1370"/>
      <c r="G130" s="1370"/>
      <c r="H130" s="1370"/>
      <c r="I130" s="1370"/>
      <c r="J130" s="1397"/>
      <c r="K130" s="1397"/>
      <c r="L130" s="1370"/>
      <c r="M130" s="1370"/>
      <c r="N130" s="1397"/>
      <c r="O130" s="1397"/>
      <c r="P130" s="1395"/>
      <c r="Q130" s="1395"/>
      <c r="R130" s="1395"/>
      <c r="S130" s="1395"/>
      <c r="T130" s="1350">
        <f t="shared" si="28"/>
        <v>0</v>
      </c>
      <c r="U130" s="1350">
        <f t="shared" si="29"/>
        <v>0</v>
      </c>
      <c r="V130" s="1397">
        <v>4600</v>
      </c>
      <c r="W130" s="1397">
        <v>4600</v>
      </c>
      <c r="X130" s="1395"/>
      <c r="Y130" s="1395"/>
      <c r="Z130" s="1350">
        <f t="shared" si="35"/>
        <v>0</v>
      </c>
      <c r="AA130" s="1350">
        <f t="shared" si="35"/>
        <v>0</v>
      </c>
      <c r="AB130" s="1350">
        <f t="shared" si="31"/>
        <v>4600</v>
      </c>
      <c r="AC130" s="1395">
        <v>4600</v>
      </c>
      <c r="AD130" s="1395">
        <v>4600</v>
      </c>
      <c r="AE130" s="1395"/>
      <c r="AF130" s="1395"/>
      <c r="AG130" s="1350">
        <f>(AC130+T130+26000)/D130*100</f>
        <v>90</v>
      </c>
      <c r="AH130" s="1350">
        <f t="shared" si="34"/>
        <v>0</v>
      </c>
      <c r="AI130" s="1368" t="s">
        <v>418</v>
      </c>
      <c r="AJ130" s="1357"/>
      <c r="AK130" s="1333"/>
    </row>
    <row r="131" spans="1:38" s="1334" customFormat="1" ht="31.5" x14ac:dyDescent="0.25">
      <c r="A131" s="1368">
        <v>8</v>
      </c>
      <c r="B131" s="1438" t="s">
        <v>1753</v>
      </c>
      <c r="C131" s="1368" t="s">
        <v>1880</v>
      </c>
      <c r="D131" s="1369">
        <v>8800</v>
      </c>
      <c r="E131" s="1370">
        <v>5400</v>
      </c>
      <c r="F131" s="1370"/>
      <c r="G131" s="1370"/>
      <c r="H131" s="1370"/>
      <c r="I131" s="1370"/>
      <c r="J131" s="1397"/>
      <c r="K131" s="1397"/>
      <c r="L131" s="1370"/>
      <c r="M131" s="1370"/>
      <c r="N131" s="1397"/>
      <c r="O131" s="1397"/>
      <c r="P131" s="1395">
        <v>4000</v>
      </c>
      <c r="Q131" s="1395">
        <v>4000</v>
      </c>
      <c r="R131" s="1395"/>
      <c r="S131" s="1395"/>
      <c r="T131" s="1350">
        <f t="shared" ref="T131" si="40">F131+H131+L131+P131</f>
        <v>4000</v>
      </c>
      <c r="U131" s="1350">
        <f t="shared" ref="U131" si="41">G131+I131+M131+Q131+R131</f>
        <v>4000</v>
      </c>
      <c r="V131" s="1370">
        <v>5400</v>
      </c>
      <c r="W131" s="1370">
        <v>5400</v>
      </c>
      <c r="X131" s="1395"/>
      <c r="Y131" s="1395"/>
      <c r="Z131" s="1350">
        <f t="shared" si="35"/>
        <v>4000</v>
      </c>
      <c r="AA131" s="1350">
        <f t="shared" si="35"/>
        <v>4000</v>
      </c>
      <c r="AB131" s="1350">
        <f t="shared" ref="AB131:AB141" si="42">W131-AA131</f>
        <v>1400</v>
      </c>
      <c r="AC131" s="1395">
        <v>1400</v>
      </c>
      <c r="AD131" s="1395">
        <v>1400</v>
      </c>
      <c r="AE131" s="1395"/>
      <c r="AF131" s="1395"/>
      <c r="AG131" s="1350">
        <v>100</v>
      </c>
      <c r="AH131" s="1350">
        <f t="shared" si="34"/>
        <v>0</v>
      </c>
      <c r="AI131" s="1368" t="s">
        <v>420</v>
      </c>
      <c r="AJ131" s="1357"/>
      <c r="AK131" s="1333"/>
    </row>
    <row r="132" spans="1:38" s="1443" customFormat="1" ht="21" x14ac:dyDescent="0.25">
      <c r="A132" s="1380" t="s">
        <v>445</v>
      </c>
      <c r="B132" s="1441" t="s">
        <v>1881</v>
      </c>
      <c r="C132" s="1390"/>
      <c r="D132" s="1349">
        <f>'[5]PB ĐƯ CĐNS'!D29</f>
        <v>515009</v>
      </c>
      <c r="E132" s="1349">
        <f>'[5]PB ĐƯ CĐNS'!E29</f>
        <v>73112</v>
      </c>
      <c r="F132" s="1349">
        <f>'[5]PB ĐƯ CĐNS'!F29</f>
        <v>0</v>
      </c>
      <c r="G132" s="1349">
        <f>'[5]PB ĐƯ CĐNS'!G29</f>
        <v>0</v>
      </c>
      <c r="H132" s="1349">
        <f>'[5]PB ĐƯ CĐNS'!H29</f>
        <v>1000</v>
      </c>
      <c r="I132" s="1349">
        <f>'[5]PB ĐƯ CĐNS'!I29</f>
        <v>1000</v>
      </c>
      <c r="J132" s="1349">
        <f>'[5]PB ĐƯ CĐNS'!J29</f>
        <v>0</v>
      </c>
      <c r="K132" s="1349">
        <f>'[5]PB ĐƯ CĐNS'!K29</f>
        <v>0</v>
      </c>
      <c r="L132" s="1349">
        <f>'[5]PB ĐƯ CĐNS'!L29</f>
        <v>6391</v>
      </c>
      <c r="M132" s="1349">
        <f>'[5]PB ĐƯ CĐNS'!M29</f>
        <v>6391</v>
      </c>
      <c r="N132" s="1349">
        <f>'[5]PB ĐƯ CĐNS'!N29</f>
        <v>0</v>
      </c>
      <c r="O132" s="1349">
        <f>'[5]PB ĐƯ CĐNS'!O29</f>
        <v>0</v>
      </c>
      <c r="P132" s="1349">
        <f>'[5]PB ĐƯ CĐNS'!P29</f>
        <v>8809</v>
      </c>
      <c r="Q132" s="1349">
        <f>'[5]PB ĐƯ CĐNS'!Q29</f>
        <v>8809</v>
      </c>
      <c r="R132" s="1349">
        <f>'[5]PB ĐƯ CĐNS'!R29</f>
        <v>0</v>
      </c>
      <c r="S132" s="1349">
        <f>'[5]PB ĐƯ CĐNS'!S29</f>
        <v>0</v>
      </c>
      <c r="T132" s="1349">
        <f>'[5]PB ĐƯ CĐNS'!T29</f>
        <v>16200</v>
      </c>
      <c r="U132" s="1349">
        <f>'[5]PB ĐƯ CĐNS'!U29</f>
        <v>16200</v>
      </c>
      <c r="V132" s="1349">
        <f>'[5]PB ĐƯ CĐNS'!V29</f>
        <v>67505</v>
      </c>
      <c r="W132" s="1349">
        <f>'[5]PB ĐƯ CĐNS'!W29</f>
        <v>37505</v>
      </c>
      <c r="X132" s="1349">
        <f>'[5]PB ĐƯ CĐNS'!X29</f>
        <v>0</v>
      </c>
      <c r="Y132" s="1349">
        <f>'[5]PB ĐƯ CĐNS'!Y29</f>
        <v>0</v>
      </c>
      <c r="Z132" s="1349">
        <f>'[5]PB ĐƯ CĐNS'!Z29</f>
        <v>16200</v>
      </c>
      <c r="AA132" s="1349">
        <f>'[5]PB ĐƯ CĐNS'!AA29</f>
        <v>16200</v>
      </c>
      <c r="AB132" s="1349">
        <f>'[5]PB ĐƯ CĐNS'!AB29</f>
        <v>21305</v>
      </c>
      <c r="AC132" s="1349">
        <f>'[5]PB ĐƯ CĐNS'!AD29</f>
        <v>19814</v>
      </c>
      <c r="AD132" s="1349">
        <f>'[5]PB ĐƯ CĐNS'!AE29</f>
        <v>19814</v>
      </c>
      <c r="AE132" s="1349">
        <f>'[5]PB ĐƯ CĐNS'!AF29</f>
        <v>0</v>
      </c>
      <c r="AF132" s="1349">
        <f>'[5]PB ĐƯ CĐNS'!AG29</f>
        <v>0</v>
      </c>
      <c r="AG132" s="1349"/>
      <c r="AH132" s="1349"/>
      <c r="AI132" s="1349"/>
      <c r="AJ132" s="1442"/>
      <c r="AK132" s="1333">
        <v>1</v>
      </c>
    </row>
    <row r="133" spans="1:38" s="1334" customFormat="1" ht="21" x14ac:dyDescent="0.25">
      <c r="A133" s="1351" t="s">
        <v>1215</v>
      </c>
      <c r="B133" s="1444" t="s">
        <v>1216</v>
      </c>
      <c r="C133" s="1351"/>
      <c r="D133" s="1386">
        <f t="shared" ref="D133:N133" si="43">SUM(D134:D141)</f>
        <v>0</v>
      </c>
      <c r="E133" s="1386">
        <f t="shared" si="43"/>
        <v>0</v>
      </c>
      <c r="F133" s="1386">
        <f t="shared" si="43"/>
        <v>0</v>
      </c>
      <c r="G133" s="1386">
        <f t="shared" si="43"/>
        <v>0</v>
      </c>
      <c r="H133" s="1386">
        <f t="shared" si="43"/>
        <v>58131</v>
      </c>
      <c r="I133" s="1386">
        <f t="shared" si="43"/>
        <v>58131</v>
      </c>
      <c r="J133" s="1386">
        <f t="shared" si="43"/>
        <v>0</v>
      </c>
      <c r="K133" s="1386">
        <f t="shared" si="43"/>
        <v>17425</v>
      </c>
      <c r="L133" s="1386">
        <f t="shared" si="43"/>
        <v>73189</v>
      </c>
      <c r="M133" s="1386">
        <f t="shared" si="43"/>
        <v>73189</v>
      </c>
      <c r="N133" s="1386">
        <f t="shared" si="43"/>
        <v>0</v>
      </c>
      <c r="O133" s="1386">
        <f>SUM(O134:O141)</f>
        <v>10836</v>
      </c>
      <c r="P133" s="1386">
        <f t="shared" ref="P133:S133" si="44">SUM(P134:P141)</f>
        <v>83144</v>
      </c>
      <c r="Q133" s="1386">
        <f t="shared" si="44"/>
        <v>83144</v>
      </c>
      <c r="R133" s="1386">
        <f t="shared" si="44"/>
        <v>0</v>
      </c>
      <c r="S133" s="1386">
        <f t="shared" si="44"/>
        <v>0</v>
      </c>
      <c r="T133" s="1350"/>
      <c r="U133" s="1350"/>
      <c r="V133" s="1386">
        <f>SUM(V134:V141)</f>
        <v>318578</v>
      </c>
      <c r="W133" s="1386">
        <f t="shared" ref="W133:AF133" si="45">SUM(W134:W141)</f>
        <v>318578</v>
      </c>
      <c r="X133" s="1386">
        <f t="shared" si="45"/>
        <v>0</v>
      </c>
      <c r="Y133" s="1386">
        <f t="shared" si="45"/>
        <v>35157</v>
      </c>
      <c r="Z133" s="1386">
        <f t="shared" si="45"/>
        <v>214464</v>
      </c>
      <c r="AA133" s="1386">
        <f t="shared" si="45"/>
        <v>214464</v>
      </c>
      <c r="AB133" s="1386">
        <f t="shared" si="45"/>
        <v>104114</v>
      </c>
      <c r="AC133" s="1386">
        <f t="shared" si="45"/>
        <v>84777</v>
      </c>
      <c r="AD133" s="1386">
        <f t="shared" si="45"/>
        <v>84147</v>
      </c>
      <c r="AE133" s="1386">
        <f t="shared" si="45"/>
        <v>0</v>
      </c>
      <c r="AF133" s="1386">
        <f t="shared" si="45"/>
        <v>0</v>
      </c>
      <c r="AG133" s="1386"/>
      <c r="AH133" s="1386"/>
      <c r="AI133" s="1357"/>
      <c r="AJ133" s="1357"/>
      <c r="AK133" s="1333">
        <v>1</v>
      </c>
    </row>
    <row r="134" spans="1:38" s="1334" customFormat="1" ht="21" x14ac:dyDescent="0.2">
      <c r="A134" s="1357">
        <v>1</v>
      </c>
      <c r="B134" s="1445" t="s">
        <v>148</v>
      </c>
      <c r="C134" s="1446"/>
      <c r="D134" s="1447"/>
      <c r="E134" s="1447"/>
      <c r="F134" s="1447"/>
      <c r="G134" s="1447"/>
      <c r="H134" s="1446">
        <v>10549</v>
      </c>
      <c r="I134" s="1446">
        <v>10549</v>
      </c>
      <c r="J134" s="1397"/>
      <c r="K134" s="1395">
        <v>1528</v>
      </c>
      <c r="L134" s="1446">
        <f>16597-2056</f>
        <v>14541</v>
      </c>
      <c r="M134" s="1446">
        <f>16597-2056</f>
        <v>14541</v>
      </c>
      <c r="N134" s="1397"/>
      <c r="O134" s="1397">
        <v>3591</v>
      </c>
      <c r="P134" s="1395">
        <v>16181</v>
      </c>
      <c r="Q134" s="1395">
        <v>16181</v>
      </c>
      <c r="R134" s="1395"/>
      <c r="S134" s="1395"/>
      <c r="T134" s="1350"/>
      <c r="U134" s="1350"/>
      <c r="V134" s="1446">
        <v>57814</v>
      </c>
      <c r="W134" s="1446">
        <v>57814</v>
      </c>
      <c r="X134" s="1395"/>
      <c r="Y134" s="1395">
        <v>5119</v>
      </c>
      <c r="Z134" s="1350">
        <f t="shared" si="35"/>
        <v>41271</v>
      </c>
      <c r="AA134" s="1350">
        <f t="shared" si="35"/>
        <v>41271</v>
      </c>
      <c r="AB134" s="1350">
        <f t="shared" si="42"/>
        <v>16543</v>
      </c>
      <c r="AC134" s="1395">
        <v>15385</v>
      </c>
      <c r="AD134" s="1395">
        <f>AC134-630</f>
        <v>14755</v>
      </c>
      <c r="AE134" s="1395"/>
      <c r="AF134" s="1350"/>
      <c r="AG134" s="1350"/>
      <c r="AH134" s="1350"/>
      <c r="AI134" s="1357" t="s">
        <v>427</v>
      </c>
      <c r="AJ134" s="1357"/>
      <c r="AK134" s="1333"/>
    </row>
    <row r="135" spans="1:38" s="1334" customFormat="1" ht="21" x14ac:dyDescent="0.2">
      <c r="A135" s="1357">
        <v>2</v>
      </c>
      <c r="B135" s="1445" t="s">
        <v>155</v>
      </c>
      <c r="C135" s="1446"/>
      <c r="D135" s="1447"/>
      <c r="E135" s="1447"/>
      <c r="F135" s="1447"/>
      <c r="G135" s="1447"/>
      <c r="H135" s="1446">
        <v>6570</v>
      </c>
      <c r="I135" s="1446">
        <v>6570</v>
      </c>
      <c r="J135" s="1397"/>
      <c r="K135" s="1395">
        <v>2394</v>
      </c>
      <c r="L135" s="1446">
        <f>10336-3131</f>
        <v>7205</v>
      </c>
      <c r="M135" s="1446">
        <f>10336-3131</f>
        <v>7205</v>
      </c>
      <c r="N135" s="1397"/>
      <c r="O135" s="1397">
        <v>2175</v>
      </c>
      <c r="P135" s="1395">
        <v>8224</v>
      </c>
      <c r="Q135" s="1395">
        <v>8224</v>
      </c>
      <c r="R135" s="1395"/>
      <c r="S135" s="1395"/>
      <c r="T135" s="1350"/>
      <c r="U135" s="1350"/>
      <c r="V135" s="1446">
        <v>36004</v>
      </c>
      <c r="W135" s="1446">
        <v>36004</v>
      </c>
      <c r="X135" s="1395"/>
      <c r="Y135" s="1395">
        <v>4569</v>
      </c>
      <c r="Z135" s="1350">
        <f t="shared" si="35"/>
        <v>21999</v>
      </c>
      <c r="AA135" s="1350">
        <f t="shared" si="35"/>
        <v>21999</v>
      </c>
      <c r="AB135" s="1350">
        <f t="shared" si="42"/>
        <v>14005</v>
      </c>
      <c r="AC135" s="1395">
        <v>9581</v>
      </c>
      <c r="AD135" s="1395">
        <f t="shared" ref="AD135:AD141" si="46">AC135</f>
        <v>9581</v>
      </c>
      <c r="AE135" s="1395"/>
      <c r="AF135" s="1350"/>
      <c r="AG135" s="1350"/>
      <c r="AH135" s="1350"/>
      <c r="AI135" s="1357" t="s">
        <v>422</v>
      </c>
      <c r="AJ135" s="1357"/>
      <c r="AK135" s="1333"/>
    </row>
    <row r="136" spans="1:38" s="1334" customFormat="1" ht="21" x14ac:dyDescent="0.2">
      <c r="A136" s="1357">
        <v>3</v>
      </c>
      <c r="B136" s="1445" t="s">
        <v>154</v>
      </c>
      <c r="C136" s="1446"/>
      <c r="D136" s="1447"/>
      <c r="E136" s="1447"/>
      <c r="F136" s="1447"/>
      <c r="G136" s="1447"/>
      <c r="H136" s="1446">
        <v>6289</v>
      </c>
      <c r="I136" s="1446">
        <v>6289</v>
      </c>
      <c r="J136" s="1397"/>
      <c r="K136" s="1395">
        <v>3900</v>
      </c>
      <c r="L136" s="1446">
        <v>9894</v>
      </c>
      <c r="M136" s="1446">
        <v>9894</v>
      </c>
      <c r="N136" s="1397"/>
      <c r="O136" s="1397">
        <v>0</v>
      </c>
      <c r="P136" s="1395">
        <v>10870</v>
      </c>
      <c r="Q136" s="1395">
        <v>10870</v>
      </c>
      <c r="R136" s="1395"/>
      <c r="S136" s="1395"/>
      <c r="T136" s="1350"/>
      <c r="U136" s="1350"/>
      <c r="V136" s="1446">
        <v>34464</v>
      </c>
      <c r="W136" s="1446">
        <v>34464</v>
      </c>
      <c r="X136" s="1395"/>
      <c r="Y136" s="1395">
        <v>3900</v>
      </c>
      <c r="Z136" s="1350">
        <f t="shared" si="35"/>
        <v>27053</v>
      </c>
      <c r="AA136" s="1350">
        <f t="shared" si="35"/>
        <v>27053</v>
      </c>
      <c r="AB136" s="1350">
        <f t="shared" si="42"/>
        <v>7411</v>
      </c>
      <c r="AC136" s="1395">
        <v>9171</v>
      </c>
      <c r="AD136" s="1395">
        <f t="shared" si="46"/>
        <v>9171</v>
      </c>
      <c r="AE136" s="1395"/>
      <c r="AF136" s="1350"/>
      <c r="AG136" s="1350"/>
      <c r="AH136" s="1350"/>
      <c r="AI136" s="1357" t="s">
        <v>420</v>
      </c>
      <c r="AJ136" s="1357"/>
      <c r="AK136" s="1333"/>
    </row>
    <row r="137" spans="1:38" s="1334" customFormat="1" ht="21" x14ac:dyDescent="0.2">
      <c r="A137" s="1357">
        <v>4</v>
      </c>
      <c r="B137" s="1445" t="s">
        <v>153</v>
      </c>
      <c r="C137" s="1446"/>
      <c r="D137" s="1447"/>
      <c r="E137" s="1447"/>
      <c r="F137" s="1447"/>
      <c r="G137" s="1447"/>
      <c r="H137" s="1446">
        <v>6172</v>
      </c>
      <c r="I137" s="1446">
        <v>6172</v>
      </c>
      <c r="J137" s="1397"/>
      <c r="K137" s="1395">
        <v>2673</v>
      </c>
      <c r="L137" s="1446">
        <f>9711-3238</f>
        <v>6473</v>
      </c>
      <c r="M137" s="1446">
        <f>9711-3238</f>
        <v>6473</v>
      </c>
      <c r="N137" s="1397"/>
      <c r="O137" s="1397">
        <v>3453</v>
      </c>
      <c r="P137" s="1395">
        <v>7431</v>
      </c>
      <c r="Q137" s="1395">
        <v>7431</v>
      </c>
      <c r="R137" s="1395"/>
      <c r="S137" s="1395"/>
      <c r="T137" s="1350"/>
      <c r="U137" s="1350"/>
      <c r="V137" s="1446">
        <v>33826</v>
      </c>
      <c r="W137" s="1446">
        <v>33826</v>
      </c>
      <c r="X137" s="1395"/>
      <c r="Y137" s="1395">
        <v>8966</v>
      </c>
      <c r="Z137" s="1350">
        <f t="shared" si="35"/>
        <v>20076</v>
      </c>
      <c r="AA137" s="1350">
        <f t="shared" si="35"/>
        <v>20076</v>
      </c>
      <c r="AB137" s="1350">
        <f t="shared" si="42"/>
        <v>13750</v>
      </c>
      <c r="AC137" s="1395">
        <v>9001</v>
      </c>
      <c r="AD137" s="1395">
        <f t="shared" si="46"/>
        <v>9001</v>
      </c>
      <c r="AE137" s="1395"/>
      <c r="AF137" s="1350"/>
      <c r="AG137" s="1350"/>
      <c r="AH137" s="1350"/>
      <c r="AI137" s="1357" t="s">
        <v>423</v>
      </c>
      <c r="AJ137" s="1357"/>
      <c r="AK137" s="1333"/>
    </row>
    <row r="138" spans="1:38" s="1334" customFormat="1" ht="21" x14ac:dyDescent="0.2">
      <c r="A138" s="1357">
        <v>5</v>
      </c>
      <c r="B138" s="1445" t="s">
        <v>149</v>
      </c>
      <c r="C138" s="1446"/>
      <c r="D138" s="1447"/>
      <c r="E138" s="1447"/>
      <c r="F138" s="1447"/>
      <c r="G138" s="1447"/>
      <c r="H138" s="1446">
        <v>5622</v>
      </c>
      <c r="I138" s="1446">
        <v>5622</v>
      </c>
      <c r="J138" s="1397"/>
      <c r="K138" s="1395">
        <v>3392</v>
      </c>
      <c r="L138" s="1446">
        <f>8844-1835</f>
        <v>7009</v>
      </c>
      <c r="M138" s="1446">
        <f>8844-1835</f>
        <v>7009</v>
      </c>
      <c r="N138" s="1397"/>
      <c r="O138" s="1397">
        <v>0</v>
      </c>
      <c r="P138" s="1395">
        <v>7882</v>
      </c>
      <c r="Q138" s="1395">
        <v>7882</v>
      </c>
      <c r="R138" s="1395"/>
      <c r="S138" s="1395"/>
      <c r="T138" s="1350"/>
      <c r="U138" s="1350"/>
      <c r="V138" s="1446">
        <v>30809</v>
      </c>
      <c r="W138" s="1446">
        <v>30809</v>
      </c>
      <c r="X138" s="1395"/>
      <c r="Y138" s="1395">
        <v>5046</v>
      </c>
      <c r="Z138" s="1350">
        <f t="shared" si="35"/>
        <v>20513</v>
      </c>
      <c r="AA138" s="1350">
        <f t="shared" si="35"/>
        <v>20513</v>
      </c>
      <c r="AB138" s="1350">
        <f t="shared" si="42"/>
        <v>10296</v>
      </c>
      <c r="AC138" s="1395">
        <v>8199</v>
      </c>
      <c r="AD138" s="1395">
        <f t="shared" si="46"/>
        <v>8199</v>
      </c>
      <c r="AE138" s="1395"/>
      <c r="AF138" s="1350"/>
      <c r="AG138" s="1350"/>
      <c r="AH138" s="1350"/>
      <c r="AI138" s="1368" t="s">
        <v>954</v>
      </c>
      <c r="AJ138" s="1357"/>
      <c r="AK138" s="1333"/>
    </row>
    <row r="139" spans="1:38" s="1334" customFormat="1" ht="21" x14ac:dyDescent="0.2">
      <c r="A139" s="1357">
        <v>6</v>
      </c>
      <c r="B139" s="1445" t="s">
        <v>151</v>
      </c>
      <c r="C139" s="1446"/>
      <c r="D139" s="1447"/>
      <c r="E139" s="1447"/>
      <c r="F139" s="1447"/>
      <c r="G139" s="1447"/>
      <c r="H139" s="1446">
        <v>9990</v>
      </c>
      <c r="I139" s="1446">
        <v>9990</v>
      </c>
      <c r="J139" s="1397"/>
      <c r="K139" s="1395">
        <v>1500</v>
      </c>
      <c r="L139" s="1446">
        <f>15717-2470</f>
        <v>13247</v>
      </c>
      <c r="M139" s="1446">
        <f>15717-2470</f>
        <v>13247</v>
      </c>
      <c r="N139" s="1397"/>
      <c r="O139" s="1397">
        <v>647</v>
      </c>
      <c r="P139" s="1395">
        <v>14797</v>
      </c>
      <c r="Q139" s="1395">
        <v>14797</v>
      </c>
      <c r="R139" s="1395"/>
      <c r="S139" s="1395"/>
      <c r="T139" s="1350"/>
      <c r="U139" s="1350"/>
      <c r="V139" s="1446">
        <v>54748</v>
      </c>
      <c r="W139" s="1446">
        <v>54748</v>
      </c>
      <c r="X139" s="1395"/>
      <c r="Y139" s="1395">
        <v>3328</v>
      </c>
      <c r="Z139" s="1350">
        <f t="shared" si="35"/>
        <v>38034</v>
      </c>
      <c r="AA139" s="1350">
        <f t="shared" si="35"/>
        <v>38034</v>
      </c>
      <c r="AB139" s="1350">
        <f t="shared" si="42"/>
        <v>16714</v>
      </c>
      <c r="AC139" s="1395">
        <v>14569</v>
      </c>
      <c r="AD139" s="1395">
        <f t="shared" si="46"/>
        <v>14569</v>
      </c>
      <c r="AE139" s="1395"/>
      <c r="AF139" s="1350"/>
      <c r="AG139" s="1350"/>
      <c r="AH139" s="1350"/>
      <c r="AI139" s="1357" t="s">
        <v>426</v>
      </c>
      <c r="AJ139" s="1357"/>
      <c r="AK139" s="1333"/>
    </row>
    <row r="140" spans="1:38" s="1334" customFormat="1" ht="21" x14ac:dyDescent="0.2">
      <c r="A140" s="1357">
        <v>7</v>
      </c>
      <c r="B140" s="1445" t="s">
        <v>385</v>
      </c>
      <c r="C140" s="1448"/>
      <c r="D140" s="1447"/>
      <c r="E140" s="1447"/>
      <c r="F140" s="1447"/>
      <c r="G140" s="1447"/>
      <c r="H140" s="1446">
        <v>5844</v>
      </c>
      <c r="I140" s="1446">
        <v>5844</v>
      </c>
      <c r="J140" s="1397"/>
      <c r="K140" s="1395">
        <v>2038</v>
      </c>
      <c r="L140" s="1446">
        <v>9195</v>
      </c>
      <c r="M140" s="1446">
        <v>9195</v>
      </c>
      <c r="N140" s="1397"/>
      <c r="O140" s="1397">
        <v>970</v>
      </c>
      <c r="P140" s="1395">
        <v>10101</v>
      </c>
      <c r="Q140" s="1395">
        <v>10101</v>
      </c>
      <c r="R140" s="1395"/>
      <c r="S140" s="1395"/>
      <c r="T140" s="1350"/>
      <c r="U140" s="1350"/>
      <c r="V140" s="1446">
        <v>32027</v>
      </c>
      <c r="W140" s="1446">
        <v>32027</v>
      </c>
      <c r="X140" s="1395"/>
      <c r="Y140" s="1395">
        <v>3008</v>
      </c>
      <c r="Z140" s="1350">
        <f t="shared" si="35"/>
        <v>25140</v>
      </c>
      <c r="AA140" s="1350">
        <f t="shared" si="35"/>
        <v>25140</v>
      </c>
      <c r="AB140" s="1350">
        <f t="shared" si="42"/>
        <v>6887</v>
      </c>
      <c r="AC140" s="1395">
        <v>8523</v>
      </c>
      <c r="AD140" s="1395">
        <f t="shared" si="46"/>
        <v>8523</v>
      </c>
      <c r="AE140" s="1395"/>
      <c r="AF140" s="1350"/>
      <c r="AG140" s="1350"/>
      <c r="AH140" s="1350"/>
      <c r="AI140" s="1368" t="s">
        <v>425</v>
      </c>
      <c r="AJ140" s="1357"/>
      <c r="AK140" s="1333"/>
    </row>
    <row r="141" spans="1:38" s="1334" customFormat="1" ht="21" x14ac:dyDescent="0.2">
      <c r="A141" s="1357">
        <v>8</v>
      </c>
      <c r="B141" s="1445" t="s">
        <v>152</v>
      </c>
      <c r="C141" s="1448"/>
      <c r="D141" s="1447"/>
      <c r="E141" s="1447"/>
      <c r="F141" s="1447"/>
      <c r="G141" s="1447"/>
      <c r="H141" s="1446">
        <v>7095</v>
      </c>
      <c r="I141" s="1446">
        <v>7095</v>
      </c>
      <c r="J141" s="1397"/>
      <c r="K141" s="1395">
        <v>0</v>
      </c>
      <c r="L141" s="1446">
        <f>11163-5538</f>
        <v>5625</v>
      </c>
      <c r="M141" s="1446">
        <f>11163-5538</f>
        <v>5625</v>
      </c>
      <c r="N141" s="1397"/>
      <c r="O141" s="1397">
        <v>0</v>
      </c>
      <c r="P141" s="1395">
        <v>7658</v>
      </c>
      <c r="Q141" s="1395">
        <v>7658</v>
      </c>
      <c r="R141" s="1395"/>
      <c r="S141" s="1395"/>
      <c r="T141" s="1350"/>
      <c r="U141" s="1350"/>
      <c r="V141" s="1446">
        <v>38886</v>
      </c>
      <c r="W141" s="1446">
        <v>38886</v>
      </c>
      <c r="X141" s="1395"/>
      <c r="Y141" s="1395">
        <v>1221</v>
      </c>
      <c r="Z141" s="1350">
        <f t="shared" si="35"/>
        <v>20378</v>
      </c>
      <c r="AA141" s="1350">
        <f t="shared" si="35"/>
        <v>20378</v>
      </c>
      <c r="AB141" s="1350">
        <f t="shared" si="42"/>
        <v>18508</v>
      </c>
      <c r="AC141" s="1395">
        <v>10348</v>
      </c>
      <c r="AD141" s="1395">
        <f t="shared" si="46"/>
        <v>10348</v>
      </c>
      <c r="AE141" s="1395"/>
      <c r="AF141" s="1350"/>
      <c r="AG141" s="1350"/>
      <c r="AH141" s="1350"/>
      <c r="AI141" s="1368" t="s">
        <v>424</v>
      </c>
      <c r="AJ141" s="1357"/>
      <c r="AK141" s="1333"/>
    </row>
    <row r="142" spans="1:38" s="1354" customFormat="1" ht="31.5" x14ac:dyDescent="0.2">
      <c r="A142" s="1449" t="s">
        <v>3</v>
      </c>
      <c r="B142" s="1450" t="s">
        <v>1882</v>
      </c>
      <c r="C142" s="1451"/>
      <c r="D142" s="1452"/>
      <c r="E142" s="1452"/>
      <c r="F142" s="1452"/>
      <c r="G142" s="1452"/>
      <c r="H142" s="1453"/>
      <c r="I142" s="1453"/>
      <c r="J142" s="1454"/>
      <c r="K142" s="1455"/>
      <c r="L142" s="1453"/>
      <c r="M142" s="1453"/>
      <c r="N142" s="1454"/>
      <c r="O142" s="1454"/>
      <c r="P142" s="1455"/>
      <c r="Q142" s="1455"/>
      <c r="R142" s="1455"/>
      <c r="S142" s="1455"/>
      <c r="T142" s="1415"/>
      <c r="U142" s="1415"/>
      <c r="V142" s="1453"/>
      <c r="W142" s="1453"/>
      <c r="X142" s="1455"/>
      <c r="Y142" s="1455"/>
      <c r="Z142" s="1415"/>
      <c r="AA142" s="1415"/>
      <c r="AB142" s="1415"/>
      <c r="AC142" s="1455">
        <f>SUM(AC143:AC150)</f>
        <v>50000</v>
      </c>
      <c r="AD142" s="1455">
        <f>SUM(AD143:AD150)</f>
        <v>50000</v>
      </c>
      <c r="AE142" s="1455"/>
      <c r="AF142" s="1415"/>
      <c r="AG142" s="1415"/>
      <c r="AH142" s="1415"/>
      <c r="AI142" s="1456"/>
      <c r="AJ142" s="1413"/>
      <c r="AK142" s="1353"/>
    </row>
    <row r="143" spans="1:38" s="1334" customFormat="1" ht="21" x14ac:dyDescent="0.2">
      <c r="A143" s="1357">
        <v>1</v>
      </c>
      <c r="B143" s="1397" t="s">
        <v>1580</v>
      </c>
      <c r="C143" s="1448"/>
      <c r="D143" s="1447"/>
      <c r="E143" s="1447"/>
      <c r="F143" s="1447"/>
      <c r="G143" s="1447"/>
      <c r="H143" s="1446"/>
      <c r="I143" s="1446"/>
      <c r="J143" s="1397"/>
      <c r="K143" s="1395"/>
      <c r="L143" s="1446"/>
      <c r="M143" s="1446"/>
      <c r="N143" s="1397"/>
      <c r="O143" s="1397"/>
      <c r="P143" s="1395"/>
      <c r="Q143" s="1395"/>
      <c r="R143" s="1395"/>
      <c r="S143" s="1395"/>
      <c r="T143" s="1350"/>
      <c r="U143" s="1350"/>
      <c r="V143" s="1446"/>
      <c r="W143" s="1446"/>
      <c r="X143" s="1395"/>
      <c r="Y143" s="1395"/>
      <c r="Z143" s="1350"/>
      <c r="AA143" s="1350"/>
      <c r="AB143" s="1350"/>
      <c r="AC143" s="1395">
        <f>AD143</f>
        <v>3500</v>
      </c>
      <c r="AD143" s="1395">
        <v>3500</v>
      </c>
      <c r="AE143" s="1395"/>
      <c r="AF143" s="1350"/>
      <c r="AG143" s="1350"/>
      <c r="AH143" s="1350"/>
      <c r="AI143" s="1457" t="s">
        <v>427</v>
      </c>
      <c r="AJ143" s="1357"/>
      <c r="AK143" s="1458"/>
      <c r="AL143" s="1459"/>
    </row>
    <row r="144" spans="1:38" s="1334" customFormat="1" ht="31.5" x14ac:dyDescent="0.2">
      <c r="A144" s="1357">
        <v>2</v>
      </c>
      <c r="B144" s="1397" t="s">
        <v>996</v>
      </c>
      <c r="C144" s="1448"/>
      <c r="D144" s="1447"/>
      <c r="E144" s="1447"/>
      <c r="F144" s="1447"/>
      <c r="G144" s="1447"/>
      <c r="H144" s="1446"/>
      <c r="I144" s="1446"/>
      <c r="J144" s="1397"/>
      <c r="K144" s="1395"/>
      <c r="L144" s="1446"/>
      <c r="M144" s="1446"/>
      <c r="N144" s="1397"/>
      <c r="O144" s="1397"/>
      <c r="P144" s="1395"/>
      <c r="Q144" s="1395"/>
      <c r="R144" s="1395"/>
      <c r="S144" s="1395"/>
      <c r="T144" s="1350"/>
      <c r="U144" s="1350"/>
      <c r="V144" s="1446"/>
      <c r="W144" s="1446"/>
      <c r="X144" s="1395"/>
      <c r="Y144" s="1395"/>
      <c r="Z144" s="1350"/>
      <c r="AA144" s="1350"/>
      <c r="AB144" s="1350"/>
      <c r="AC144" s="1395">
        <f t="shared" ref="AC144:AC150" si="47">AD144</f>
        <v>3500</v>
      </c>
      <c r="AD144" s="1395">
        <v>3500</v>
      </c>
      <c r="AE144" s="1395"/>
      <c r="AF144" s="1350"/>
      <c r="AG144" s="1350"/>
      <c r="AH144" s="1350"/>
      <c r="AI144" s="1457" t="s">
        <v>432</v>
      </c>
      <c r="AJ144" s="1357"/>
      <c r="AK144" s="1458"/>
      <c r="AL144" s="1459"/>
    </row>
    <row r="145" spans="1:38" s="1334" customFormat="1" ht="21" x14ac:dyDescent="0.2">
      <c r="A145" s="1357">
        <v>3</v>
      </c>
      <c r="B145" s="1397" t="s">
        <v>1781</v>
      </c>
      <c r="C145" s="1448"/>
      <c r="D145" s="1447"/>
      <c r="E145" s="1447"/>
      <c r="F145" s="1447"/>
      <c r="G145" s="1447"/>
      <c r="H145" s="1446"/>
      <c r="I145" s="1446"/>
      <c r="J145" s="1397"/>
      <c r="K145" s="1395"/>
      <c r="L145" s="1446"/>
      <c r="M145" s="1446"/>
      <c r="N145" s="1397"/>
      <c r="O145" s="1397"/>
      <c r="P145" s="1395"/>
      <c r="Q145" s="1395"/>
      <c r="R145" s="1395"/>
      <c r="S145" s="1395"/>
      <c r="T145" s="1350"/>
      <c r="U145" s="1350"/>
      <c r="V145" s="1446"/>
      <c r="W145" s="1446"/>
      <c r="X145" s="1395"/>
      <c r="Y145" s="1395"/>
      <c r="Z145" s="1350"/>
      <c r="AA145" s="1350"/>
      <c r="AB145" s="1350"/>
      <c r="AC145" s="1395">
        <f t="shared" si="47"/>
        <v>8101</v>
      </c>
      <c r="AD145" s="1395">
        <v>8101</v>
      </c>
      <c r="AE145" s="1395"/>
      <c r="AF145" s="1350"/>
      <c r="AG145" s="1350"/>
      <c r="AH145" s="1350"/>
      <c r="AI145" s="1457" t="s">
        <v>164</v>
      </c>
      <c r="AJ145" s="1357"/>
      <c r="AK145" s="1458"/>
      <c r="AL145" s="1459"/>
    </row>
    <row r="146" spans="1:38" s="1334" customFormat="1" ht="42" x14ac:dyDescent="0.2">
      <c r="A146" s="1357">
        <v>4</v>
      </c>
      <c r="B146" s="1397" t="s">
        <v>1782</v>
      </c>
      <c r="C146" s="1448"/>
      <c r="D146" s="1447"/>
      <c r="E146" s="1447"/>
      <c r="F146" s="1447"/>
      <c r="G146" s="1447"/>
      <c r="H146" s="1446"/>
      <c r="I146" s="1446"/>
      <c r="J146" s="1397"/>
      <c r="K146" s="1395"/>
      <c r="L146" s="1446"/>
      <c r="M146" s="1446"/>
      <c r="N146" s="1397"/>
      <c r="O146" s="1397"/>
      <c r="P146" s="1395"/>
      <c r="Q146" s="1395"/>
      <c r="R146" s="1395"/>
      <c r="S146" s="1395"/>
      <c r="T146" s="1350"/>
      <c r="U146" s="1350"/>
      <c r="V146" s="1446"/>
      <c r="W146" s="1446"/>
      <c r="X146" s="1395"/>
      <c r="Y146" s="1395"/>
      <c r="Z146" s="1350"/>
      <c r="AA146" s="1350"/>
      <c r="AB146" s="1350"/>
      <c r="AC146" s="1395">
        <f t="shared" si="47"/>
        <v>5000</v>
      </c>
      <c r="AD146" s="1395">
        <v>5000</v>
      </c>
      <c r="AE146" s="1395"/>
      <c r="AF146" s="1350"/>
      <c r="AG146" s="1350"/>
      <c r="AH146" s="1350"/>
      <c r="AI146" s="1457" t="s">
        <v>989</v>
      </c>
      <c r="AJ146" s="1357"/>
      <c r="AK146" s="1458"/>
      <c r="AL146" s="1459"/>
    </row>
    <row r="147" spans="1:38" s="1334" customFormat="1" ht="42" x14ac:dyDescent="0.2">
      <c r="A147" s="1357">
        <v>5</v>
      </c>
      <c r="B147" s="1397" t="s">
        <v>1783</v>
      </c>
      <c r="C147" s="1448"/>
      <c r="D147" s="1447"/>
      <c r="E147" s="1447"/>
      <c r="F147" s="1447"/>
      <c r="G147" s="1447"/>
      <c r="H147" s="1446"/>
      <c r="I147" s="1446"/>
      <c r="J147" s="1397"/>
      <c r="K147" s="1395"/>
      <c r="L147" s="1446"/>
      <c r="M147" s="1446"/>
      <c r="N147" s="1397"/>
      <c r="O147" s="1397"/>
      <c r="P147" s="1395"/>
      <c r="Q147" s="1395"/>
      <c r="R147" s="1395"/>
      <c r="S147" s="1395"/>
      <c r="T147" s="1350"/>
      <c r="U147" s="1350"/>
      <c r="V147" s="1446"/>
      <c r="W147" s="1446"/>
      <c r="X147" s="1395"/>
      <c r="Y147" s="1395"/>
      <c r="Z147" s="1350"/>
      <c r="AA147" s="1350"/>
      <c r="AB147" s="1350"/>
      <c r="AC147" s="1395">
        <f t="shared" si="47"/>
        <v>8400</v>
      </c>
      <c r="AD147" s="1395">
        <v>8400</v>
      </c>
      <c r="AE147" s="1395"/>
      <c r="AF147" s="1350"/>
      <c r="AG147" s="1350"/>
      <c r="AH147" s="1350"/>
      <c r="AI147" s="1457" t="s">
        <v>989</v>
      </c>
      <c r="AJ147" s="1357"/>
      <c r="AK147" s="1458"/>
      <c r="AL147" s="1459"/>
    </row>
    <row r="148" spans="1:38" s="1334" customFormat="1" ht="21" x14ac:dyDescent="0.2">
      <c r="A148" s="1357">
        <v>6</v>
      </c>
      <c r="B148" s="1397" t="s">
        <v>1784</v>
      </c>
      <c r="C148" s="1448"/>
      <c r="D148" s="1447"/>
      <c r="E148" s="1447"/>
      <c r="F148" s="1447"/>
      <c r="G148" s="1447"/>
      <c r="H148" s="1446"/>
      <c r="I148" s="1446"/>
      <c r="J148" s="1397"/>
      <c r="K148" s="1395"/>
      <c r="L148" s="1446"/>
      <c r="M148" s="1446"/>
      <c r="N148" s="1397"/>
      <c r="O148" s="1397"/>
      <c r="P148" s="1395"/>
      <c r="Q148" s="1395"/>
      <c r="R148" s="1395"/>
      <c r="S148" s="1395"/>
      <c r="T148" s="1350"/>
      <c r="U148" s="1350"/>
      <c r="V148" s="1446"/>
      <c r="W148" s="1446"/>
      <c r="X148" s="1395"/>
      <c r="Y148" s="1395"/>
      <c r="Z148" s="1350"/>
      <c r="AA148" s="1350"/>
      <c r="AB148" s="1350"/>
      <c r="AC148" s="1395">
        <f t="shared" si="47"/>
        <v>5976</v>
      </c>
      <c r="AD148" s="1395">
        <v>5976</v>
      </c>
      <c r="AE148" s="1395"/>
      <c r="AF148" s="1350"/>
      <c r="AG148" s="1350"/>
      <c r="AH148" s="1350"/>
      <c r="AI148" s="1457" t="s">
        <v>419</v>
      </c>
      <c r="AJ148" s="1357"/>
      <c r="AK148" s="1458"/>
      <c r="AL148" s="1459"/>
    </row>
    <row r="149" spans="1:38" s="1334" customFormat="1" ht="21" x14ac:dyDescent="0.2">
      <c r="A149" s="1357">
        <v>7</v>
      </c>
      <c r="B149" s="1397" t="s">
        <v>1785</v>
      </c>
      <c r="C149" s="1448"/>
      <c r="D149" s="1447"/>
      <c r="E149" s="1447"/>
      <c r="F149" s="1447"/>
      <c r="G149" s="1447"/>
      <c r="H149" s="1446"/>
      <c r="I149" s="1446"/>
      <c r="J149" s="1397"/>
      <c r="K149" s="1395"/>
      <c r="L149" s="1446"/>
      <c r="M149" s="1446"/>
      <c r="N149" s="1397"/>
      <c r="O149" s="1397"/>
      <c r="P149" s="1395"/>
      <c r="Q149" s="1395"/>
      <c r="R149" s="1395"/>
      <c r="S149" s="1395"/>
      <c r="T149" s="1350"/>
      <c r="U149" s="1350"/>
      <c r="V149" s="1446"/>
      <c r="W149" s="1446"/>
      <c r="X149" s="1395"/>
      <c r="Y149" s="1395"/>
      <c r="Z149" s="1350"/>
      <c r="AA149" s="1350"/>
      <c r="AB149" s="1350"/>
      <c r="AC149" s="1395">
        <f t="shared" si="47"/>
        <v>3000</v>
      </c>
      <c r="AD149" s="1395">
        <v>3000</v>
      </c>
      <c r="AE149" s="1395"/>
      <c r="AF149" s="1350"/>
      <c r="AG149" s="1350"/>
      <c r="AH149" s="1350"/>
      <c r="AI149" s="1457" t="s">
        <v>161</v>
      </c>
      <c r="AJ149" s="1357"/>
      <c r="AK149" s="1333"/>
    </row>
    <row r="150" spans="1:38" s="1334" customFormat="1" ht="10.5" x14ac:dyDescent="0.2">
      <c r="A150" s="1357">
        <v>8</v>
      </c>
      <c r="B150" s="1397" t="s">
        <v>1786</v>
      </c>
      <c r="C150" s="1448"/>
      <c r="D150" s="1447"/>
      <c r="E150" s="1447"/>
      <c r="F150" s="1447"/>
      <c r="G150" s="1447"/>
      <c r="H150" s="1446"/>
      <c r="I150" s="1446"/>
      <c r="J150" s="1397"/>
      <c r="K150" s="1395"/>
      <c r="L150" s="1446"/>
      <c r="M150" s="1446"/>
      <c r="N150" s="1397"/>
      <c r="O150" s="1397"/>
      <c r="P150" s="1395"/>
      <c r="Q150" s="1395"/>
      <c r="R150" s="1395"/>
      <c r="S150" s="1395"/>
      <c r="T150" s="1350"/>
      <c r="U150" s="1350"/>
      <c r="V150" s="1446"/>
      <c r="W150" s="1446"/>
      <c r="X150" s="1395"/>
      <c r="Y150" s="1395"/>
      <c r="Z150" s="1350"/>
      <c r="AA150" s="1350"/>
      <c r="AB150" s="1350"/>
      <c r="AC150" s="1395">
        <f t="shared" si="47"/>
        <v>12523</v>
      </c>
      <c r="AD150" s="1395">
        <v>12523</v>
      </c>
      <c r="AE150" s="1395"/>
      <c r="AF150" s="1350"/>
      <c r="AG150" s="1350"/>
      <c r="AH150" s="1350"/>
      <c r="AI150" s="1368"/>
      <c r="AJ150" s="1357"/>
      <c r="AK150" s="1333"/>
    </row>
    <row r="151" spans="1:38" s="1354" customFormat="1" ht="10.5" x14ac:dyDescent="0.25">
      <c r="A151" s="1413" t="s">
        <v>4</v>
      </c>
      <c r="B151" s="1454" t="s">
        <v>1246</v>
      </c>
      <c r="C151" s="1454"/>
      <c r="D151" s="1454"/>
      <c r="E151" s="1454"/>
      <c r="F151" s="1454"/>
      <c r="G151" s="1454"/>
      <c r="H151" s="1454"/>
      <c r="I151" s="1454"/>
      <c r="J151" s="1454"/>
      <c r="K151" s="1454"/>
      <c r="L151" s="1454"/>
      <c r="M151" s="1454"/>
      <c r="N151" s="1454"/>
      <c r="O151" s="1454"/>
      <c r="P151" s="1454"/>
      <c r="Q151" s="1454"/>
      <c r="R151" s="1454"/>
      <c r="S151" s="1454"/>
      <c r="T151" s="1454"/>
      <c r="U151" s="1454"/>
      <c r="V151" s="1454"/>
      <c r="W151" s="1454"/>
      <c r="X151" s="1454"/>
      <c r="Y151" s="1454"/>
      <c r="Z151" s="1454"/>
      <c r="AA151" s="1454"/>
      <c r="AB151" s="1454"/>
      <c r="AC151" s="1454">
        <f>AD151</f>
        <v>15000</v>
      </c>
      <c r="AD151" s="1454">
        <f>AD152+AD162+AD165</f>
        <v>15000</v>
      </c>
      <c r="AE151" s="1454"/>
      <c r="AF151" s="1454"/>
      <c r="AG151" s="1454"/>
      <c r="AH151" s="1454"/>
      <c r="AI151" s="1454"/>
      <c r="AJ151" s="1413"/>
      <c r="AK151" s="1353"/>
    </row>
    <row r="152" spans="1:38" s="1354" customFormat="1" ht="10.5" x14ac:dyDescent="0.25">
      <c r="A152" s="1413" t="s">
        <v>9</v>
      </c>
      <c r="B152" s="1454" t="s">
        <v>1247</v>
      </c>
      <c r="C152" s="1454"/>
      <c r="D152" s="1454"/>
      <c r="E152" s="1454"/>
      <c r="F152" s="1454"/>
      <c r="G152" s="1454"/>
      <c r="H152" s="1454"/>
      <c r="I152" s="1454"/>
      <c r="J152" s="1454"/>
      <c r="K152" s="1454"/>
      <c r="L152" s="1454"/>
      <c r="M152" s="1454"/>
      <c r="N152" s="1454"/>
      <c r="O152" s="1454"/>
      <c r="P152" s="1454"/>
      <c r="Q152" s="1454"/>
      <c r="R152" s="1454"/>
      <c r="S152" s="1454"/>
      <c r="T152" s="1454"/>
      <c r="U152" s="1454"/>
      <c r="V152" s="1454"/>
      <c r="W152" s="1454"/>
      <c r="X152" s="1454"/>
      <c r="Y152" s="1454"/>
      <c r="Z152" s="1454"/>
      <c r="AA152" s="1454"/>
      <c r="AB152" s="1454"/>
      <c r="AC152" s="1454">
        <f t="shared" ref="AC152:AC183" si="48">AD152</f>
        <v>12794</v>
      </c>
      <c r="AD152" s="1454">
        <f>AD153</f>
        <v>12794</v>
      </c>
      <c r="AE152" s="1454"/>
      <c r="AF152" s="1454"/>
      <c r="AG152" s="1454"/>
      <c r="AH152" s="1454"/>
      <c r="AI152" s="1454"/>
      <c r="AJ152" s="1413"/>
      <c r="AK152" s="1353"/>
    </row>
    <row r="153" spans="1:38" s="1354" customFormat="1" ht="10.5" x14ac:dyDescent="0.25">
      <c r="A153" s="1413"/>
      <c r="B153" s="1460" t="s">
        <v>956</v>
      </c>
      <c r="C153" s="1454"/>
      <c r="D153" s="1454"/>
      <c r="E153" s="1454"/>
      <c r="F153" s="1454"/>
      <c r="G153" s="1454"/>
      <c r="H153" s="1454"/>
      <c r="I153" s="1454"/>
      <c r="J153" s="1454"/>
      <c r="K153" s="1454"/>
      <c r="L153" s="1454"/>
      <c r="M153" s="1454"/>
      <c r="N153" s="1454"/>
      <c r="O153" s="1454"/>
      <c r="P153" s="1454"/>
      <c r="Q153" s="1454"/>
      <c r="R153" s="1454"/>
      <c r="S153" s="1454"/>
      <c r="T153" s="1454"/>
      <c r="U153" s="1454"/>
      <c r="V153" s="1454"/>
      <c r="W153" s="1454"/>
      <c r="X153" s="1454"/>
      <c r="Y153" s="1454"/>
      <c r="Z153" s="1454"/>
      <c r="AA153" s="1454"/>
      <c r="AB153" s="1454"/>
      <c r="AC153" s="1454">
        <f t="shared" si="48"/>
        <v>12794</v>
      </c>
      <c r="AD153" s="1454">
        <f>SUM(AD154:AD161)</f>
        <v>12794</v>
      </c>
      <c r="AE153" s="1454"/>
      <c r="AF153" s="1454"/>
      <c r="AG153" s="1454"/>
      <c r="AH153" s="1454"/>
      <c r="AI153" s="1454"/>
      <c r="AJ153" s="1413"/>
      <c r="AK153" s="1353"/>
    </row>
    <row r="154" spans="1:38" s="1334" customFormat="1" ht="21" x14ac:dyDescent="0.25">
      <c r="A154" s="1357">
        <v>1</v>
      </c>
      <c r="B154" s="1461" t="s">
        <v>963</v>
      </c>
      <c r="C154" s="1462" t="s">
        <v>1883</v>
      </c>
      <c r="D154" s="1397">
        <v>7021</v>
      </c>
      <c r="E154" s="1397">
        <v>4300</v>
      </c>
      <c r="F154" s="1397"/>
      <c r="G154" s="1397"/>
      <c r="H154" s="1397"/>
      <c r="I154" s="1397"/>
      <c r="J154" s="1397"/>
      <c r="K154" s="1397"/>
      <c r="L154" s="1397"/>
      <c r="M154" s="1397"/>
      <c r="N154" s="1397"/>
      <c r="O154" s="1397"/>
      <c r="P154" s="1397"/>
      <c r="Q154" s="1397"/>
      <c r="R154" s="1397"/>
      <c r="S154" s="1397"/>
      <c r="T154" s="1397"/>
      <c r="U154" s="1397"/>
      <c r="V154" s="1397"/>
      <c r="W154" s="1397"/>
      <c r="X154" s="1397"/>
      <c r="Y154" s="1397"/>
      <c r="Z154" s="1397"/>
      <c r="AA154" s="1397"/>
      <c r="AB154" s="1397"/>
      <c r="AC154" s="1454">
        <f t="shared" si="48"/>
        <v>2154</v>
      </c>
      <c r="AD154" s="1397">
        <v>2154</v>
      </c>
      <c r="AE154" s="1397"/>
      <c r="AF154" s="1397"/>
      <c r="AG154" s="1397"/>
      <c r="AH154" s="1397"/>
      <c r="AI154" s="1463" t="s">
        <v>420</v>
      </c>
      <c r="AJ154" s="1357"/>
      <c r="AK154" s="1333"/>
    </row>
    <row r="155" spans="1:38" s="1334" customFormat="1" ht="31.5" x14ac:dyDescent="0.25">
      <c r="A155" s="1357">
        <v>2</v>
      </c>
      <c r="B155" s="1464" t="s">
        <v>966</v>
      </c>
      <c r="C155" s="1465" t="s">
        <v>1884</v>
      </c>
      <c r="D155" s="1397">
        <v>4985</v>
      </c>
      <c r="E155" s="1397">
        <v>4985</v>
      </c>
      <c r="F155" s="1397"/>
      <c r="G155" s="1397"/>
      <c r="H155" s="1397"/>
      <c r="I155" s="1397"/>
      <c r="J155" s="1397"/>
      <c r="K155" s="1397"/>
      <c r="L155" s="1397"/>
      <c r="M155" s="1397"/>
      <c r="N155" s="1397"/>
      <c r="O155" s="1397"/>
      <c r="P155" s="1397"/>
      <c r="Q155" s="1397"/>
      <c r="R155" s="1397"/>
      <c r="S155" s="1397"/>
      <c r="T155" s="1397"/>
      <c r="U155" s="1397"/>
      <c r="V155" s="1397"/>
      <c r="W155" s="1397"/>
      <c r="X155" s="1397"/>
      <c r="Y155" s="1397"/>
      <c r="Z155" s="1397"/>
      <c r="AA155" s="1397"/>
      <c r="AB155" s="1397"/>
      <c r="AC155" s="1454">
        <f t="shared" si="48"/>
        <v>648</v>
      </c>
      <c r="AD155" s="1397">
        <v>648</v>
      </c>
      <c r="AE155" s="1397"/>
      <c r="AF155" s="1397"/>
      <c r="AG155" s="1397"/>
      <c r="AH155" s="1397"/>
      <c r="AI155" s="1463" t="s">
        <v>426</v>
      </c>
      <c r="AJ155" s="1397"/>
    </row>
    <row r="156" spans="1:38" s="1334" customFormat="1" ht="31.5" x14ac:dyDescent="0.25">
      <c r="A156" s="1357">
        <v>3</v>
      </c>
      <c r="B156" s="1464" t="s">
        <v>967</v>
      </c>
      <c r="C156" s="1465" t="s">
        <v>1885</v>
      </c>
      <c r="D156" s="1397">
        <v>8200</v>
      </c>
      <c r="E156" s="1397">
        <v>3200</v>
      </c>
      <c r="F156" s="1397"/>
      <c r="G156" s="1397"/>
      <c r="H156" s="1397"/>
      <c r="I156" s="1397"/>
      <c r="J156" s="1397"/>
      <c r="K156" s="1397"/>
      <c r="L156" s="1397"/>
      <c r="M156" s="1397"/>
      <c r="N156" s="1397"/>
      <c r="O156" s="1397"/>
      <c r="P156" s="1397"/>
      <c r="Q156" s="1397"/>
      <c r="R156" s="1397"/>
      <c r="S156" s="1397"/>
      <c r="T156" s="1397"/>
      <c r="U156" s="1397"/>
      <c r="V156" s="1397"/>
      <c r="W156" s="1397"/>
      <c r="X156" s="1397"/>
      <c r="Y156" s="1397"/>
      <c r="Z156" s="1397"/>
      <c r="AA156" s="1397"/>
      <c r="AB156" s="1397"/>
      <c r="AC156" s="1454">
        <f t="shared" si="48"/>
        <v>2300</v>
      </c>
      <c r="AD156" s="1397">
        <v>2300</v>
      </c>
      <c r="AE156" s="1397"/>
      <c r="AF156" s="1397"/>
      <c r="AG156" s="1397"/>
      <c r="AH156" s="1397"/>
      <c r="AI156" s="1463" t="s">
        <v>426</v>
      </c>
      <c r="AJ156" s="1397"/>
    </row>
    <row r="157" spans="1:38" s="1334" customFormat="1" ht="31.5" x14ac:dyDescent="0.25">
      <c r="A157" s="1357">
        <v>4</v>
      </c>
      <c r="B157" s="1426" t="s">
        <v>971</v>
      </c>
      <c r="C157" s="1465" t="s">
        <v>1886</v>
      </c>
      <c r="D157" s="1397">
        <v>1446</v>
      </c>
      <c r="E157" s="1397">
        <v>1367</v>
      </c>
      <c r="F157" s="1397"/>
      <c r="G157" s="1397"/>
      <c r="H157" s="1397"/>
      <c r="I157" s="1397"/>
      <c r="J157" s="1397"/>
      <c r="K157" s="1397"/>
      <c r="L157" s="1397"/>
      <c r="M157" s="1397"/>
      <c r="N157" s="1397"/>
      <c r="O157" s="1397"/>
      <c r="P157" s="1397"/>
      <c r="Q157" s="1397"/>
      <c r="R157" s="1397"/>
      <c r="S157" s="1397"/>
      <c r="T157" s="1397"/>
      <c r="U157" s="1397"/>
      <c r="V157" s="1397"/>
      <c r="W157" s="1397"/>
      <c r="X157" s="1397"/>
      <c r="Y157" s="1397"/>
      <c r="Z157" s="1397"/>
      <c r="AA157" s="1397"/>
      <c r="AB157" s="1397"/>
      <c r="AC157" s="1454">
        <f t="shared" si="48"/>
        <v>867</v>
      </c>
      <c r="AD157" s="1397">
        <v>867</v>
      </c>
      <c r="AE157" s="1397"/>
      <c r="AF157" s="1397"/>
      <c r="AG157" s="1397"/>
      <c r="AH157" s="1397"/>
      <c r="AI157" s="1463" t="s">
        <v>424</v>
      </c>
      <c r="AJ157" s="1397"/>
    </row>
    <row r="158" spans="1:38" s="1334" customFormat="1" ht="31.5" x14ac:dyDescent="0.25">
      <c r="A158" s="1357">
        <v>5</v>
      </c>
      <c r="B158" s="1426" t="s">
        <v>1665</v>
      </c>
      <c r="C158" s="1426" t="s">
        <v>1887</v>
      </c>
      <c r="D158" s="1397">
        <v>1836</v>
      </c>
      <c r="E158" s="1397">
        <v>1800</v>
      </c>
      <c r="F158" s="1397"/>
      <c r="G158" s="1397"/>
      <c r="H158" s="1397"/>
      <c r="I158" s="1397"/>
      <c r="J158" s="1397"/>
      <c r="K158" s="1397"/>
      <c r="L158" s="1397"/>
      <c r="M158" s="1397"/>
      <c r="N158" s="1397"/>
      <c r="O158" s="1397"/>
      <c r="P158" s="1397"/>
      <c r="Q158" s="1397"/>
      <c r="R158" s="1397"/>
      <c r="S158" s="1397"/>
      <c r="T158" s="1397"/>
      <c r="U158" s="1397"/>
      <c r="V158" s="1397"/>
      <c r="W158" s="1397"/>
      <c r="X158" s="1397"/>
      <c r="Y158" s="1397"/>
      <c r="Z158" s="1397"/>
      <c r="AA158" s="1397"/>
      <c r="AB158" s="1397"/>
      <c r="AC158" s="1454">
        <f t="shared" si="48"/>
        <v>1260</v>
      </c>
      <c r="AD158" s="1397">
        <v>1260</v>
      </c>
      <c r="AE158" s="1397"/>
      <c r="AF158" s="1397"/>
      <c r="AG158" s="1397"/>
      <c r="AH158" s="1397"/>
      <c r="AI158" s="1463" t="s">
        <v>423</v>
      </c>
      <c r="AJ158" s="1397"/>
    </row>
    <row r="159" spans="1:38" s="1334" customFormat="1" ht="31.5" x14ac:dyDescent="0.25">
      <c r="A159" s="1357">
        <v>6</v>
      </c>
      <c r="B159" s="1466" t="s">
        <v>972</v>
      </c>
      <c r="C159" s="1465" t="s">
        <v>1888</v>
      </c>
      <c r="D159" s="1397">
        <v>1800</v>
      </c>
      <c r="E159" s="1397">
        <v>1100</v>
      </c>
      <c r="F159" s="1397"/>
      <c r="G159" s="1397"/>
      <c r="H159" s="1397"/>
      <c r="I159" s="1397"/>
      <c r="J159" s="1397"/>
      <c r="K159" s="1397"/>
      <c r="L159" s="1397"/>
      <c r="M159" s="1397"/>
      <c r="N159" s="1397"/>
      <c r="O159" s="1397"/>
      <c r="P159" s="1397"/>
      <c r="Q159" s="1397"/>
      <c r="R159" s="1397"/>
      <c r="S159" s="1397"/>
      <c r="T159" s="1397"/>
      <c r="U159" s="1397"/>
      <c r="V159" s="1397"/>
      <c r="W159" s="1397"/>
      <c r="X159" s="1397"/>
      <c r="Y159" s="1397"/>
      <c r="Z159" s="1397"/>
      <c r="AA159" s="1397"/>
      <c r="AB159" s="1397"/>
      <c r="AC159" s="1454">
        <f t="shared" si="48"/>
        <v>600</v>
      </c>
      <c r="AD159" s="1397">
        <v>600</v>
      </c>
      <c r="AE159" s="1397"/>
      <c r="AF159" s="1397"/>
      <c r="AG159" s="1397"/>
      <c r="AH159" s="1397"/>
      <c r="AI159" s="1463" t="s">
        <v>423</v>
      </c>
      <c r="AJ159" s="1397"/>
    </row>
    <row r="160" spans="1:38" s="1334" customFormat="1" ht="21" x14ac:dyDescent="0.25">
      <c r="A160" s="1357">
        <v>7</v>
      </c>
      <c r="B160" s="1426" t="s">
        <v>1654</v>
      </c>
      <c r="C160" s="1465" t="s">
        <v>1889</v>
      </c>
      <c r="D160" s="1397">
        <v>1900</v>
      </c>
      <c r="E160" s="1397">
        <v>1710</v>
      </c>
      <c r="F160" s="1397"/>
      <c r="G160" s="1397"/>
      <c r="H160" s="1397"/>
      <c r="I160" s="1397"/>
      <c r="J160" s="1397"/>
      <c r="K160" s="1397"/>
      <c r="L160" s="1397"/>
      <c r="M160" s="1397"/>
      <c r="N160" s="1397"/>
      <c r="O160" s="1397"/>
      <c r="P160" s="1397"/>
      <c r="Q160" s="1397"/>
      <c r="R160" s="1397"/>
      <c r="S160" s="1397"/>
      <c r="T160" s="1397"/>
      <c r="U160" s="1397"/>
      <c r="V160" s="1397"/>
      <c r="W160" s="1397"/>
      <c r="X160" s="1397"/>
      <c r="Y160" s="1397"/>
      <c r="Z160" s="1397"/>
      <c r="AA160" s="1397"/>
      <c r="AB160" s="1397"/>
      <c r="AC160" s="1454">
        <f t="shared" si="48"/>
        <v>1200</v>
      </c>
      <c r="AD160" s="1397">
        <v>1200</v>
      </c>
      <c r="AE160" s="1397"/>
      <c r="AF160" s="1397"/>
      <c r="AG160" s="1397"/>
      <c r="AH160" s="1397"/>
      <c r="AI160" s="1463" t="s">
        <v>421</v>
      </c>
      <c r="AJ160" s="1397"/>
    </row>
    <row r="161" spans="1:36" s="1334" customFormat="1" ht="31.5" x14ac:dyDescent="0.25">
      <c r="A161" s="1357">
        <v>8</v>
      </c>
      <c r="B161" s="1466" t="s">
        <v>981</v>
      </c>
      <c r="C161" s="1462" t="s">
        <v>982</v>
      </c>
      <c r="D161" s="1397">
        <v>13316</v>
      </c>
      <c r="E161" s="1397">
        <v>5000</v>
      </c>
      <c r="F161" s="1397"/>
      <c r="G161" s="1397"/>
      <c r="H161" s="1397"/>
      <c r="I161" s="1397"/>
      <c r="J161" s="1397"/>
      <c r="K161" s="1397"/>
      <c r="L161" s="1397"/>
      <c r="M161" s="1397"/>
      <c r="N161" s="1397"/>
      <c r="O161" s="1397"/>
      <c r="P161" s="1397"/>
      <c r="Q161" s="1397"/>
      <c r="R161" s="1397"/>
      <c r="S161" s="1397"/>
      <c r="T161" s="1397"/>
      <c r="U161" s="1397"/>
      <c r="V161" s="1397"/>
      <c r="W161" s="1397"/>
      <c r="X161" s="1397"/>
      <c r="Y161" s="1397"/>
      <c r="Z161" s="1397"/>
      <c r="AA161" s="1397"/>
      <c r="AB161" s="1397"/>
      <c r="AC161" s="1454">
        <f t="shared" si="48"/>
        <v>3765</v>
      </c>
      <c r="AD161" s="1397">
        <v>3765</v>
      </c>
      <c r="AE161" s="1397"/>
      <c r="AF161" s="1397"/>
      <c r="AG161" s="1397"/>
      <c r="AH161" s="1397"/>
      <c r="AI161" s="1462" t="s">
        <v>980</v>
      </c>
      <c r="AJ161" s="1397"/>
    </row>
    <row r="162" spans="1:36" s="1354" customFormat="1" ht="10.5" x14ac:dyDescent="0.25">
      <c r="A162" s="1413" t="s">
        <v>11</v>
      </c>
      <c r="B162" s="1467" t="s">
        <v>1249</v>
      </c>
      <c r="C162" s="1468"/>
      <c r="D162" s="1454"/>
      <c r="E162" s="1454"/>
      <c r="F162" s="1454"/>
      <c r="G162" s="1454"/>
      <c r="H162" s="1454"/>
      <c r="I162" s="1454"/>
      <c r="J162" s="1454"/>
      <c r="K162" s="1454"/>
      <c r="L162" s="1454"/>
      <c r="M162" s="1454"/>
      <c r="N162" s="1454"/>
      <c r="O162" s="1454"/>
      <c r="P162" s="1454"/>
      <c r="Q162" s="1454"/>
      <c r="R162" s="1454"/>
      <c r="S162" s="1454"/>
      <c r="T162" s="1454"/>
      <c r="U162" s="1454"/>
      <c r="V162" s="1454"/>
      <c r="W162" s="1454"/>
      <c r="X162" s="1454"/>
      <c r="Y162" s="1454"/>
      <c r="Z162" s="1454"/>
      <c r="AA162" s="1454"/>
      <c r="AB162" s="1454"/>
      <c r="AC162" s="1454">
        <f t="shared" si="48"/>
        <v>100</v>
      </c>
      <c r="AD162" s="1454">
        <f>AD163</f>
        <v>100</v>
      </c>
      <c r="AE162" s="1454"/>
      <c r="AF162" s="1454"/>
      <c r="AG162" s="1454"/>
      <c r="AH162" s="1454"/>
      <c r="AI162" s="1468"/>
      <c r="AJ162" s="1454"/>
    </row>
    <row r="163" spans="1:36" s="1334" customFormat="1" ht="10.5" x14ac:dyDescent="0.25">
      <c r="A163" s="1357"/>
      <c r="B163" s="1469" t="s">
        <v>1248</v>
      </c>
      <c r="C163" s="1462"/>
      <c r="D163" s="1397"/>
      <c r="E163" s="1397"/>
      <c r="F163" s="1397"/>
      <c r="G163" s="1397"/>
      <c r="H163" s="1397"/>
      <c r="I163" s="1397"/>
      <c r="J163" s="1397"/>
      <c r="K163" s="1397"/>
      <c r="L163" s="1397"/>
      <c r="M163" s="1397"/>
      <c r="N163" s="1397"/>
      <c r="O163" s="1397"/>
      <c r="P163" s="1397"/>
      <c r="Q163" s="1397"/>
      <c r="R163" s="1397"/>
      <c r="S163" s="1397"/>
      <c r="T163" s="1397"/>
      <c r="U163" s="1397"/>
      <c r="V163" s="1397"/>
      <c r="W163" s="1397"/>
      <c r="X163" s="1397"/>
      <c r="Y163" s="1397"/>
      <c r="Z163" s="1397"/>
      <c r="AA163" s="1397"/>
      <c r="AB163" s="1397"/>
      <c r="AC163" s="1454">
        <f t="shared" si="48"/>
        <v>100</v>
      </c>
      <c r="AD163" s="1397">
        <f>AD164</f>
        <v>100</v>
      </c>
      <c r="AE163" s="1397"/>
      <c r="AF163" s="1397"/>
      <c r="AG163" s="1397"/>
      <c r="AH163" s="1397"/>
      <c r="AI163" s="1462"/>
      <c r="AJ163" s="1397"/>
    </row>
    <row r="164" spans="1:36" s="1334" customFormat="1" ht="31.5" x14ac:dyDescent="0.25">
      <c r="A164" s="1357">
        <v>1</v>
      </c>
      <c r="B164" s="1470" t="s">
        <v>1250</v>
      </c>
      <c r="C164" s="1462" t="s">
        <v>1032</v>
      </c>
      <c r="D164" s="1397">
        <v>5197</v>
      </c>
      <c r="E164" s="1397">
        <v>4300</v>
      </c>
      <c r="F164" s="1397"/>
      <c r="G164" s="1397"/>
      <c r="H164" s="1397"/>
      <c r="I164" s="1397"/>
      <c r="J164" s="1397"/>
      <c r="K164" s="1397"/>
      <c r="L164" s="1397"/>
      <c r="M164" s="1397"/>
      <c r="N164" s="1397"/>
      <c r="O164" s="1397"/>
      <c r="P164" s="1397"/>
      <c r="Q164" s="1397"/>
      <c r="R164" s="1397"/>
      <c r="S164" s="1397"/>
      <c r="T164" s="1397"/>
      <c r="U164" s="1397"/>
      <c r="V164" s="1397"/>
      <c r="W164" s="1397"/>
      <c r="X164" s="1397"/>
      <c r="Y164" s="1397"/>
      <c r="Z164" s="1397"/>
      <c r="AA164" s="1397"/>
      <c r="AB164" s="1397"/>
      <c r="AC164" s="1454">
        <f t="shared" si="48"/>
        <v>100</v>
      </c>
      <c r="AD164" s="1397">
        <v>100</v>
      </c>
      <c r="AE164" s="1397"/>
      <c r="AF164" s="1397"/>
      <c r="AG164" s="1397"/>
      <c r="AH164" s="1397"/>
      <c r="AI164" s="1463" t="s">
        <v>421</v>
      </c>
      <c r="AJ164" s="1397"/>
    </row>
    <row r="165" spans="1:36" s="1354" customFormat="1" ht="21" x14ac:dyDescent="0.25">
      <c r="A165" s="1413" t="s">
        <v>14</v>
      </c>
      <c r="B165" s="1471" t="s">
        <v>1251</v>
      </c>
      <c r="C165" s="1468"/>
      <c r="D165" s="1454"/>
      <c r="E165" s="1454"/>
      <c r="F165" s="1454"/>
      <c r="G165" s="1454"/>
      <c r="H165" s="1454"/>
      <c r="I165" s="1454"/>
      <c r="J165" s="1454"/>
      <c r="K165" s="1454"/>
      <c r="L165" s="1454"/>
      <c r="M165" s="1454"/>
      <c r="N165" s="1454"/>
      <c r="O165" s="1454"/>
      <c r="P165" s="1454"/>
      <c r="Q165" s="1454"/>
      <c r="R165" s="1454"/>
      <c r="S165" s="1454"/>
      <c r="T165" s="1454"/>
      <c r="U165" s="1454"/>
      <c r="V165" s="1454"/>
      <c r="W165" s="1454"/>
      <c r="X165" s="1454"/>
      <c r="Y165" s="1454"/>
      <c r="Z165" s="1454"/>
      <c r="AA165" s="1454"/>
      <c r="AB165" s="1454"/>
      <c r="AC165" s="1454">
        <f t="shared" si="48"/>
        <v>2106</v>
      </c>
      <c r="AD165" s="1454">
        <f>AD166</f>
        <v>2106</v>
      </c>
      <c r="AE165" s="1454"/>
      <c r="AF165" s="1454"/>
      <c r="AG165" s="1454"/>
      <c r="AH165" s="1454"/>
      <c r="AI165" s="1472"/>
      <c r="AJ165" s="1454"/>
    </row>
    <row r="166" spans="1:36" s="1334" customFormat="1" ht="10.5" x14ac:dyDescent="0.25">
      <c r="A166" s="1357"/>
      <c r="B166" s="1469" t="s">
        <v>956</v>
      </c>
      <c r="C166" s="1462"/>
      <c r="D166" s="1397"/>
      <c r="E166" s="1397"/>
      <c r="F166" s="1397"/>
      <c r="G166" s="1397"/>
      <c r="H166" s="1397"/>
      <c r="I166" s="1397"/>
      <c r="J166" s="1397"/>
      <c r="K166" s="1397"/>
      <c r="L166" s="1397"/>
      <c r="M166" s="1397"/>
      <c r="N166" s="1397"/>
      <c r="O166" s="1397"/>
      <c r="P166" s="1397"/>
      <c r="Q166" s="1397"/>
      <c r="R166" s="1397"/>
      <c r="S166" s="1397"/>
      <c r="T166" s="1397"/>
      <c r="U166" s="1397"/>
      <c r="V166" s="1397"/>
      <c r="W166" s="1397"/>
      <c r="X166" s="1397"/>
      <c r="Y166" s="1397"/>
      <c r="Z166" s="1397"/>
      <c r="AA166" s="1397"/>
      <c r="AB166" s="1397"/>
      <c r="AC166" s="1454">
        <f t="shared" si="48"/>
        <v>2106</v>
      </c>
      <c r="AD166" s="1397">
        <f>SUM(AD167:AD173)</f>
        <v>2106</v>
      </c>
      <c r="AE166" s="1397"/>
      <c r="AF166" s="1397"/>
      <c r="AG166" s="1397"/>
      <c r="AH166" s="1397"/>
      <c r="AI166" s="1463"/>
      <c r="AJ166" s="1397"/>
    </row>
    <row r="167" spans="1:36" s="1334" customFormat="1" ht="21" x14ac:dyDescent="0.25">
      <c r="A167" s="1357">
        <v>1</v>
      </c>
      <c r="B167" s="1473" t="s">
        <v>1022</v>
      </c>
      <c r="C167" s="1462" t="s">
        <v>1023</v>
      </c>
      <c r="D167" s="1397">
        <v>1150</v>
      </c>
      <c r="E167" s="1397">
        <v>900</v>
      </c>
      <c r="F167" s="1397"/>
      <c r="G167" s="1397"/>
      <c r="H167" s="1397"/>
      <c r="I167" s="1397"/>
      <c r="J167" s="1397"/>
      <c r="K167" s="1397"/>
      <c r="L167" s="1397"/>
      <c r="M167" s="1397"/>
      <c r="N167" s="1397"/>
      <c r="O167" s="1397"/>
      <c r="P167" s="1397"/>
      <c r="Q167" s="1397"/>
      <c r="R167" s="1397"/>
      <c r="S167" s="1397"/>
      <c r="T167" s="1397"/>
      <c r="U167" s="1397"/>
      <c r="V167" s="1397"/>
      <c r="W167" s="1397"/>
      <c r="X167" s="1397"/>
      <c r="Y167" s="1397"/>
      <c r="Z167" s="1397"/>
      <c r="AA167" s="1397"/>
      <c r="AB167" s="1397"/>
      <c r="AC167" s="1454">
        <f t="shared" si="48"/>
        <v>100</v>
      </c>
      <c r="AD167" s="1397">
        <v>100</v>
      </c>
      <c r="AE167" s="1397"/>
      <c r="AF167" s="1397"/>
      <c r="AG167" s="1397"/>
      <c r="AH167" s="1397"/>
      <c r="AI167" s="1463" t="s">
        <v>420</v>
      </c>
      <c r="AJ167" s="1397"/>
    </row>
    <row r="168" spans="1:36" s="1334" customFormat="1" ht="31.5" x14ac:dyDescent="0.25">
      <c r="A168" s="1357">
        <v>2</v>
      </c>
      <c r="B168" s="1426" t="s">
        <v>1027</v>
      </c>
      <c r="C168" s="1462" t="s">
        <v>1890</v>
      </c>
      <c r="D168" s="1397">
        <v>899</v>
      </c>
      <c r="E168" s="1397">
        <v>856</v>
      </c>
      <c r="F168" s="1397"/>
      <c r="G168" s="1397"/>
      <c r="H168" s="1397"/>
      <c r="I168" s="1397"/>
      <c r="J168" s="1397"/>
      <c r="K168" s="1397"/>
      <c r="L168" s="1397"/>
      <c r="M168" s="1397"/>
      <c r="N168" s="1397"/>
      <c r="O168" s="1397"/>
      <c r="P168" s="1397"/>
      <c r="Q168" s="1397"/>
      <c r="R168" s="1397"/>
      <c r="S168" s="1397"/>
      <c r="T168" s="1397"/>
      <c r="U168" s="1397"/>
      <c r="V168" s="1397"/>
      <c r="W168" s="1397"/>
      <c r="X168" s="1397"/>
      <c r="Y168" s="1397"/>
      <c r="Z168" s="1397"/>
      <c r="AA168" s="1397"/>
      <c r="AB168" s="1397"/>
      <c r="AC168" s="1454">
        <f t="shared" si="48"/>
        <v>356</v>
      </c>
      <c r="AD168" s="1397">
        <v>356</v>
      </c>
      <c r="AE168" s="1397"/>
      <c r="AF168" s="1397"/>
      <c r="AG168" s="1397"/>
      <c r="AH168" s="1397"/>
      <c r="AI168" s="1463" t="s">
        <v>424</v>
      </c>
      <c r="AJ168" s="1397"/>
    </row>
    <row r="169" spans="1:36" s="1334" customFormat="1" ht="21" x14ac:dyDescent="0.25">
      <c r="A169" s="1357">
        <v>3</v>
      </c>
      <c r="B169" s="1470" t="s">
        <v>1039</v>
      </c>
      <c r="C169" s="1462" t="s">
        <v>1040</v>
      </c>
      <c r="D169" s="1397">
        <v>1100</v>
      </c>
      <c r="E169" s="1397">
        <v>900</v>
      </c>
      <c r="F169" s="1397"/>
      <c r="G169" s="1397"/>
      <c r="H169" s="1397"/>
      <c r="I169" s="1397"/>
      <c r="J169" s="1397"/>
      <c r="K169" s="1397"/>
      <c r="L169" s="1397"/>
      <c r="M169" s="1397"/>
      <c r="N169" s="1397"/>
      <c r="O169" s="1397"/>
      <c r="P169" s="1397"/>
      <c r="Q169" s="1397"/>
      <c r="R169" s="1397"/>
      <c r="S169" s="1397"/>
      <c r="T169" s="1397"/>
      <c r="U169" s="1397"/>
      <c r="V169" s="1397"/>
      <c r="W169" s="1397"/>
      <c r="X169" s="1397"/>
      <c r="Y169" s="1397"/>
      <c r="Z169" s="1397"/>
      <c r="AA169" s="1397"/>
      <c r="AB169" s="1397"/>
      <c r="AC169" s="1454">
        <f t="shared" si="48"/>
        <v>100</v>
      </c>
      <c r="AD169" s="1397">
        <v>100</v>
      </c>
      <c r="AE169" s="1397"/>
      <c r="AF169" s="1397"/>
      <c r="AG169" s="1397"/>
      <c r="AH169" s="1397"/>
      <c r="AI169" s="1463" t="s">
        <v>421</v>
      </c>
      <c r="AJ169" s="1397"/>
    </row>
    <row r="170" spans="1:36" s="1334" customFormat="1" ht="31.5" x14ac:dyDescent="0.25">
      <c r="A170" s="1357">
        <v>4</v>
      </c>
      <c r="B170" s="1473" t="s">
        <v>1024</v>
      </c>
      <c r="C170" s="1462" t="s">
        <v>1891</v>
      </c>
      <c r="D170" s="1397">
        <v>938</v>
      </c>
      <c r="E170" s="1397">
        <v>907</v>
      </c>
      <c r="F170" s="1397"/>
      <c r="G170" s="1397"/>
      <c r="H170" s="1397"/>
      <c r="I170" s="1397"/>
      <c r="J170" s="1397"/>
      <c r="K170" s="1397"/>
      <c r="L170" s="1397"/>
      <c r="M170" s="1397"/>
      <c r="N170" s="1397"/>
      <c r="O170" s="1397"/>
      <c r="P170" s="1397"/>
      <c r="Q170" s="1397"/>
      <c r="R170" s="1397"/>
      <c r="S170" s="1397"/>
      <c r="T170" s="1397"/>
      <c r="U170" s="1397"/>
      <c r="V170" s="1397"/>
      <c r="W170" s="1397"/>
      <c r="X170" s="1397"/>
      <c r="Y170" s="1397"/>
      <c r="Z170" s="1397"/>
      <c r="AA170" s="1397"/>
      <c r="AB170" s="1397"/>
      <c r="AC170" s="1454">
        <f t="shared" si="48"/>
        <v>100</v>
      </c>
      <c r="AD170" s="1397">
        <v>100</v>
      </c>
      <c r="AE170" s="1397"/>
      <c r="AF170" s="1397"/>
      <c r="AG170" s="1397"/>
      <c r="AH170" s="1397"/>
      <c r="AI170" s="1463" t="s">
        <v>425</v>
      </c>
      <c r="AJ170" s="1397"/>
    </row>
    <row r="171" spans="1:36" s="1334" customFormat="1" ht="31.5" x14ac:dyDescent="0.25">
      <c r="A171" s="1357">
        <v>5</v>
      </c>
      <c r="B171" s="1474" t="s">
        <v>1025</v>
      </c>
      <c r="C171" s="1462" t="s">
        <v>1892</v>
      </c>
      <c r="D171" s="1397">
        <v>1066</v>
      </c>
      <c r="E171" s="1397">
        <v>907</v>
      </c>
      <c r="F171" s="1397"/>
      <c r="G171" s="1397"/>
      <c r="H171" s="1397"/>
      <c r="I171" s="1397"/>
      <c r="J171" s="1397"/>
      <c r="K171" s="1397"/>
      <c r="L171" s="1397"/>
      <c r="M171" s="1397"/>
      <c r="N171" s="1397"/>
      <c r="O171" s="1397"/>
      <c r="P171" s="1397"/>
      <c r="Q171" s="1397"/>
      <c r="R171" s="1397"/>
      <c r="S171" s="1397"/>
      <c r="T171" s="1397"/>
      <c r="U171" s="1397"/>
      <c r="V171" s="1397"/>
      <c r="W171" s="1397"/>
      <c r="X171" s="1397"/>
      <c r="Y171" s="1397"/>
      <c r="Z171" s="1397"/>
      <c r="AA171" s="1397"/>
      <c r="AB171" s="1397"/>
      <c r="AC171" s="1454">
        <f t="shared" si="48"/>
        <v>400</v>
      </c>
      <c r="AD171" s="1397">
        <v>400</v>
      </c>
      <c r="AE171" s="1397"/>
      <c r="AF171" s="1397"/>
      <c r="AG171" s="1397"/>
      <c r="AH171" s="1397"/>
      <c r="AI171" s="1463" t="s">
        <v>425</v>
      </c>
      <c r="AJ171" s="1397"/>
    </row>
    <row r="172" spans="1:36" s="1334" customFormat="1" ht="31.5" x14ac:dyDescent="0.25">
      <c r="A172" s="1357">
        <v>6</v>
      </c>
      <c r="B172" s="1474" t="s">
        <v>1026</v>
      </c>
      <c r="C172" s="1462" t="s">
        <v>1893</v>
      </c>
      <c r="D172" s="1397">
        <v>1109</v>
      </c>
      <c r="E172" s="1397">
        <v>907</v>
      </c>
      <c r="F172" s="1397"/>
      <c r="G172" s="1397"/>
      <c r="H172" s="1397"/>
      <c r="I172" s="1397"/>
      <c r="J172" s="1397"/>
      <c r="K172" s="1397"/>
      <c r="L172" s="1397"/>
      <c r="M172" s="1397"/>
      <c r="N172" s="1397"/>
      <c r="O172" s="1397"/>
      <c r="P172" s="1397"/>
      <c r="Q172" s="1397"/>
      <c r="R172" s="1397"/>
      <c r="S172" s="1397"/>
      <c r="T172" s="1397"/>
      <c r="U172" s="1397"/>
      <c r="V172" s="1397"/>
      <c r="W172" s="1397"/>
      <c r="X172" s="1397"/>
      <c r="Y172" s="1397"/>
      <c r="Z172" s="1397"/>
      <c r="AA172" s="1397"/>
      <c r="AB172" s="1397"/>
      <c r="AC172" s="1454">
        <f t="shared" si="48"/>
        <v>400</v>
      </c>
      <c r="AD172" s="1397">
        <v>400</v>
      </c>
      <c r="AE172" s="1397"/>
      <c r="AF172" s="1397"/>
      <c r="AG172" s="1397"/>
      <c r="AH172" s="1397"/>
      <c r="AI172" s="1463" t="s">
        <v>425</v>
      </c>
      <c r="AJ172" s="1397"/>
    </row>
    <row r="173" spans="1:36" s="1334" customFormat="1" ht="21" x14ac:dyDescent="0.25">
      <c r="A173" s="1357">
        <v>7</v>
      </c>
      <c r="B173" s="1474" t="s">
        <v>1766</v>
      </c>
      <c r="C173" s="1462" t="s">
        <v>1894</v>
      </c>
      <c r="D173" s="1397">
        <v>1133</v>
      </c>
      <c r="E173" s="1397">
        <v>907</v>
      </c>
      <c r="F173" s="1397"/>
      <c r="G173" s="1397"/>
      <c r="H173" s="1397"/>
      <c r="I173" s="1397"/>
      <c r="J173" s="1397"/>
      <c r="K173" s="1397"/>
      <c r="L173" s="1397"/>
      <c r="M173" s="1397"/>
      <c r="N173" s="1397"/>
      <c r="O173" s="1397"/>
      <c r="P173" s="1397"/>
      <c r="Q173" s="1397"/>
      <c r="R173" s="1397"/>
      <c r="S173" s="1397"/>
      <c r="T173" s="1397"/>
      <c r="U173" s="1397"/>
      <c r="V173" s="1397"/>
      <c r="W173" s="1397"/>
      <c r="X173" s="1397"/>
      <c r="Y173" s="1397"/>
      <c r="Z173" s="1397"/>
      <c r="AA173" s="1397"/>
      <c r="AB173" s="1397"/>
      <c r="AC173" s="1454">
        <f t="shared" si="48"/>
        <v>650</v>
      </c>
      <c r="AD173" s="1397">
        <v>650</v>
      </c>
      <c r="AE173" s="1397"/>
      <c r="AF173" s="1397"/>
      <c r="AG173" s="1397"/>
      <c r="AH173" s="1397"/>
      <c r="AI173" s="1463" t="s">
        <v>425</v>
      </c>
      <c r="AJ173" s="1397"/>
    </row>
    <row r="174" spans="1:36" s="1354" customFormat="1" ht="10.5" x14ac:dyDescent="0.25">
      <c r="A174" s="1413" t="s">
        <v>193</v>
      </c>
      <c r="B174" s="1454" t="s">
        <v>1253</v>
      </c>
      <c r="C174" s="1454"/>
      <c r="D174" s="1454"/>
      <c r="E174" s="1454"/>
      <c r="F174" s="1454"/>
      <c r="G174" s="1454"/>
      <c r="H174" s="1454"/>
      <c r="I174" s="1454"/>
      <c r="J174" s="1454"/>
      <c r="K174" s="1454"/>
      <c r="L174" s="1454"/>
      <c r="M174" s="1454"/>
      <c r="N174" s="1454"/>
      <c r="O174" s="1454"/>
      <c r="P174" s="1454"/>
      <c r="Q174" s="1454"/>
      <c r="R174" s="1454"/>
      <c r="S174" s="1454"/>
      <c r="T174" s="1454"/>
      <c r="U174" s="1454"/>
      <c r="V174" s="1454"/>
      <c r="W174" s="1454"/>
      <c r="X174" s="1454"/>
      <c r="Y174" s="1454"/>
      <c r="Z174" s="1454"/>
      <c r="AA174" s="1454"/>
      <c r="AB174" s="1454"/>
      <c r="AC174" s="1454">
        <f t="shared" si="48"/>
        <v>78100</v>
      </c>
      <c r="AD174" s="1454">
        <f>SUM(AD175:AD183)</f>
        <v>78100</v>
      </c>
      <c r="AE174" s="1454"/>
      <c r="AF174" s="1454"/>
      <c r="AG174" s="1454"/>
      <c r="AH174" s="1454"/>
      <c r="AI174" s="1454"/>
      <c r="AJ174" s="1454"/>
    </row>
    <row r="175" spans="1:36" s="1334" customFormat="1" ht="10.5" x14ac:dyDescent="0.25">
      <c r="A175" s="1357">
        <v>1</v>
      </c>
      <c r="B175" s="1430" t="s">
        <v>1037</v>
      </c>
      <c r="C175" s="1397"/>
      <c r="D175" s="1397"/>
      <c r="E175" s="1397"/>
      <c r="F175" s="1397"/>
      <c r="G175" s="1397"/>
      <c r="H175" s="1397"/>
      <c r="I175" s="1397"/>
      <c r="J175" s="1397"/>
      <c r="K175" s="1397"/>
      <c r="L175" s="1397"/>
      <c r="M175" s="1397"/>
      <c r="N175" s="1397"/>
      <c r="O175" s="1397"/>
      <c r="P175" s="1397"/>
      <c r="Q175" s="1397"/>
      <c r="R175" s="1397"/>
      <c r="S175" s="1397"/>
      <c r="T175" s="1397"/>
      <c r="U175" s="1397"/>
      <c r="V175" s="1397"/>
      <c r="W175" s="1397"/>
      <c r="X175" s="1397"/>
      <c r="Y175" s="1397"/>
      <c r="Z175" s="1397"/>
      <c r="AA175" s="1397"/>
      <c r="AB175" s="1397"/>
      <c r="AC175" s="1397">
        <f t="shared" si="48"/>
        <v>7900</v>
      </c>
      <c r="AD175" s="1397">
        <v>7900</v>
      </c>
      <c r="AE175" s="1397"/>
      <c r="AF175" s="1397"/>
      <c r="AG175" s="1397"/>
      <c r="AH175" s="1397"/>
      <c r="AI175" s="1397"/>
      <c r="AJ175" s="1397"/>
    </row>
    <row r="176" spans="1:36" s="1334" customFormat="1" ht="10.5" x14ac:dyDescent="0.25">
      <c r="A176" s="1357">
        <v>2</v>
      </c>
      <c r="B176" s="1426" t="s">
        <v>154</v>
      </c>
      <c r="C176" s="1397"/>
      <c r="D176" s="1397"/>
      <c r="E176" s="1397"/>
      <c r="F176" s="1397"/>
      <c r="G176" s="1397"/>
      <c r="H176" s="1397"/>
      <c r="I176" s="1397"/>
      <c r="J176" s="1397"/>
      <c r="K176" s="1397"/>
      <c r="L176" s="1397"/>
      <c r="M176" s="1397"/>
      <c r="N176" s="1397"/>
      <c r="O176" s="1397"/>
      <c r="P176" s="1397"/>
      <c r="Q176" s="1397"/>
      <c r="R176" s="1397"/>
      <c r="S176" s="1397"/>
      <c r="T176" s="1397"/>
      <c r="U176" s="1397"/>
      <c r="V176" s="1397"/>
      <c r="W176" s="1397"/>
      <c r="X176" s="1397"/>
      <c r="Y176" s="1397"/>
      <c r="Z176" s="1397"/>
      <c r="AA176" s="1397"/>
      <c r="AB176" s="1397"/>
      <c r="AC176" s="1397">
        <f t="shared" si="48"/>
        <v>9000</v>
      </c>
      <c r="AD176" s="1397">
        <f>'Biểu 09DT'!J17</f>
        <v>9000</v>
      </c>
      <c r="AE176" s="1397"/>
      <c r="AF176" s="1397"/>
      <c r="AG176" s="1397"/>
      <c r="AH176" s="1397"/>
      <c r="AI176" s="1397"/>
      <c r="AJ176" s="1397"/>
    </row>
    <row r="177" spans="1:36" s="1334" customFormat="1" ht="10.5" x14ac:dyDescent="0.25">
      <c r="A177" s="1357">
        <v>3</v>
      </c>
      <c r="B177" s="1426" t="s">
        <v>149</v>
      </c>
      <c r="C177" s="1397"/>
      <c r="D177" s="1397"/>
      <c r="E177" s="1397"/>
      <c r="F177" s="1397"/>
      <c r="G177" s="1397"/>
      <c r="H177" s="1397"/>
      <c r="I177" s="1397"/>
      <c r="J177" s="1397"/>
      <c r="K177" s="1397"/>
      <c r="L177" s="1397"/>
      <c r="M177" s="1397"/>
      <c r="N177" s="1397"/>
      <c r="O177" s="1397"/>
      <c r="P177" s="1397"/>
      <c r="Q177" s="1397"/>
      <c r="R177" s="1397"/>
      <c r="S177" s="1397"/>
      <c r="T177" s="1397"/>
      <c r="U177" s="1397"/>
      <c r="V177" s="1397"/>
      <c r="W177" s="1397"/>
      <c r="X177" s="1397"/>
      <c r="Y177" s="1397"/>
      <c r="Z177" s="1397"/>
      <c r="AA177" s="1397"/>
      <c r="AB177" s="1397"/>
      <c r="AC177" s="1397">
        <f t="shared" si="48"/>
        <v>1530</v>
      </c>
      <c r="AD177" s="1397">
        <f>'Biểu 09DT'!E17</f>
        <v>1530</v>
      </c>
      <c r="AE177" s="1397"/>
      <c r="AF177" s="1397"/>
      <c r="AG177" s="1397"/>
      <c r="AH177" s="1397"/>
      <c r="AI177" s="1397"/>
      <c r="AJ177" s="1397"/>
    </row>
    <row r="178" spans="1:36" s="1334" customFormat="1" ht="10.5" x14ac:dyDescent="0.25">
      <c r="A178" s="1357">
        <v>4</v>
      </c>
      <c r="B178" s="1426" t="s">
        <v>151</v>
      </c>
      <c r="C178" s="1397"/>
      <c r="D178" s="1397"/>
      <c r="E178" s="1397"/>
      <c r="F178" s="1397"/>
      <c r="G178" s="1397"/>
      <c r="H178" s="1397"/>
      <c r="I178" s="1397"/>
      <c r="J178" s="1397"/>
      <c r="K178" s="1397"/>
      <c r="L178" s="1397"/>
      <c r="M178" s="1397"/>
      <c r="N178" s="1397"/>
      <c r="O178" s="1397"/>
      <c r="P178" s="1397"/>
      <c r="Q178" s="1397"/>
      <c r="R178" s="1397"/>
      <c r="S178" s="1397"/>
      <c r="T178" s="1397"/>
      <c r="U178" s="1397"/>
      <c r="V178" s="1397"/>
      <c r="W178" s="1397"/>
      <c r="X178" s="1397"/>
      <c r="Y178" s="1397"/>
      <c r="Z178" s="1397"/>
      <c r="AA178" s="1397"/>
      <c r="AB178" s="1397"/>
      <c r="AC178" s="1397">
        <f t="shared" si="48"/>
        <v>4500</v>
      </c>
      <c r="AD178" s="1397">
        <f>'Biểu 09DT'!G17</f>
        <v>4500</v>
      </c>
      <c r="AE178" s="1397"/>
      <c r="AF178" s="1397"/>
      <c r="AG178" s="1397"/>
      <c r="AH178" s="1397"/>
      <c r="AI178" s="1397"/>
      <c r="AJ178" s="1397"/>
    </row>
    <row r="179" spans="1:36" s="1334" customFormat="1" ht="10.5" x14ac:dyDescent="0.25">
      <c r="A179" s="1357">
        <v>5</v>
      </c>
      <c r="B179" s="1426" t="s">
        <v>385</v>
      </c>
      <c r="C179" s="1397"/>
      <c r="D179" s="1397"/>
      <c r="E179" s="1397"/>
      <c r="F179" s="1397"/>
      <c r="G179" s="1397"/>
      <c r="H179" s="1397"/>
      <c r="I179" s="1397"/>
      <c r="J179" s="1397"/>
      <c r="K179" s="1397"/>
      <c r="L179" s="1397"/>
      <c r="M179" s="1397"/>
      <c r="N179" s="1397"/>
      <c r="O179" s="1397"/>
      <c r="P179" s="1397"/>
      <c r="Q179" s="1397"/>
      <c r="R179" s="1397"/>
      <c r="S179" s="1397"/>
      <c r="T179" s="1397"/>
      <c r="U179" s="1397"/>
      <c r="V179" s="1397"/>
      <c r="W179" s="1397"/>
      <c r="X179" s="1397"/>
      <c r="Y179" s="1397"/>
      <c r="Z179" s="1397"/>
      <c r="AA179" s="1397"/>
      <c r="AB179" s="1397"/>
      <c r="AC179" s="1397">
        <f t="shared" si="48"/>
        <v>2070</v>
      </c>
      <c r="AD179" s="1397">
        <f>'Biểu 09DT'!F17</f>
        <v>2070</v>
      </c>
      <c r="AE179" s="1397"/>
      <c r="AF179" s="1397"/>
      <c r="AG179" s="1397"/>
      <c r="AH179" s="1397"/>
      <c r="AI179" s="1397"/>
      <c r="AJ179" s="1397"/>
    </row>
    <row r="180" spans="1:36" s="1334" customFormat="1" ht="10.5" x14ac:dyDescent="0.25">
      <c r="A180" s="1357">
        <v>6</v>
      </c>
      <c r="B180" s="1426" t="s">
        <v>152</v>
      </c>
      <c r="C180" s="1397"/>
      <c r="D180" s="1397"/>
      <c r="E180" s="1397"/>
      <c r="F180" s="1397"/>
      <c r="G180" s="1397"/>
      <c r="H180" s="1397"/>
      <c r="I180" s="1397"/>
      <c r="J180" s="1397"/>
      <c r="K180" s="1397"/>
      <c r="L180" s="1397"/>
      <c r="M180" s="1397"/>
      <c r="N180" s="1397"/>
      <c r="O180" s="1397"/>
      <c r="P180" s="1397"/>
      <c r="Q180" s="1397"/>
      <c r="R180" s="1397"/>
      <c r="S180" s="1397"/>
      <c r="T180" s="1397"/>
      <c r="U180" s="1397"/>
      <c r="V180" s="1397"/>
      <c r="W180" s="1397"/>
      <c r="X180" s="1397"/>
      <c r="Y180" s="1397"/>
      <c r="Z180" s="1397"/>
      <c r="AA180" s="1397"/>
      <c r="AB180" s="1397"/>
      <c r="AC180" s="1397">
        <f t="shared" si="48"/>
        <v>2700</v>
      </c>
      <c r="AD180" s="1397">
        <f>'Biểu 09DT'!H17</f>
        <v>2700</v>
      </c>
      <c r="AE180" s="1397"/>
      <c r="AF180" s="1397"/>
      <c r="AG180" s="1397"/>
      <c r="AH180" s="1397"/>
      <c r="AI180" s="1397"/>
      <c r="AJ180" s="1397"/>
    </row>
    <row r="181" spans="1:36" s="1334" customFormat="1" ht="10.5" x14ac:dyDescent="0.25">
      <c r="A181" s="1357">
        <v>7</v>
      </c>
      <c r="B181" s="1426" t="s">
        <v>153</v>
      </c>
      <c r="C181" s="1397"/>
      <c r="D181" s="1397"/>
      <c r="E181" s="1397"/>
      <c r="F181" s="1397"/>
      <c r="G181" s="1397"/>
      <c r="H181" s="1397"/>
      <c r="I181" s="1397"/>
      <c r="J181" s="1397"/>
      <c r="K181" s="1397"/>
      <c r="L181" s="1397"/>
      <c r="M181" s="1397"/>
      <c r="N181" s="1397"/>
      <c r="O181" s="1397"/>
      <c r="P181" s="1397"/>
      <c r="Q181" s="1397"/>
      <c r="R181" s="1397"/>
      <c r="S181" s="1397"/>
      <c r="T181" s="1397"/>
      <c r="U181" s="1397"/>
      <c r="V181" s="1397"/>
      <c r="W181" s="1397"/>
      <c r="X181" s="1397"/>
      <c r="Y181" s="1397"/>
      <c r="Z181" s="1397"/>
      <c r="AA181" s="1397"/>
      <c r="AB181" s="1397"/>
      <c r="AC181" s="1397">
        <f t="shared" si="48"/>
        <v>450</v>
      </c>
      <c r="AD181" s="1397">
        <f>'Biểu 09DT'!I17</f>
        <v>450</v>
      </c>
      <c r="AE181" s="1397"/>
      <c r="AF181" s="1397"/>
      <c r="AG181" s="1397"/>
      <c r="AH181" s="1397"/>
      <c r="AI181" s="1397"/>
      <c r="AJ181" s="1397"/>
    </row>
    <row r="182" spans="1:36" s="1334" customFormat="1" ht="10.5" x14ac:dyDescent="0.25">
      <c r="A182" s="1357">
        <v>8</v>
      </c>
      <c r="B182" s="1426" t="s">
        <v>155</v>
      </c>
      <c r="C182" s="1397"/>
      <c r="D182" s="1397"/>
      <c r="E182" s="1397"/>
      <c r="F182" s="1397"/>
      <c r="G182" s="1397"/>
      <c r="H182" s="1397"/>
      <c r="I182" s="1397"/>
      <c r="J182" s="1397"/>
      <c r="K182" s="1397"/>
      <c r="L182" s="1397"/>
      <c r="M182" s="1397"/>
      <c r="N182" s="1397"/>
      <c r="O182" s="1397"/>
      <c r="P182" s="1397"/>
      <c r="Q182" s="1397"/>
      <c r="R182" s="1397"/>
      <c r="S182" s="1397"/>
      <c r="T182" s="1397"/>
      <c r="U182" s="1397"/>
      <c r="V182" s="1397"/>
      <c r="W182" s="1397"/>
      <c r="X182" s="1397"/>
      <c r="Y182" s="1397"/>
      <c r="Z182" s="1397"/>
      <c r="AA182" s="1397"/>
      <c r="AB182" s="1397"/>
      <c r="AC182" s="1397">
        <f t="shared" si="48"/>
        <v>2700</v>
      </c>
      <c r="AD182" s="1397">
        <f>'Biểu 09DT'!K17</f>
        <v>2700</v>
      </c>
      <c r="AE182" s="1397"/>
      <c r="AF182" s="1397"/>
      <c r="AG182" s="1397"/>
      <c r="AH182" s="1397"/>
      <c r="AI182" s="1397"/>
      <c r="AJ182" s="1397"/>
    </row>
    <row r="183" spans="1:36" s="1334" customFormat="1" ht="10.5" x14ac:dyDescent="0.25">
      <c r="A183" s="1357">
        <v>9</v>
      </c>
      <c r="B183" s="1426" t="s">
        <v>148</v>
      </c>
      <c r="C183" s="1397"/>
      <c r="D183" s="1397"/>
      <c r="E183" s="1397"/>
      <c r="F183" s="1397"/>
      <c r="G183" s="1397"/>
      <c r="H183" s="1397"/>
      <c r="I183" s="1397"/>
      <c r="J183" s="1397"/>
      <c r="K183" s="1397"/>
      <c r="L183" s="1397"/>
      <c r="M183" s="1397"/>
      <c r="N183" s="1397"/>
      <c r="O183" s="1397"/>
      <c r="P183" s="1397"/>
      <c r="Q183" s="1397"/>
      <c r="R183" s="1397"/>
      <c r="S183" s="1397"/>
      <c r="T183" s="1397"/>
      <c r="U183" s="1397"/>
      <c r="V183" s="1397"/>
      <c r="W183" s="1397"/>
      <c r="X183" s="1397"/>
      <c r="Y183" s="1397"/>
      <c r="Z183" s="1397"/>
      <c r="AA183" s="1397"/>
      <c r="AB183" s="1397"/>
      <c r="AC183" s="1397">
        <f t="shared" si="48"/>
        <v>47250</v>
      </c>
      <c r="AD183" s="1397">
        <f>'Biểu 09DT'!D17</f>
        <v>47250</v>
      </c>
      <c r="AE183" s="1397"/>
      <c r="AF183" s="1397"/>
      <c r="AG183" s="1397"/>
      <c r="AH183" s="1397"/>
      <c r="AI183" s="1397"/>
      <c r="AJ183" s="1397"/>
    </row>
    <row r="184" spans="1:36" s="1334" customFormat="1" ht="21" x14ac:dyDescent="0.25">
      <c r="A184" s="1413" t="s">
        <v>207</v>
      </c>
      <c r="B184" s="1454" t="s">
        <v>1252</v>
      </c>
      <c r="C184" s="1397"/>
      <c r="D184" s="1397"/>
      <c r="E184" s="1397"/>
      <c r="F184" s="1397"/>
      <c r="G184" s="1397"/>
      <c r="H184" s="1397"/>
      <c r="I184" s="1397"/>
      <c r="J184" s="1397"/>
      <c r="K184" s="1397"/>
      <c r="L184" s="1397"/>
      <c r="M184" s="1397"/>
      <c r="N184" s="1397"/>
      <c r="O184" s="1397"/>
      <c r="P184" s="1397"/>
      <c r="Q184" s="1397"/>
      <c r="R184" s="1397"/>
      <c r="S184" s="1397"/>
      <c r="T184" s="1397"/>
      <c r="U184" s="1397"/>
      <c r="V184" s="1397"/>
      <c r="W184" s="1397"/>
      <c r="X184" s="1397"/>
      <c r="Y184" s="1397"/>
      <c r="Z184" s="1397"/>
      <c r="AA184" s="1397"/>
      <c r="AB184" s="1397"/>
      <c r="AC184" s="1454">
        <f>AC185+AC193</f>
        <v>14700</v>
      </c>
      <c r="AD184" s="1454">
        <f>AD185+AD193</f>
        <v>14700</v>
      </c>
      <c r="AE184" s="1397"/>
      <c r="AF184" s="1397"/>
      <c r="AG184" s="1397"/>
      <c r="AH184" s="1397"/>
      <c r="AI184" s="1397"/>
      <c r="AJ184" s="1397"/>
    </row>
    <row r="185" spans="1:36" s="1354" customFormat="1" ht="10.5" x14ac:dyDescent="0.25">
      <c r="A185" s="1413" t="s">
        <v>9</v>
      </c>
      <c r="B185" s="1454" t="s">
        <v>1895</v>
      </c>
      <c r="C185" s="1454"/>
      <c r="D185" s="1454"/>
      <c r="E185" s="1454"/>
      <c r="F185" s="1454"/>
      <c r="G185" s="1454"/>
      <c r="H185" s="1454"/>
      <c r="I185" s="1454"/>
      <c r="J185" s="1454"/>
      <c r="K185" s="1454"/>
      <c r="L185" s="1454"/>
      <c r="M185" s="1454"/>
      <c r="N185" s="1454"/>
      <c r="O185" s="1454"/>
      <c r="P185" s="1454"/>
      <c r="Q185" s="1454"/>
      <c r="R185" s="1454"/>
      <c r="S185" s="1454"/>
      <c r="T185" s="1454"/>
      <c r="U185" s="1454"/>
      <c r="V185" s="1454"/>
      <c r="W185" s="1454"/>
      <c r="X185" s="1454"/>
      <c r="Y185" s="1454"/>
      <c r="Z185" s="1454"/>
      <c r="AA185" s="1454"/>
      <c r="AB185" s="1454"/>
      <c r="AC185" s="1454">
        <f>AD185</f>
        <v>6700</v>
      </c>
      <c r="AD185" s="1454">
        <f>SUM(AD186:AD192)</f>
        <v>6700</v>
      </c>
      <c r="AE185" s="1454"/>
      <c r="AF185" s="1454"/>
      <c r="AG185" s="1454"/>
      <c r="AH185" s="1454"/>
      <c r="AI185" s="1454"/>
      <c r="AJ185" s="1454"/>
    </row>
    <row r="186" spans="1:36" s="1334" customFormat="1" ht="10.5" x14ac:dyDescent="0.25">
      <c r="A186" s="1357">
        <v>1</v>
      </c>
      <c r="B186" s="1426" t="s">
        <v>154</v>
      </c>
      <c r="C186" s="1397"/>
      <c r="D186" s="1397"/>
      <c r="E186" s="1397"/>
      <c r="F186" s="1397"/>
      <c r="G186" s="1397"/>
      <c r="H186" s="1397"/>
      <c r="I186" s="1397"/>
      <c r="J186" s="1397"/>
      <c r="K186" s="1397"/>
      <c r="L186" s="1397"/>
      <c r="M186" s="1397"/>
      <c r="N186" s="1397"/>
      <c r="O186" s="1397"/>
      <c r="P186" s="1397"/>
      <c r="Q186" s="1397"/>
      <c r="R186" s="1397"/>
      <c r="S186" s="1397"/>
      <c r="T186" s="1397"/>
      <c r="U186" s="1397"/>
      <c r="V186" s="1397"/>
      <c r="W186" s="1397"/>
      <c r="X186" s="1397"/>
      <c r="Y186" s="1397"/>
      <c r="Z186" s="1397"/>
      <c r="AA186" s="1397"/>
      <c r="AB186" s="1397"/>
      <c r="AC186" s="1397">
        <f t="shared" ref="AC186:AC193" si="49">AD186</f>
        <v>1000</v>
      </c>
      <c r="AD186" s="1397">
        <v>1000</v>
      </c>
      <c r="AE186" s="1397"/>
      <c r="AF186" s="1397"/>
      <c r="AG186" s="1397"/>
      <c r="AH186" s="1397"/>
      <c r="AI186" s="1397"/>
      <c r="AJ186" s="1397"/>
    </row>
    <row r="187" spans="1:36" s="1334" customFormat="1" ht="10.5" x14ac:dyDescent="0.25">
      <c r="A187" s="1357">
        <v>2</v>
      </c>
      <c r="B187" s="1426" t="s">
        <v>149</v>
      </c>
      <c r="C187" s="1397"/>
      <c r="D187" s="1397"/>
      <c r="E187" s="1397"/>
      <c r="F187" s="1397"/>
      <c r="G187" s="1397"/>
      <c r="H187" s="1397"/>
      <c r="I187" s="1397"/>
      <c r="J187" s="1397"/>
      <c r="K187" s="1397"/>
      <c r="L187" s="1397"/>
      <c r="M187" s="1397"/>
      <c r="N187" s="1397"/>
      <c r="O187" s="1397"/>
      <c r="P187" s="1397"/>
      <c r="Q187" s="1397"/>
      <c r="R187" s="1397"/>
      <c r="S187" s="1397"/>
      <c r="T187" s="1397"/>
      <c r="U187" s="1397"/>
      <c r="V187" s="1397"/>
      <c r="W187" s="1397"/>
      <c r="X187" s="1397"/>
      <c r="Y187" s="1397"/>
      <c r="Z187" s="1397"/>
      <c r="AA187" s="1397"/>
      <c r="AB187" s="1397"/>
      <c r="AC187" s="1397">
        <f t="shared" si="49"/>
        <v>1000</v>
      </c>
      <c r="AD187" s="1397">
        <v>1000</v>
      </c>
      <c r="AE187" s="1397"/>
      <c r="AF187" s="1397"/>
      <c r="AG187" s="1397"/>
      <c r="AH187" s="1397"/>
      <c r="AI187" s="1397"/>
      <c r="AJ187" s="1397"/>
    </row>
    <row r="188" spans="1:36" s="1334" customFormat="1" ht="10.5" x14ac:dyDescent="0.25">
      <c r="A188" s="1357">
        <v>3</v>
      </c>
      <c r="B188" s="1426" t="s">
        <v>151</v>
      </c>
      <c r="C188" s="1397"/>
      <c r="D188" s="1397"/>
      <c r="E188" s="1397"/>
      <c r="F188" s="1397"/>
      <c r="G188" s="1397"/>
      <c r="H188" s="1397"/>
      <c r="I188" s="1397"/>
      <c r="J188" s="1397"/>
      <c r="K188" s="1397"/>
      <c r="L188" s="1397"/>
      <c r="M188" s="1397"/>
      <c r="N188" s="1397"/>
      <c r="O188" s="1397"/>
      <c r="P188" s="1397"/>
      <c r="Q188" s="1397"/>
      <c r="R188" s="1397"/>
      <c r="S188" s="1397"/>
      <c r="T188" s="1397"/>
      <c r="U188" s="1397"/>
      <c r="V188" s="1397"/>
      <c r="W188" s="1397"/>
      <c r="X188" s="1397"/>
      <c r="Y188" s="1397"/>
      <c r="Z188" s="1397"/>
      <c r="AA188" s="1397"/>
      <c r="AB188" s="1397"/>
      <c r="AC188" s="1397">
        <f t="shared" si="49"/>
        <v>1000</v>
      </c>
      <c r="AD188" s="1397">
        <v>1000</v>
      </c>
      <c r="AE188" s="1397"/>
      <c r="AF188" s="1397"/>
      <c r="AG188" s="1397"/>
      <c r="AH188" s="1397"/>
      <c r="AI188" s="1397"/>
      <c r="AJ188" s="1397"/>
    </row>
    <row r="189" spans="1:36" s="1334" customFormat="1" ht="10.5" x14ac:dyDescent="0.25">
      <c r="A189" s="1357">
        <v>4</v>
      </c>
      <c r="B189" s="1426" t="s">
        <v>385</v>
      </c>
      <c r="C189" s="1397"/>
      <c r="D189" s="1397"/>
      <c r="E189" s="1397"/>
      <c r="F189" s="1397"/>
      <c r="G189" s="1397"/>
      <c r="H189" s="1397"/>
      <c r="I189" s="1397"/>
      <c r="J189" s="1397"/>
      <c r="K189" s="1397"/>
      <c r="L189" s="1397"/>
      <c r="M189" s="1397"/>
      <c r="N189" s="1397"/>
      <c r="O189" s="1397"/>
      <c r="P189" s="1397"/>
      <c r="Q189" s="1397"/>
      <c r="R189" s="1397"/>
      <c r="S189" s="1397"/>
      <c r="T189" s="1397"/>
      <c r="U189" s="1397"/>
      <c r="V189" s="1397"/>
      <c r="W189" s="1397"/>
      <c r="X189" s="1397"/>
      <c r="Y189" s="1397"/>
      <c r="Z189" s="1397"/>
      <c r="AA189" s="1397"/>
      <c r="AB189" s="1397"/>
      <c r="AC189" s="1397">
        <f t="shared" si="49"/>
        <v>700</v>
      </c>
      <c r="AD189" s="1397">
        <v>700</v>
      </c>
      <c r="AE189" s="1397"/>
      <c r="AF189" s="1397"/>
      <c r="AG189" s="1397"/>
      <c r="AH189" s="1397"/>
      <c r="AI189" s="1397"/>
      <c r="AJ189" s="1397"/>
    </row>
    <row r="190" spans="1:36" s="1334" customFormat="1" ht="10.5" x14ac:dyDescent="0.25">
      <c r="A190" s="1357">
        <v>5</v>
      </c>
      <c r="B190" s="1426" t="s">
        <v>152</v>
      </c>
      <c r="C190" s="1397"/>
      <c r="D190" s="1397"/>
      <c r="E190" s="1397"/>
      <c r="F190" s="1397"/>
      <c r="G190" s="1397"/>
      <c r="H190" s="1397"/>
      <c r="I190" s="1397"/>
      <c r="J190" s="1397"/>
      <c r="K190" s="1397"/>
      <c r="L190" s="1397"/>
      <c r="M190" s="1397"/>
      <c r="N190" s="1397"/>
      <c r="O190" s="1397"/>
      <c r="P190" s="1397"/>
      <c r="Q190" s="1397"/>
      <c r="R190" s="1397"/>
      <c r="S190" s="1397"/>
      <c r="T190" s="1397"/>
      <c r="U190" s="1397"/>
      <c r="V190" s="1397"/>
      <c r="W190" s="1397"/>
      <c r="X190" s="1397"/>
      <c r="Y190" s="1397"/>
      <c r="Z190" s="1397"/>
      <c r="AA190" s="1397"/>
      <c r="AB190" s="1397"/>
      <c r="AC190" s="1397">
        <f t="shared" si="49"/>
        <v>1000</v>
      </c>
      <c r="AD190" s="1397">
        <v>1000</v>
      </c>
      <c r="AE190" s="1397"/>
      <c r="AF190" s="1397"/>
      <c r="AG190" s="1397"/>
      <c r="AH190" s="1397"/>
      <c r="AI190" s="1397"/>
      <c r="AJ190" s="1397"/>
    </row>
    <row r="191" spans="1:36" s="1334" customFormat="1" ht="10.5" x14ac:dyDescent="0.25">
      <c r="A191" s="1357">
        <v>6</v>
      </c>
      <c r="B191" s="1426" t="s">
        <v>153</v>
      </c>
      <c r="C191" s="1397"/>
      <c r="D191" s="1397"/>
      <c r="E191" s="1397"/>
      <c r="F191" s="1397"/>
      <c r="G191" s="1397"/>
      <c r="H191" s="1397"/>
      <c r="I191" s="1397"/>
      <c r="J191" s="1397"/>
      <c r="K191" s="1397"/>
      <c r="L191" s="1397"/>
      <c r="M191" s="1397"/>
      <c r="N191" s="1397"/>
      <c r="O191" s="1397"/>
      <c r="P191" s="1397"/>
      <c r="Q191" s="1397"/>
      <c r="R191" s="1397"/>
      <c r="S191" s="1397"/>
      <c r="T191" s="1397"/>
      <c r="U191" s="1397"/>
      <c r="V191" s="1397"/>
      <c r="W191" s="1397"/>
      <c r="X191" s="1397"/>
      <c r="Y191" s="1397"/>
      <c r="Z191" s="1397"/>
      <c r="AA191" s="1397"/>
      <c r="AB191" s="1397"/>
      <c r="AC191" s="1397">
        <f t="shared" si="49"/>
        <v>1000</v>
      </c>
      <c r="AD191" s="1397">
        <v>1000</v>
      </c>
      <c r="AE191" s="1397"/>
      <c r="AF191" s="1397"/>
      <c r="AG191" s="1397"/>
      <c r="AH191" s="1397"/>
      <c r="AI191" s="1397"/>
      <c r="AJ191" s="1397"/>
    </row>
    <row r="192" spans="1:36" s="1334" customFormat="1" ht="10.5" x14ac:dyDescent="0.25">
      <c r="A192" s="1357">
        <v>7</v>
      </c>
      <c r="B192" s="1426" t="s">
        <v>155</v>
      </c>
      <c r="C192" s="1397"/>
      <c r="D192" s="1397"/>
      <c r="E192" s="1397"/>
      <c r="F192" s="1397"/>
      <c r="G192" s="1397"/>
      <c r="H192" s="1397"/>
      <c r="I192" s="1397"/>
      <c r="J192" s="1397"/>
      <c r="K192" s="1397"/>
      <c r="L192" s="1397"/>
      <c r="M192" s="1397"/>
      <c r="N192" s="1397"/>
      <c r="O192" s="1397"/>
      <c r="P192" s="1397"/>
      <c r="Q192" s="1397"/>
      <c r="R192" s="1397"/>
      <c r="S192" s="1397"/>
      <c r="T192" s="1397"/>
      <c r="U192" s="1397"/>
      <c r="V192" s="1397"/>
      <c r="W192" s="1397"/>
      <c r="X192" s="1397"/>
      <c r="Y192" s="1397"/>
      <c r="Z192" s="1397"/>
      <c r="AA192" s="1397"/>
      <c r="AB192" s="1397"/>
      <c r="AC192" s="1397">
        <f t="shared" si="49"/>
        <v>1000</v>
      </c>
      <c r="AD192" s="1397">
        <v>1000</v>
      </c>
      <c r="AE192" s="1397"/>
      <c r="AF192" s="1397"/>
      <c r="AG192" s="1397"/>
      <c r="AH192" s="1397"/>
      <c r="AI192" s="1397"/>
      <c r="AJ192" s="1397"/>
    </row>
    <row r="193" spans="1:36" s="1354" customFormat="1" ht="10.5" x14ac:dyDescent="0.25">
      <c r="A193" s="1413" t="s">
        <v>11</v>
      </c>
      <c r="B193" s="1454" t="s">
        <v>1896</v>
      </c>
      <c r="C193" s="1454"/>
      <c r="D193" s="1454"/>
      <c r="E193" s="1454"/>
      <c r="F193" s="1454"/>
      <c r="G193" s="1454"/>
      <c r="H193" s="1454"/>
      <c r="I193" s="1454"/>
      <c r="J193" s="1454"/>
      <c r="K193" s="1454"/>
      <c r="L193" s="1454"/>
      <c r="M193" s="1454"/>
      <c r="N193" s="1454"/>
      <c r="O193" s="1454"/>
      <c r="P193" s="1454"/>
      <c r="Q193" s="1454"/>
      <c r="R193" s="1454"/>
      <c r="S193" s="1454"/>
      <c r="T193" s="1454"/>
      <c r="U193" s="1454"/>
      <c r="V193" s="1454"/>
      <c r="W193" s="1454"/>
      <c r="X193" s="1454"/>
      <c r="Y193" s="1454"/>
      <c r="Z193" s="1454"/>
      <c r="AA193" s="1454"/>
      <c r="AB193" s="1454"/>
      <c r="AC193" s="1454">
        <f t="shared" si="49"/>
        <v>8000</v>
      </c>
      <c r="AD193" s="1454">
        <v>8000</v>
      </c>
      <c r="AE193" s="1454"/>
      <c r="AF193" s="1454"/>
      <c r="AG193" s="1454"/>
      <c r="AH193" s="1454"/>
      <c r="AI193" s="1454"/>
      <c r="AJ193" s="1454"/>
    </row>
    <row r="194" spans="1:36" s="1334" customFormat="1" ht="10.5" x14ac:dyDescent="0.25">
      <c r="A194" s="1475"/>
      <c r="B194" s="1475"/>
      <c r="C194" s="1475"/>
      <c r="D194" s="1475"/>
      <c r="E194" s="1475"/>
      <c r="F194" s="1475"/>
      <c r="G194" s="1475"/>
      <c r="H194" s="1475"/>
      <c r="I194" s="1475"/>
      <c r="J194" s="1475"/>
      <c r="K194" s="1475"/>
      <c r="L194" s="1475"/>
      <c r="M194" s="1475"/>
      <c r="N194" s="1475"/>
      <c r="O194" s="1475"/>
      <c r="P194" s="1475"/>
      <c r="Q194" s="1475"/>
      <c r="R194" s="1475"/>
      <c r="S194" s="1475"/>
      <c r="T194" s="1475"/>
      <c r="U194" s="1475"/>
      <c r="V194" s="1475"/>
      <c r="W194" s="1475"/>
      <c r="X194" s="1475"/>
      <c r="Y194" s="1475"/>
      <c r="Z194" s="1475"/>
      <c r="AA194" s="1475"/>
      <c r="AB194" s="1475"/>
      <c r="AC194" s="1475"/>
      <c r="AD194" s="1475"/>
      <c r="AE194" s="1475"/>
      <c r="AF194" s="1475"/>
      <c r="AG194" s="1475"/>
      <c r="AH194" s="1475"/>
      <c r="AI194" s="1475"/>
      <c r="AJ194" s="1475"/>
    </row>
    <row r="195" spans="1:36" s="1334" customFormat="1" ht="10.5" x14ac:dyDescent="0.25"/>
    <row r="196" spans="1:36" s="1334" customFormat="1" ht="10.5" x14ac:dyDescent="0.25"/>
    <row r="197" spans="1:36" s="1334" customFormat="1" ht="10.5" x14ac:dyDescent="0.25"/>
    <row r="198" spans="1:36" s="1334" customFormat="1" ht="10.5" x14ac:dyDescent="0.25"/>
    <row r="199" spans="1:36" s="1334" customFormat="1" ht="10.5" x14ac:dyDescent="0.25"/>
    <row r="200" spans="1:36" s="1334" customFormat="1" ht="10.5" x14ac:dyDescent="0.25"/>
    <row r="201" spans="1:36" s="1334" customFormat="1" ht="10.5" x14ac:dyDescent="0.25"/>
    <row r="202" spans="1:36" s="1334" customFormat="1" ht="10.5" x14ac:dyDescent="0.25"/>
    <row r="203" spans="1:36" s="1334" customFormat="1" ht="10.5" x14ac:dyDescent="0.25"/>
    <row r="204" spans="1:36" s="1334" customFormat="1" ht="10.5" x14ac:dyDescent="0.25"/>
    <row r="205" spans="1:36" s="1334" customFormat="1" ht="10.5" x14ac:dyDescent="0.25"/>
    <row r="206" spans="1:36" s="1334" customFormat="1" ht="10.5" x14ac:dyDescent="0.25"/>
    <row r="207" spans="1:36" s="1334" customFormat="1" ht="10.5" x14ac:dyDescent="0.25"/>
    <row r="208" spans="1:36" s="1334" customFormat="1" ht="10.5" x14ac:dyDescent="0.25"/>
    <row r="209" spans="1:37" s="1334" customFormat="1" ht="10.5" x14ac:dyDescent="0.25"/>
    <row r="210" spans="1:37" s="1334" customFormat="1" ht="10.5" x14ac:dyDescent="0.25"/>
    <row r="211" spans="1:37" s="1334" customFormat="1" ht="10.5" x14ac:dyDescent="0.25"/>
    <row r="212" spans="1:37" s="1334" customFormat="1" ht="10.5" x14ac:dyDescent="0.25"/>
    <row r="213" spans="1:37" s="1334" customFormat="1" ht="12" customHeight="1" x14ac:dyDescent="0.25"/>
    <row r="214" spans="1:37" s="1334" customFormat="1" ht="10.5" x14ac:dyDescent="0.25"/>
    <row r="215" spans="1:37" s="1334" customFormat="1" ht="10.5" x14ac:dyDescent="0.25"/>
    <row r="216" spans="1:37" s="1334" customFormat="1" ht="10.5" x14ac:dyDescent="0.25"/>
    <row r="217" spans="1:37" x14ac:dyDescent="0.25">
      <c r="A217" s="1329"/>
      <c r="C217" s="1329"/>
      <c r="D217" s="1329"/>
      <c r="E217" s="1329"/>
      <c r="F217" s="1329"/>
      <c r="G217" s="1329"/>
      <c r="H217" s="1329"/>
      <c r="I217" s="1329"/>
      <c r="J217" s="1329"/>
      <c r="K217" s="1329"/>
      <c r="L217" s="1329"/>
      <c r="M217" s="1329"/>
      <c r="N217" s="1329"/>
      <c r="O217" s="1329"/>
      <c r="P217" s="1329"/>
      <c r="Q217" s="1329"/>
      <c r="R217" s="1329"/>
      <c r="S217" s="1329"/>
      <c r="T217" s="1329"/>
      <c r="U217" s="1329"/>
      <c r="V217" s="1329"/>
      <c r="W217" s="1329"/>
      <c r="X217" s="1329"/>
      <c r="Y217" s="1329"/>
      <c r="Z217" s="1329"/>
      <c r="AA217" s="1329"/>
      <c r="AB217" s="1329"/>
      <c r="AC217" s="1329"/>
      <c r="AD217" s="1329"/>
      <c r="AE217" s="1329"/>
      <c r="AF217" s="1329"/>
      <c r="AG217" s="1329"/>
      <c r="AH217" s="1329"/>
      <c r="AI217" s="1329"/>
      <c r="AJ217" s="1329"/>
      <c r="AK217" s="1329"/>
    </row>
    <row r="218" spans="1:37" x14ac:dyDescent="0.25">
      <c r="A218" s="1329"/>
      <c r="C218" s="1329"/>
      <c r="D218" s="1329"/>
      <c r="E218" s="1329"/>
      <c r="F218" s="1329"/>
      <c r="G218" s="1329"/>
      <c r="H218" s="1329"/>
      <c r="I218" s="1329"/>
      <c r="J218" s="1329"/>
      <c r="K218" s="1329"/>
      <c r="L218" s="1329"/>
      <c r="M218" s="1329"/>
      <c r="N218" s="1329"/>
      <c r="O218" s="1329"/>
      <c r="P218" s="1329"/>
      <c r="Q218" s="1329"/>
      <c r="R218" s="1329"/>
      <c r="S218" s="1329"/>
      <c r="T218" s="1329"/>
      <c r="U218" s="1329"/>
      <c r="V218" s="1329"/>
      <c r="W218" s="1329"/>
      <c r="X218" s="1329"/>
      <c r="Y218" s="1329"/>
      <c r="Z218" s="1329"/>
      <c r="AA218" s="1329"/>
      <c r="AB218" s="1329"/>
      <c r="AC218" s="1329"/>
      <c r="AD218" s="1329"/>
      <c r="AE218" s="1329"/>
      <c r="AF218" s="1329"/>
      <c r="AG218" s="1329"/>
      <c r="AH218" s="1329"/>
      <c r="AI218" s="1329"/>
      <c r="AJ218" s="1329"/>
      <c r="AK218" s="1329"/>
    </row>
    <row r="219" spans="1:37" x14ac:dyDescent="0.25">
      <c r="A219" s="1329"/>
      <c r="C219" s="1329"/>
      <c r="D219" s="1329"/>
      <c r="E219" s="1329"/>
      <c r="F219" s="1329"/>
      <c r="G219" s="1329"/>
      <c r="H219" s="1329"/>
      <c r="I219" s="1329"/>
      <c r="J219" s="1329"/>
      <c r="K219" s="1329"/>
      <c r="L219" s="1329"/>
      <c r="M219" s="1329"/>
      <c r="N219" s="1329"/>
      <c r="O219" s="1329"/>
      <c r="P219" s="1329"/>
      <c r="Q219" s="1329"/>
      <c r="R219" s="1329"/>
      <c r="S219" s="1329"/>
      <c r="T219" s="1329"/>
      <c r="U219" s="1329"/>
      <c r="V219" s="1329"/>
      <c r="W219" s="1329"/>
      <c r="X219" s="1329"/>
      <c r="Y219" s="1329"/>
      <c r="Z219" s="1329"/>
      <c r="AA219" s="1329"/>
      <c r="AB219" s="1329"/>
      <c r="AC219" s="1329"/>
      <c r="AD219" s="1329"/>
      <c r="AE219" s="1329"/>
      <c r="AF219" s="1329"/>
      <c r="AG219" s="1329"/>
      <c r="AH219" s="1329"/>
      <c r="AI219" s="1329"/>
      <c r="AJ219" s="1329"/>
      <c r="AK219" s="1329"/>
    </row>
    <row r="220" spans="1:37" x14ac:dyDescent="0.25">
      <c r="A220" s="1329"/>
      <c r="C220" s="1329"/>
      <c r="D220" s="1329"/>
      <c r="E220" s="1329"/>
      <c r="F220" s="1329"/>
      <c r="G220" s="1329"/>
      <c r="H220" s="1329"/>
      <c r="I220" s="1329"/>
      <c r="J220" s="1329"/>
      <c r="K220" s="1329"/>
      <c r="L220" s="1329"/>
      <c r="M220" s="1329"/>
      <c r="N220" s="1329"/>
      <c r="O220" s="1329"/>
      <c r="P220" s="1329"/>
      <c r="Q220" s="1329"/>
      <c r="R220" s="1329"/>
      <c r="S220" s="1329"/>
      <c r="T220" s="1329"/>
      <c r="U220" s="1329"/>
      <c r="V220" s="1329"/>
      <c r="W220" s="1329"/>
      <c r="X220" s="1329"/>
      <c r="Y220" s="1329"/>
      <c r="Z220" s="1329"/>
      <c r="AA220" s="1329"/>
      <c r="AB220" s="1329"/>
      <c r="AC220" s="1329"/>
      <c r="AD220" s="1329"/>
      <c r="AE220" s="1329"/>
      <c r="AF220" s="1329"/>
      <c r="AG220" s="1329"/>
      <c r="AH220" s="1329"/>
      <c r="AI220" s="1329"/>
      <c r="AJ220" s="1329"/>
      <c r="AK220" s="1329"/>
    </row>
    <row r="221" spans="1:37" x14ac:dyDescent="0.25">
      <c r="A221" s="1329"/>
      <c r="C221" s="1329"/>
      <c r="D221" s="1329"/>
      <c r="E221" s="1329"/>
      <c r="F221" s="1329"/>
      <c r="G221" s="1329"/>
      <c r="H221" s="1329"/>
      <c r="I221" s="1329"/>
      <c r="J221" s="1329"/>
      <c r="K221" s="1329"/>
      <c r="L221" s="1329"/>
      <c r="M221" s="1329"/>
      <c r="N221" s="1329"/>
      <c r="O221" s="1329"/>
      <c r="P221" s="1329"/>
      <c r="Q221" s="1329"/>
      <c r="R221" s="1329"/>
      <c r="S221" s="1329"/>
      <c r="T221" s="1329"/>
      <c r="U221" s="1329"/>
      <c r="V221" s="1329"/>
      <c r="W221" s="1329"/>
      <c r="X221" s="1329"/>
      <c r="Y221" s="1329"/>
      <c r="Z221" s="1329"/>
      <c r="AA221" s="1329"/>
      <c r="AB221" s="1329"/>
      <c r="AC221" s="1329"/>
      <c r="AD221" s="1329"/>
      <c r="AE221" s="1329"/>
      <c r="AF221" s="1329"/>
      <c r="AG221" s="1329"/>
      <c r="AH221" s="1329"/>
      <c r="AI221" s="1329"/>
      <c r="AJ221" s="1329"/>
      <c r="AK221" s="1329"/>
    </row>
    <row r="222" spans="1:37" x14ac:dyDescent="0.25">
      <c r="A222" s="1329"/>
      <c r="C222" s="1329"/>
      <c r="D222" s="1329"/>
      <c r="E222" s="1329"/>
      <c r="F222" s="1329"/>
      <c r="G222" s="1329"/>
      <c r="H222" s="1329"/>
      <c r="I222" s="1329"/>
      <c r="J222" s="1329"/>
      <c r="K222" s="1329"/>
      <c r="L222" s="1329"/>
      <c r="M222" s="1329"/>
      <c r="N222" s="1329"/>
      <c r="O222" s="1329"/>
      <c r="P222" s="1329"/>
      <c r="Q222" s="1329"/>
      <c r="R222" s="1329"/>
      <c r="S222" s="1329"/>
      <c r="T222" s="1329"/>
      <c r="U222" s="1329"/>
      <c r="V222" s="1329"/>
      <c r="W222" s="1329"/>
      <c r="X222" s="1329"/>
      <c r="Y222" s="1329"/>
      <c r="Z222" s="1329"/>
      <c r="AA222" s="1329"/>
      <c r="AB222" s="1329"/>
      <c r="AC222" s="1329"/>
      <c r="AD222" s="1329"/>
      <c r="AE222" s="1329"/>
      <c r="AF222" s="1329"/>
      <c r="AG222" s="1329"/>
      <c r="AH222" s="1329"/>
      <c r="AI222" s="1329"/>
      <c r="AJ222" s="1329"/>
      <c r="AK222" s="1329"/>
    </row>
    <row r="223" spans="1:37" x14ac:dyDescent="0.25">
      <c r="AJ223" s="1329"/>
      <c r="AK223" s="1329"/>
    </row>
    <row r="224" spans="1:37" x14ac:dyDescent="0.25">
      <c r="AJ224" s="1329"/>
      <c r="AK224" s="1329"/>
    </row>
    <row r="225" spans="1:37" x14ac:dyDescent="0.25">
      <c r="AJ225" s="1329"/>
      <c r="AK225" s="1329"/>
    </row>
    <row r="226" spans="1:37" x14ac:dyDescent="0.25">
      <c r="AJ226" s="1329"/>
      <c r="AK226" s="1329"/>
    </row>
    <row r="227" spans="1:37" x14ac:dyDescent="0.25">
      <c r="AJ227" s="1329"/>
      <c r="AK227" s="1329"/>
    </row>
    <row r="228" spans="1:37" x14ac:dyDescent="0.25">
      <c r="A228" s="1329"/>
      <c r="C228" s="1329"/>
      <c r="D228" s="1329"/>
      <c r="E228" s="1329"/>
      <c r="F228" s="1329"/>
      <c r="G228" s="1329"/>
      <c r="H228" s="1329"/>
      <c r="I228" s="1329"/>
      <c r="J228" s="1329"/>
      <c r="K228" s="1329"/>
      <c r="L228" s="1329"/>
      <c r="M228" s="1329"/>
      <c r="N228" s="1329"/>
      <c r="O228" s="1329"/>
      <c r="P228" s="1329"/>
      <c r="Q228" s="1329"/>
      <c r="R228" s="1329"/>
      <c r="S228" s="1329"/>
      <c r="T228" s="1329"/>
      <c r="U228" s="1329"/>
      <c r="V228" s="1329"/>
      <c r="W228" s="1329"/>
      <c r="X228" s="1329"/>
      <c r="Y228" s="1329"/>
      <c r="Z228" s="1329"/>
      <c r="AA228" s="1329"/>
      <c r="AB228" s="1329"/>
      <c r="AC228" s="1329"/>
      <c r="AD228" s="1329"/>
      <c r="AE228" s="1329"/>
      <c r="AF228" s="1329"/>
      <c r="AG228" s="1329"/>
      <c r="AH228" s="1329"/>
      <c r="AI228" s="1329"/>
      <c r="AJ228" s="1329"/>
      <c r="AK228" s="1329"/>
    </row>
    <row r="229" spans="1:37" x14ac:dyDescent="0.25">
      <c r="A229" s="1329"/>
      <c r="C229" s="1329"/>
      <c r="D229" s="1329"/>
      <c r="E229" s="1329"/>
      <c r="F229" s="1329"/>
      <c r="G229" s="1329"/>
      <c r="H229" s="1329"/>
      <c r="I229" s="1329"/>
      <c r="J229" s="1329"/>
      <c r="K229" s="1329"/>
      <c r="L229" s="1329"/>
      <c r="M229" s="1329"/>
      <c r="N229" s="1329"/>
      <c r="O229" s="1329"/>
      <c r="P229" s="1329"/>
      <c r="Q229" s="1329"/>
      <c r="R229" s="1329"/>
      <c r="S229" s="1329"/>
      <c r="T229" s="1329"/>
      <c r="U229" s="1329"/>
      <c r="V229" s="1329"/>
      <c r="W229" s="1329"/>
      <c r="X229" s="1329"/>
      <c r="Y229" s="1329"/>
      <c r="Z229" s="1329"/>
      <c r="AA229" s="1329"/>
      <c r="AB229" s="1329"/>
      <c r="AC229" s="1329"/>
      <c r="AD229" s="1329"/>
      <c r="AE229" s="1329"/>
      <c r="AF229" s="1329"/>
      <c r="AG229" s="1329"/>
      <c r="AH229" s="1329"/>
      <c r="AI229" s="1329"/>
      <c r="AJ229" s="1329"/>
      <c r="AK229" s="1329"/>
    </row>
  </sheetData>
  <mergeCells count="48">
    <mergeCell ref="AC4:AF5"/>
    <mergeCell ref="AG4:AG8"/>
    <mergeCell ref="AI4:AI8"/>
    <mergeCell ref="C5:C8"/>
    <mergeCell ref="D5:E5"/>
    <mergeCell ref="D6:D8"/>
    <mergeCell ref="E6:E8"/>
    <mergeCell ref="H6:H8"/>
    <mergeCell ref="F7:F8"/>
    <mergeCell ref="G7:G8"/>
    <mergeCell ref="T7:T8"/>
    <mergeCell ref="U7:U8"/>
    <mergeCell ref="W7:W8"/>
    <mergeCell ref="X7:Y7"/>
    <mergeCell ref="V6:V8"/>
    <mergeCell ref="W6:Y6"/>
    <mergeCell ref="N7:O7"/>
    <mergeCell ref="Q7:Q8"/>
    <mergeCell ref="R7:S7"/>
    <mergeCell ref="A1:AJ1"/>
    <mergeCell ref="A3:AJ3"/>
    <mergeCell ref="A4:A8"/>
    <mergeCell ref="B4:B8"/>
    <mergeCell ref="C4:E4"/>
    <mergeCell ref="F4:G6"/>
    <mergeCell ref="H4:K5"/>
    <mergeCell ref="L4:O5"/>
    <mergeCell ref="P4:S5"/>
    <mergeCell ref="T4:U6"/>
    <mergeCell ref="V4:Y5"/>
    <mergeCell ref="Z4:AA5"/>
    <mergeCell ref="AB4:AB8"/>
    <mergeCell ref="A2:AJ2"/>
    <mergeCell ref="AJ4:AJ8"/>
    <mergeCell ref="Z6:Z8"/>
    <mergeCell ref="AA6:AA8"/>
    <mergeCell ref="AC6:AC8"/>
    <mergeCell ref="AD6:AF6"/>
    <mergeCell ref="AD7:AD8"/>
    <mergeCell ref="AE7:AF7"/>
    <mergeCell ref="I6:K6"/>
    <mergeCell ref="L6:L8"/>
    <mergeCell ref="M6:O6"/>
    <mergeCell ref="P6:P8"/>
    <mergeCell ref="Q6:S6"/>
    <mergeCell ref="I7:I8"/>
    <mergeCell ref="J7:K7"/>
    <mergeCell ref="M7:M8"/>
  </mergeCells>
  <pageMargins left="0.33" right="0.2" top="0.6" bottom="0.53" header="0.3" footer="0.3"/>
  <pageSetup paperSize="9" firstPageNumber="43" orientation="landscape" useFirstPageNumber="1" r:id="rId1"/>
  <headerFooter>
    <oddFooter>&amp;C&amp;P</oddFooter>
  </headerFooter>
  <legacy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O70"/>
  <sheetViews>
    <sheetView zoomScaleNormal="100" workbookViewId="0">
      <pane xSplit="1" ySplit="6" topLeftCell="B7" activePane="bottomRight" state="frozen"/>
      <selection pane="topRight" activeCell="B1" sqref="B1"/>
      <selection pane="bottomLeft" activeCell="A7" sqref="A7"/>
      <selection pane="bottomRight" activeCell="G43" sqref="G43"/>
    </sheetView>
  </sheetViews>
  <sheetFormatPr defaultRowHeight="12" x14ac:dyDescent="0.2"/>
  <cols>
    <col min="1" max="1" width="50.625" style="198" customWidth="1"/>
    <col min="2" max="2" width="7.375" style="198" customWidth="1"/>
    <col min="3" max="3" width="8.875" style="198" customWidth="1"/>
    <col min="4" max="4" width="6.125" style="198" hidden="1" customWidth="1"/>
    <col min="5" max="5" width="8.125" style="198" customWidth="1"/>
    <col min="6" max="6" width="5.875" style="198" hidden="1" customWidth="1"/>
    <col min="7" max="7" width="8.625" style="220" customWidth="1"/>
    <col min="8" max="8" width="8.875" style="198" customWidth="1"/>
    <col min="9" max="9" width="8" style="198" customWidth="1"/>
    <col min="10" max="10" width="7.375" style="198" customWidth="1"/>
    <col min="11" max="11" width="8.125" style="198" customWidth="1"/>
    <col min="12" max="255" width="9" style="198"/>
    <col min="256" max="256" width="31.375" style="198" customWidth="1"/>
    <col min="257" max="257" width="7.375" style="198" customWidth="1"/>
    <col min="258" max="258" width="7" style="198" customWidth="1"/>
    <col min="259" max="259" width="6.625" style="198" customWidth="1"/>
    <col min="260" max="260" width="6.875" style="198" customWidth="1"/>
    <col min="261" max="261" width="5.875" style="198" customWidth="1"/>
    <col min="262" max="262" width="6.625" style="198" customWidth="1"/>
    <col min="263" max="263" width="11.875" style="198" customWidth="1"/>
    <col min="264" max="264" width="7.125" style="198" customWidth="1"/>
    <col min="265" max="265" width="9" style="198"/>
    <col min="266" max="266" width="8.75" style="198" customWidth="1"/>
    <col min="267" max="267" width="11" style="198" customWidth="1"/>
    <col min="268" max="511" width="9" style="198"/>
    <col min="512" max="512" width="31.375" style="198" customWidth="1"/>
    <col min="513" max="513" width="7.375" style="198" customWidth="1"/>
    <col min="514" max="514" width="7" style="198" customWidth="1"/>
    <col min="515" max="515" width="6.625" style="198" customWidth="1"/>
    <col min="516" max="516" width="6.875" style="198" customWidth="1"/>
    <col min="517" max="517" width="5.875" style="198" customWidth="1"/>
    <col min="518" max="518" width="6.625" style="198" customWidth="1"/>
    <col min="519" max="519" width="11.875" style="198" customWidth="1"/>
    <col min="520" max="520" width="7.125" style="198" customWidth="1"/>
    <col min="521" max="521" width="9" style="198"/>
    <col min="522" max="522" width="8.75" style="198" customWidth="1"/>
    <col min="523" max="523" width="11" style="198" customWidth="1"/>
    <col min="524" max="767" width="9" style="198"/>
    <col min="768" max="768" width="31.375" style="198" customWidth="1"/>
    <col min="769" max="769" width="7.375" style="198" customWidth="1"/>
    <col min="770" max="770" width="7" style="198" customWidth="1"/>
    <col min="771" max="771" width="6.625" style="198" customWidth="1"/>
    <col min="772" max="772" width="6.875" style="198" customWidth="1"/>
    <col min="773" max="773" width="5.875" style="198" customWidth="1"/>
    <col min="774" max="774" width="6.625" style="198" customWidth="1"/>
    <col min="775" max="775" width="11.875" style="198" customWidth="1"/>
    <col min="776" max="776" width="7.125" style="198" customWidth="1"/>
    <col min="777" max="777" width="9" style="198"/>
    <col min="778" max="778" width="8.75" style="198" customWidth="1"/>
    <col min="779" max="779" width="11" style="198" customWidth="1"/>
    <col min="780" max="1023" width="9" style="198"/>
    <col min="1024" max="1024" width="31.375" style="198" customWidth="1"/>
    <col min="1025" max="1025" width="7.375" style="198" customWidth="1"/>
    <col min="1026" max="1026" width="7" style="198" customWidth="1"/>
    <col min="1027" max="1027" width="6.625" style="198" customWidth="1"/>
    <col min="1028" max="1028" width="6.875" style="198" customWidth="1"/>
    <col min="1029" max="1029" width="5.875" style="198" customWidth="1"/>
    <col min="1030" max="1030" width="6.625" style="198" customWidth="1"/>
    <col min="1031" max="1031" width="11.875" style="198" customWidth="1"/>
    <col min="1032" max="1032" width="7.125" style="198" customWidth="1"/>
    <col min="1033" max="1033" width="9" style="198"/>
    <col min="1034" max="1034" width="8.75" style="198" customWidth="1"/>
    <col min="1035" max="1035" width="11" style="198" customWidth="1"/>
    <col min="1036" max="1279" width="9" style="198"/>
    <col min="1280" max="1280" width="31.375" style="198" customWidth="1"/>
    <col min="1281" max="1281" width="7.375" style="198" customWidth="1"/>
    <col min="1282" max="1282" width="7" style="198" customWidth="1"/>
    <col min="1283" max="1283" width="6.625" style="198" customWidth="1"/>
    <col min="1284" max="1284" width="6.875" style="198" customWidth="1"/>
    <col min="1285" max="1285" width="5.875" style="198" customWidth="1"/>
    <col min="1286" max="1286" width="6.625" style="198" customWidth="1"/>
    <col min="1287" max="1287" width="11.875" style="198" customWidth="1"/>
    <col min="1288" max="1288" width="7.125" style="198" customWidth="1"/>
    <col min="1289" max="1289" width="9" style="198"/>
    <col min="1290" max="1290" width="8.75" style="198" customWidth="1"/>
    <col min="1291" max="1291" width="11" style="198" customWidth="1"/>
    <col min="1292" max="1535" width="9" style="198"/>
    <col min="1536" max="1536" width="31.375" style="198" customWidth="1"/>
    <col min="1537" max="1537" width="7.375" style="198" customWidth="1"/>
    <col min="1538" max="1538" width="7" style="198" customWidth="1"/>
    <col min="1539" max="1539" width="6.625" style="198" customWidth="1"/>
    <col min="1540" max="1540" width="6.875" style="198" customWidth="1"/>
    <col min="1541" max="1541" width="5.875" style="198" customWidth="1"/>
    <col min="1542" max="1542" width="6.625" style="198" customWidth="1"/>
    <col min="1543" max="1543" width="11.875" style="198" customWidth="1"/>
    <col min="1544" max="1544" width="7.125" style="198" customWidth="1"/>
    <col min="1545" max="1545" width="9" style="198"/>
    <col min="1546" max="1546" width="8.75" style="198" customWidth="1"/>
    <col min="1547" max="1547" width="11" style="198" customWidth="1"/>
    <col min="1548" max="1791" width="9" style="198"/>
    <col min="1792" max="1792" width="31.375" style="198" customWidth="1"/>
    <col min="1793" max="1793" width="7.375" style="198" customWidth="1"/>
    <col min="1794" max="1794" width="7" style="198" customWidth="1"/>
    <col min="1795" max="1795" width="6.625" style="198" customWidth="1"/>
    <col min="1796" max="1796" width="6.875" style="198" customWidth="1"/>
    <col min="1797" max="1797" width="5.875" style="198" customWidth="1"/>
    <col min="1798" max="1798" width="6.625" style="198" customWidth="1"/>
    <col min="1799" max="1799" width="11.875" style="198" customWidth="1"/>
    <col min="1800" max="1800" width="7.125" style="198" customWidth="1"/>
    <col min="1801" max="1801" width="9" style="198"/>
    <col min="1802" max="1802" width="8.75" style="198" customWidth="1"/>
    <col min="1803" max="1803" width="11" style="198" customWidth="1"/>
    <col min="1804" max="2047" width="9" style="198"/>
    <col min="2048" max="2048" width="31.375" style="198" customWidth="1"/>
    <col min="2049" max="2049" width="7.375" style="198" customWidth="1"/>
    <col min="2050" max="2050" width="7" style="198" customWidth="1"/>
    <col min="2051" max="2051" width="6.625" style="198" customWidth="1"/>
    <col min="2052" max="2052" width="6.875" style="198" customWidth="1"/>
    <col min="2053" max="2053" width="5.875" style="198" customWidth="1"/>
    <col min="2054" max="2054" width="6.625" style="198" customWidth="1"/>
    <col min="2055" max="2055" width="11.875" style="198" customWidth="1"/>
    <col min="2056" max="2056" width="7.125" style="198" customWidth="1"/>
    <col min="2057" max="2057" width="9" style="198"/>
    <col min="2058" max="2058" width="8.75" style="198" customWidth="1"/>
    <col min="2059" max="2059" width="11" style="198" customWidth="1"/>
    <col min="2060" max="2303" width="9" style="198"/>
    <col min="2304" max="2304" width="31.375" style="198" customWidth="1"/>
    <col min="2305" max="2305" width="7.375" style="198" customWidth="1"/>
    <col min="2306" max="2306" width="7" style="198" customWidth="1"/>
    <col min="2307" max="2307" width="6.625" style="198" customWidth="1"/>
    <col min="2308" max="2308" width="6.875" style="198" customWidth="1"/>
    <col min="2309" max="2309" width="5.875" style="198" customWidth="1"/>
    <col min="2310" max="2310" width="6.625" style="198" customWidth="1"/>
    <col min="2311" max="2311" width="11.875" style="198" customWidth="1"/>
    <col min="2312" max="2312" width="7.125" style="198" customWidth="1"/>
    <col min="2313" max="2313" width="9" style="198"/>
    <col min="2314" max="2314" width="8.75" style="198" customWidth="1"/>
    <col min="2315" max="2315" width="11" style="198" customWidth="1"/>
    <col min="2316" max="2559" width="9" style="198"/>
    <col min="2560" max="2560" width="31.375" style="198" customWidth="1"/>
    <col min="2561" max="2561" width="7.375" style="198" customWidth="1"/>
    <col min="2562" max="2562" width="7" style="198" customWidth="1"/>
    <col min="2563" max="2563" width="6.625" style="198" customWidth="1"/>
    <col min="2564" max="2564" width="6.875" style="198" customWidth="1"/>
    <col min="2565" max="2565" width="5.875" style="198" customWidth="1"/>
    <col min="2566" max="2566" width="6.625" style="198" customWidth="1"/>
    <col min="2567" max="2567" width="11.875" style="198" customWidth="1"/>
    <col min="2568" max="2568" width="7.125" style="198" customWidth="1"/>
    <col min="2569" max="2569" width="9" style="198"/>
    <col min="2570" max="2570" width="8.75" style="198" customWidth="1"/>
    <col min="2571" max="2571" width="11" style="198" customWidth="1"/>
    <col min="2572" max="2815" width="9" style="198"/>
    <col min="2816" max="2816" width="31.375" style="198" customWidth="1"/>
    <col min="2817" max="2817" width="7.375" style="198" customWidth="1"/>
    <col min="2818" max="2818" width="7" style="198" customWidth="1"/>
    <col min="2819" max="2819" width="6.625" style="198" customWidth="1"/>
    <col min="2820" max="2820" width="6.875" style="198" customWidth="1"/>
    <col min="2821" max="2821" width="5.875" style="198" customWidth="1"/>
    <col min="2822" max="2822" width="6.625" style="198" customWidth="1"/>
    <col min="2823" max="2823" width="11.875" style="198" customWidth="1"/>
    <col min="2824" max="2824" width="7.125" style="198" customWidth="1"/>
    <col min="2825" max="2825" width="9" style="198"/>
    <col min="2826" max="2826" width="8.75" style="198" customWidth="1"/>
    <col min="2827" max="2827" width="11" style="198" customWidth="1"/>
    <col min="2828" max="3071" width="9" style="198"/>
    <col min="3072" max="3072" width="31.375" style="198" customWidth="1"/>
    <col min="3073" max="3073" width="7.375" style="198" customWidth="1"/>
    <col min="3074" max="3074" width="7" style="198" customWidth="1"/>
    <col min="3075" max="3075" width="6.625" style="198" customWidth="1"/>
    <col min="3076" max="3076" width="6.875" style="198" customWidth="1"/>
    <col min="3077" max="3077" width="5.875" style="198" customWidth="1"/>
    <col min="3078" max="3078" width="6.625" style="198" customWidth="1"/>
    <col min="3079" max="3079" width="11.875" style="198" customWidth="1"/>
    <col min="3080" max="3080" width="7.125" style="198" customWidth="1"/>
    <col min="3081" max="3081" width="9" style="198"/>
    <col min="3082" max="3082" width="8.75" style="198" customWidth="1"/>
    <col min="3083" max="3083" width="11" style="198" customWidth="1"/>
    <col min="3084" max="3327" width="9" style="198"/>
    <col min="3328" max="3328" width="31.375" style="198" customWidth="1"/>
    <col min="3329" max="3329" width="7.375" style="198" customWidth="1"/>
    <col min="3330" max="3330" width="7" style="198" customWidth="1"/>
    <col min="3331" max="3331" width="6.625" style="198" customWidth="1"/>
    <col min="3332" max="3332" width="6.875" style="198" customWidth="1"/>
    <col min="3333" max="3333" width="5.875" style="198" customWidth="1"/>
    <col min="3334" max="3334" width="6.625" style="198" customWidth="1"/>
    <col min="3335" max="3335" width="11.875" style="198" customWidth="1"/>
    <col min="3336" max="3336" width="7.125" style="198" customWidth="1"/>
    <col min="3337" max="3337" width="9" style="198"/>
    <col min="3338" max="3338" width="8.75" style="198" customWidth="1"/>
    <col min="3339" max="3339" width="11" style="198" customWidth="1"/>
    <col min="3340" max="3583" width="9" style="198"/>
    <col min="3584" max="3584" width="31.375" style="198" customWidth="1"/>
    <col min="3585" max="3585" width="7.375" style="198" customWidth="1"/>
    <col min="3586" max="3586" width="7" style="198" customWidth="1"/>
    <col min="3587" max="3587" width="6.625" style="198" customWidth="1"/>
    <col min="3588" max="3588" width="6.875" style="198" customWidth="1"/>
    <col min="3589" max="3589" width="5.875" style="198" customWidth="1"/>
    <col min="3590" max="3590" width="6.625" style="198" customWidth="1"/>
    <col min="3591" max="3591" width="11.875" style="198" customWidth="1"/>
    <col min="3592" max="3592" width="7.125" style="198" customWidth="1"/>
    <col min="3593" max="3593" width="9" style="198"/>
    <col min="3594" max="3594" width="8.75" style="198" customWidth="1"/>
    <col min="3595" max="3595" width="11" style="198" customWidth="1"/>
    <col min="3596" max="3839" width="9" style="198"/>
    <col min="3840" max="3840" width="31.375" style="198" customWidth="1"/>
    <col min="3841" max="3841" width="7.375" style="198" customWidth="1"/>
    <col min="3842" max="3842" width="7" style="198" customWidth="1"/>
    <col min="3843" max="3843" width="6.625" style="198" customWidth="1"/>
    <col min="3844" max="3844" width="6.875" style="198" customWidth="1"/>
    <col min="3845" max="3845" width="5.875" style="198" customWidth="1"/>
    <col min="3846" max="3846" width="6.625" style="198" customWidth="1"/>
    <col min="3847" max="3847" width="11.875" style="198" customWidth="1"/>
    <col min="3848" max="3848" width="7.125" style="198" customWidth="1"/>
    <col min="3849" max="3849" width="9" style="198"/>
    <col min="3850" max="3850" width="8.75" style="198" customWidth="1"/>
    <col min="3851" max="3851" width="11" style="198" customWidth="1"/>
    <col min="3852" max="4095" width="9" style="198"/>
    <col min="4096" max="4096" width="31.375" style="198" customWidth="1"/>
    <col min="4097" max="4097" width="7.375" style="198" customWidth="1"/>
    <col min="4098" max="4098" width="7" style="198" customWidth="1"/>
    <col min="4099" max="4099" width="6.625" style="198" customWidth="1"/>
    <col min="4100" max="4100" width="6.875" style="198" customWidth="1"/>
    <col min="4101" max="4101" width="5.875" style="198" customWidth="1"/>
    <col min="4102" max="4102" width="6.625" style="198" customWidth="1"/>
    <col min="4103" max="4103" width="11.875" style="198" customWidth="1"/>
    <col min="4104" max="4104" width="7.125" style="198" customWidth="1"/>
    <col min="4105" max="4105" width="9" style="198"/>
    <col min="4106" max="4106" width="8.75" style="198" customWidth="1"/>
    <col min="4107" max="4107" width="11" style="198" customWidth="1"/>
    <col min="4108" max="4351" width="9" style="198"/>
    <col min="4352" max="4352" width="31.375" style="198" customWidth="1"/>
    <col min="4353" max="4353" width="7.375" style="198" customWidth="1"/>
    <col min="4354" max="4354" width="7" style="198" customWidth="1"/>
    <col min="4355" max="4355" width="6.625" style="198" customWidth="1"/>
    <col min="4356" max="4356" width="6.875" style="198" customWidth="1"/>
    <col min="4357" max="4357" width="5.875" style="198" customWidth="1"/>
    <col min="4358" max="4358" width="6.625" style="198" customWidth="1"/>
    <col min="4359" max="4359" width="11.875" style="198" customWidth="1"/>
    <col min="4360" max="4360" width="7.125" style="198" customWidth="1"/>
    <col min="4361" max="4361" width="9" style="198"/>
    <col min="4362" max="4362" width="8.75" style="198" customWidth="1"/>
    <col min="4363" max="4363" width="11" style="198" customWidth="1"/>
    <col min="4364" max="4607" width="9" style="198"/>
    <col min="4608" max="4608" width="31.375" style="198" customWidth="1"/>
    <col min="4609" max="4609" width="7.375" style="198" customWidth="1"/>
    <col min="4610" max="4610" width="7" style="198" customWidth="1"/>
    <col min="4611" max="4611" width="6.625" style="198" customWidth="1"/>
    <col min="4612" max="4612" width="6.875" style="198" customWidth="1"/>
    <col min="4613" max="4613" width="5.875" style="198" customWidth="1"/>
    <col min="4614" max="4614" width="6.625" style="198" customWidth="1"/>
    <col min="4615" max="4615" width="11.875" style="198" customWidth="1"/>
    <col min="4616" max="4616" width="7.125" style="198" customWidth="1"/>
    <col min="4617" max="4617" width="9" style="198"/>
    <col min="4618" max="4618" width="8.75" style="198" customWidth="1"/>
    <col min="4619" max="4619" width="11" style="198" customWidth="1"/>
    <col min="4620" max="4863" width="9" style="198"/>
    <col min="4864" max="4864" width="31.375" style="198" customWidth="1"/>
    <col min="4865" max="4865" width="7.375" style="198" customWidth="1"/>
    <col min="4866" max="4866" width="7" style="198" customWidth="1"/>
    <col min="4867" max="4867" width="6.625" style="198" customWidth="1"/>
    <col min="4868" max="4868" width="6.875" style="198" customWidth="1"/>
    <col min="4869" max="4869" width="5.875" style="198" customWidth="1"/>
    <col min="4870" max="4870" width="6.625" style="198" customWidth="1"/>
    <col min="4871" max="4871" width="11.875" style="198" customWidth="1"/>
    <col min="4872" max="4872" width="7.125" style="198" customWidth="1"/>
    <col min="4873" max="4873" width="9" style="198"/>
    <col min="4874" max="4874" width="8.75" style="198" customWidth="1"/>
    <col min="4875" max="4875" width="11" style="198" customWidth="1"/>
    <col min="4876" max="5119" width="9" style="198"/>
    <col min="5120" max="5120" width="31.375" style="198" customWidth="1"/>
    <col min="5121" max="5121" width="7.375" style="198" customWidth="1"/>
    <col min="5122" max="5122" width="7" style="198" customWidth="1"/>
    <col min="5123" max="5123" width="6.625" style="198" customWidth="1"/>
    <col min="5124" max="5124" width="6.875" style="198" customWidth="1"/>
    <col min="5125" max="5125" width="5.875" style="198" customWidth="1"/>
    <col min="5126" max="5126" width="6.625" style="198" customWidth="1"/>
    <col min="5127" max="5127" width="11.875" style="198" customWidth="1"/>
    <col min="5128" max="5128" width="7.125" style="198" customWidth="1"/>
    <col min="5129" max="5129" width="9" style="198"/>
    <col min="5130" max="5130" width="8.75" style="198" customWidth="1"/>
    <col min="5131" max="5131" width="11" style="198" customWidth="1"/>
    <col min="5132" max="5375" width="9" style="198"/>
    <col min="5376" max="5376" width="31.375" style="198" customWidth="1"/>
    <col min="5377" max="5377" width="7.375" style="198" customWidth="1"/>
    <col min="5378" max="5378" width="7" style="198" customWidth="1"/>
    <col min="5379" max="5379" width="6.625" style="198" customWidth="1"/>
    <col min="5380" max="5380" width="6.875" style="198" customWidth="1"/>
    <col min="5381" max="5381" width="5.875" style="198" customWidth="1"/>
    <col min="5382" max="5382" width="6.625" style="198" customWidth="1"/>
    <col min="5383" max="5383" width="11.875" style="198" customWidth="1"/>
    <col min="5384" max="5384" width="7.125" style="198" customWidth="1"/>
    <col min="5385" max="5385" width="9" style="198"/>
    <col min="5386" max="5386" width="8.75" style="198" customWidth="1"/>
    <col min="5387" max="5387" width="11" style="198" customWidth="1"/>
    <col min="5388" max="5631" width="9" style="198"/>
    <col min="5632" max="5632" width="31.375" style="198" customWidth="1"/>
    <col min="5633" max="5633" width="7.375" style="198" customWidth="1"/>
    <col min="5634" max="5634" width="7" style="198" customWidth="1"/>
    <col min="5635" max="5635" width="6.625" style="198" customWidth="1"/>
    <col min="5636" max="5636" width="6.875" style="198" customWidth="1"/>
    <col min="5637" max="5637" width="5.875" style="198" customWidth="1"/>
    <col min="5638" max="5638" width="6.625" style="198" customWidth="1"/>
    <col min="5639" max="5639" width="11.875" style="198" customWidth="1"/>
    <col min="5640" max="5640" width="7.125" style="198" customWidth="1"/>
    <col min="5641" max="5641" width="9" style="198"/>
    <col min="5642" max="5642" width="8.75" style="198" customWidth="1"/>
    <col min="5643" max="5643" width="11" style="198" customWidth="1"/>
    <col min="5644" max="5887" width="9" style="198"/>
    <col min="5888" max="5888" width="31.375" style="198" customWidth="1"/>
    <col min="5889" max="5889" width="7.375" style="198" customWidth="1"/>
    <col min="5890" max="5890" width="7" style="198" customWidth="1"/>
    <col min="5891" max="5891" width="6.625" style="198" customWidth="1"/>
    <col min="5892" max="5892" width="6.875" style="198" customWidth="1"/>
    <col min="5893" max="5893" width="5.875" style="198" customWidth="1"/>
    <col min="5894" max="5894" width="6.625" style="198" customWidth="1"/>
    <col min="5895" max="5895" width="11.875" style="198" customWidth="1"/>
    <col min="5896" max="5896" width="7.125" style="198" customWidth="1"/>
    <col min="5897" max="5897" width="9" style="198"/>
    <col min="5898" max="5898" width="8.75" style="198" customWidth="1"/>
    <col min="5899" max="5899" width="11" style="198" customWidth="1"/>
    <col min="5900" max="6143" width="9" style="198"/>
    <col min="6144" max="6144" width="31.375" style="198" customWidth="1"/>
    <col min="6145" max="6145" width="7.375" style="198" customWidth="1"/>
    <col min="6146" max="6146" width="7" style="198" customWidth="1"/>
    <col min="6147" max="6147" width="6.625" style="198" customWidth="1"/>
    <col min="6148" max="6148" width="6.875" style="198" customWidth="1"/>
    <col min="6149" max="6149" width="5.875" style="198" customWidth="1"/>
    <col min="6150" max="6150" width="6.625" style="198" customWidth="1"/>
    <col min="6151" max="6151" width="11.875" style="198" customWidth="1"/>
    <col min="6152" max="6152" width="7.125" style="198" customWidth="1"/>
    <col min="6153" max="6153" width="9" style="198"/>
    <col min="6154" max="6154" width="8.75" style="198" customWidth="1"/>
    <col min="6155" max="6155" width="11" style="198" customWidth="1"/>
    <col min="6156" max="6399" width="9" style="198"/>
    <col min="6400" max="6400" width="31.375" style="198" customWidth="1"/>
    <col min="6401" max="6401" width="7.375" style="198" customWidth="1"/>
    <col min="6402" max="6402" width="7" style="198" customWidth="1"/>
    <col min="6403" max="6403" width="6.625" style="198" customWidth="1"/>
    <col min="6404" max="6404" width="6.875" style="198" customWidth="1"/>
    <col min="6405" max="6405" width="5.875" style="198" customWidth="1"/>
    <col min="6406" max="6406" width="6.625" style="198" customWidth="1"/>
    <col min="6407" max="6407" width="11.875" style="198" customWidth="1"/>
    <col min="6408" max="6408" width="7.125" style="198" customWidth="1"/>
    <col min="6409" max="6409" width="9" style="198"/>
    <col min="6410" max="6410" width="8.75" style="198" customWidth="1"/>
    <col min="6411" max="6411" width="11" style="198" customWidth="1"/>
    <col min="6412" max="6655" width="9" style="198"/>
    <col min="6656" max="6656" width="31.375" style="198" customWidth="1"/>
    <col min="6657" max="6657" width="7.375" style="198" customWidth="1"/>
    <col min="6658" max="6658" width="7" style="198" customWidth="1"/>
    <col min="6659" max="6659" width="6.625" style="198" customWidth="1"/>
    <col min="6660" max="6660" width="6.875" style="198" customWidth="1"/>
    <col min="6661" max="6661" width="5.875" style="198" customWidth="1"/>
    <col min="6662" max="6662" width="6.625" style="198" customWidth="1"/>
    <col min="6663" max="6663" width="11.875" style="198" customWidth="1"/>
    <col min="6664" max="6664" width="7.125" style="198" customWidth="1"/>
    <col min="6665" max="6665" width="9" style="198"/>
    <col min="6666" max="6666" width="8.75" style="198" customWidth="1"/>
    <col min="6667" max="6667" width="11" style="198" customWidth="1"/>
    <col min="6668" max="6911" width="9" style="198"/>
    <col min="6912" max="6912" width="31.375" style="198" customWidth="1"/>
    <col min="6913" max="6913" width="7.375" style="198" customWidth="1"/>
    <col min="6914" max="6914" width="7" style="198" customWidth="1"/>
    <col min="6915" max="6915" width="6.625" style="198" customWidth="1"/>
    <col min="6916" max="6916" width="6.875" style="198" customWidth="1"/>
    <col min="6917" max="6917" width="5.875" style="198" customWidth="1"/>
    <col min="6918" max="6918" width="6.625" style="198" customWidth="1"/>
    <col min="6919" max="6919" width="11.875" style="198" customWidth="1"/>
    <col min="6920" max="6920" width="7.125" style="198" customWidth="1"/>
    <col min="6921" max="6921" width="9" style="198"/>
    <col min="6922" max="6922" width="8.75" style="198" customWidth="1"/>
    <col min="6923" max="6923" width="11" style="198" customWidth="1"/>
    <col min="6924" max="7167" width="9" style="198"/>
    <col min="7168" max="7168" width="31.375" style="198" customWidth="1"/>
    <col min="7169" max="7169" width="7.375" style="198" customWidth="1"/>
    <col min="7170" max="7170" width="7" style="198" customWidth="1"/>
    <col min="7171" max="7171" width="6.625" style="198" customWidth="1"/>
    <col min="7172" max="7172" width="6.875" style="198" customWidth="1"/>
    <col min="7173" max="7173" width="5.875" style="198" customWidth="1"/>
    <col min="7174" max="7174" width="6.625" style="198" customWidth="1"/>
    <col min="7175" max="7175" width="11.875" style="198" customWidth="1"/>
    <col min="7176" max="7176" width="7.125" style="198" customWidth="1"/>
    <col min="7177" max="7177" width="9" style="198"/>
    <col min="7178" max="7178" width="8.75" style="198" customWidth="1"/>
    <col min="7179" max="7179" width="11" style="198" customWidth="1"/>
    <col min="7180" max="7423" width="9" style="198"/>
    <col min="7424" max="7424" width="31.375" style="198" customWidth="1"/>
    <col min="7425" max="7425" width="7.375" style="198" customWidth="1"/>
    <col min="7426" max="7426" width="7" style="198" customWidth="1"/>
    <col min="7427" max="7427" width="6.625" style="198" customWidth="1"/>
    <col min="7428" max="7428" width="6.875" style="198" customWidth="1"/>
    <col min="7429" max="7429" width="5.875" style="198" customWidth="1"/>
    <col min="7430" max="7430" width="6.625" style="198" customWidth="1"/>
    <col min="7431" max="7431" width="11.875" style="198" customWidth="1"/>
    <col min="7432" max="7432" width="7.125" style="198" customWidth="1"/>
    <col min="7433" max="7433" width="9" style="198"/>
    <col min="7434" max="7434" width="8.75" style="198" customWidth="1"/>
    <col min="7435" max="7435" width="11" style="198" customWidth="1"/>
    <col min="7436" max="7679" width="9" style="198"/>
    <col min="7680" max="7680" width="31.375" style="198" customWidth="1"/>
    <col min="7681" max="7681" width="7.375" style="198" customWidth="1"/>
    <col min="7682" max="7682" width="7" style="198" customWidth="1"/>
    <col min="7683" max="7683" width="6.625" style="198" customWidth="1"/>
    <col min="7684" max="7684" width="6.875" style="198" customWidth="1"/>
    <col min="7685" max="7685" width="5.875" style="198" customWidth="1"/>
    <col min="7686" max="7686" width="6.625" style="198" customWidth="1"/>
    <col min="7687" max="7687" width="11.875" style="198" customWidth="1"/>
    <col min="7688" max="7688" width="7.125" style="198" customWidth="1"/>
    <col min="7689" max="7689" width="9" style="198"/>
    <col min="7690" max="7690" width="8.75" style="198" customWidth="1"/>
    <col min="7691" max="7691" width="11" style="198" customWidth="1"/>
    <col min="7692" max="7935" width="9" style="198"/>
    <col min="7936" max="7936" width="31.375" style="198" customWidth="1"/>
    <col min="7937" max="7937" width="7.375" style="198" customWidth="1"/>
    <col min="7938" max="7938" width="7" style="198" customWidth="1"/>
    <col min="7939" max="7939" width="6.625" style="198" customWidth="1"/>
    <col min="7940" max="7940" width="6.875" style="198" customWidth="1"/>
    <col min="7941" max="7941" width="5.875" style="198" customWidth="1"/>
    <col min="7942" max="7942" width="6.625" style="198" customWidth="1"/>
    <col min="7943" max="7943" width="11.875" style="198" customWidth="1"/>
    <col min="7944" max="7944" width="7.125" style="198" customWidth="1"/>
    <col min="7945" max="7945" width="9" style="198"/>
    <col min="7946" max="7946" width="8.75" style="198" customWidth="1"/>
    <col min="7947" max="7947" width="11" style="198" customWidth="1"/>
    <col min="7948" max="8191" width="9" style="198"/>
    <col min="8192" max="8192" width="31.375" style="198" customWidth="1"/>
    <col min="8193" max="8193" width="7.375" style="198" customWidth="1"/>
    <col min="8194" max="8194" width="7" style="198" customWidth="1"/>
    <col min="8195" max="8195" width="6.625" style="198" customWidth="1"/>
    <col min="8196" max="8196" width="6.875" style="198" customWidth="1"/>
    <col min="8197" max="8197" width="5.875" style="198" customWidth="1"/>
    <col min="8198" max="8198" width="6.625" style="198" customWidth="1"/>
    <col min="8199" max="8199" width="11.875" style="198" customWidth="1"/>
    <col min="8200" max="8200" width="7.125" style="198" customWidth="1"/>
    <col min="8201" max="8201" width="9" style="198"/>
    <col min="8202" max="8202" width="8.75" style="198" customWidth="1"/>
    <col min="8203" max="8203" width="11" style="198" customWidth="1"/>
    <col min="8204" max="8447" width="9" style="198"/>
    <col min="8448" max="8448" width="31.375" style="198" customWidth="1"/>
    <col min="8449" max="8449" width="7.375" style="198" customWidth="1"/>
    <col min="8450" max="8450" width="7" style="198" customWidth="1"/>
    <col min="8451" max="8451" width="6.625" style="198" customWidth="1"/>
    <col min="8452" max="8452" width="6.875" style="198" customWidth="1"/>
    <col min="8453" max="8453" width="5.875" style="198" customWidth="1"/>
    <col min="8454" max="8454" width="6.625" style="198" customWidth="1"/>
    <col min="8455" max="8455" width="11.875" style="198" customWidth="1"/>
    <col min="8456" max="8456" width="7.125" style="198" customWidth="1"/>
    <col min="8457" max="8457" width="9" style="198"/>
    <col min="8458" max="8458" width="8.75" style="198" customWidth="1"/>
    <col min="8459" max="8459" width="11" style="198" customWidth="1"/>
    <col min="8460" max="8703" width="9" style="198"/>
    <col min="8704" max="8704" width="31.375" style="198" customWidth="1"/>
    <col min="8705" max="8705" width="7.375" style="198" customWidth="1"/>
    <col min="8706" max="8706" width="7" style="198" customWidth="1"/>
    <col min="8707" max="8707" width="6.625" style="198" customWidth="1"/>
    <col min="8708" max="8708" width="6.875" style="198" customWidth="1"/>
    <col min="8709" max="8709" width="5.875" style="198" customWidth="1"/>
    <col min="8710" max="8710" width="6.625" style="198" customWidth="1"/>
    <col min="8711" max="8711" width="11.875" style="198" customWidth="1"/>
    <col min="8712" max="8712" width="7.125" style="198" customWidth="1"/>
    <col min="8713" max="8713" width="9" style="198"/>
    <col min="8714" max="8714" width="8.75" style="198" customWidth="1"/>
    <col min="8715" max="8715" width="11" style="198" customWidth="1"/>
    <col min="8716" max="8959" width="9" style="198"/>
    <col min="8960" max="8960" width="31.375" style="198" customWidth="1"/>
    <col min="8961" max="8961" width="7.375" style="198" customWidth="1"/>
    <col min="8962" max="8962" width="7" style="198" customWidth="1"/>
    <col min="8963" max="8963" width="6.625" style="198" customWidth="1"/>
    <col min="8964" max="8964" width="6.875" style="198" customWidth="1"/>
    <col min="8965" max="8965" width="5.875" style="198" customWidth="1"/>
    <col min="8966" max="8966" width="6.625" style="198" customWidth="1"/>
    <col min="8967" max="8967" width="11.875" style="198" customWidth="1"/>
    <col min="8968" max="8968" width="7.125" style="198" customWidth="1"/>
    <col min="8969" max="8969" width="9" style="198"/>
    <col min="8970" max="8970" width="8.75" style="198" customWidth="1"/>
    <col min="8971" max="8971" width="11" style="198" customWidth="1"/>
    <col min="8972" max="9215" width="9" style="198"/>
    <col min="9216" max="9216" width="31.375" style="198" customWidth="1"/>
    <col min="9217" max="9217" width="7.375" style="198" customWidth="1"/>
    <col min="9218" max="9218" width="7" style="198" customWidth="1"/>
    <col min="9219" max="9219" width="6.625" style="198" customWidth="1"/>
    <col min="9220" max="9220" width="6.875" style="198" customWidth="1"/>
    <col min="9221" max="9221" width="5.875" style="198" customWidth="1"/>
    <col min="9222" max="9222" width="6.625" style="198" customWidth="1"/>
    <col min="9223" max="9223" width="11.875" style="198" customWidth="1"/>
    <col min="9224" max="9224" width="7.125" style="198" customWidth="1"/>
    <col min="9225" max="9225" width="9" style="198"/>
    <col min="9226" max="9226" width="8.75" style="198" customWidth="1"/>
    <col min="9227" max="9227" width="11" style="198" customWidth="1"/>
    <col min="9228" max="9471" width="9" style="198"/>
    <col min="9472" max="9472" width="31.375" style="198" customWidth="1"/>
    <col min="9473" max="9473" width="7.375" style="198" customWidth="1"/>
    <col min="9474" max="9474" width="7" style="198" customWidth="1"/>
    <col min="9475" max="9475" width="6.625" style="198" customWidth="1"/>
    <col min="9476" max="9476" width="6.875" style="198" customWidth="1"/>
    <col min="9477" max="9477" width="5.875" style="198" customWidth="1"/>
    <col min="9478" max="9478" width="6.625" style="198" customWidth="1"/>
    <col min="9479" max="9479" width="11.875" style="198" customWidth="1"/>
    <col min="9480" max="9480" width="7.125" style="198" customWidth="1"/>
    <col min="9481" max="9481" width="9" style="198"/>
    <col min="9482" max="9482" width="8.75" style="198" customWidth="1"/>
    <col min="9483" max="9483" width="11" style="198" customWidth="1"/>
    <col min="9484" max="9727" width="9" style="198"/>
    <col min="9728" max="9728" width="31.375" style="198" customWidth="1"/>
    <col min="9729" max="9729" width="7.375" style="198" customWidth="1"/>
    <col min="9730" max="9730" width="7" style="198" customWidth="1"/>
    <col min="9731" max="9731" width="6.625" style="198" customWidth="1"/>
    <col min="9732" max="9732" width="6.875" style="198" customWidth="1"/>
    <col min="9733" max="9733" width="5.875" style="198" customWidth="1"/>
    <col min="9734" max="9734" width="6.625" style="198" customWidth="1"/>
    <col min="9735" max="9735" width="11.875" style="198" customWidth="1"/>
    <col min="9736" max="9736" width="7.125" style="198" customWidth="1"/>
    <col min="9737" max="9737" width="9" style="198"/>
    <col min="9738" max="9738" width="8.75" style="198" customWidth="1"/>
    <col min="9739" max="9739" width="11" style="198" customWidth="1"/>
    <col min="9740" max="9983" width="9" style="198"/>
    <col min="9984" max="9984" width="31.375" style="198" customWidth="1"/>
    <col min="9985" max="9985" width="7.375" style="198" customWidth="1"/>
    <col min="9986" max="9986" width="7" style="198" customWidth="1"/>
    <col min="9987" max="9987" width="6.625" style="198" customWidth="1"/>
    <col min="9988" max="9988" width="6.875" style="198" customWidth="1"/>
    <col min="9989" max="9989" width="5.875" style="198" customWidth="1"/>
    <col min="9990" max="9990" width="6.625" style="198" customWidth="1"/>
    <col min="9991" max="9991" width="11.875" style="198" customWidth="1"/>
    <col min="9992" max="9992" width="7.125" style="198" customWidth="1"/>
    <col min="9993" max="9993" width="9" style="198"/>
    <col min="9994" max="9994" width="8.75" style="198" customWidth="1"/>
    <col min="9995" max="9995" width="11" style="198" customWidth="1"/>
    <col min="9996" max="10239" width="9" style="198"/>
    <col min="10240" max="10240" width="31.375" style="198" customWidth="1"/>
    <col min="10241" max="10241" width="7.375" style="198" customWidth="1"/>
    <col min="10242" max="10242" width="7" style="198" customWidth="1"/>
    <col min="10243" max="10243" width="6.625" style="198" customWidth="1"/>
    <col min="10244" max="10244" width="6.875" style="198" customWidth="1"/>
    <col min="10245" max="10245" width="5.875" style="198" customWidth="1"/>
    <col min="10246" max="10246" width="6.625" style="198" customWidth="1"/>
    <col min="10247" max="10247" width="11.875" style="198" customWidth="1"/>
    <col min="10248" max="10248" width="7.125" style="198" customWidth="1"/>
    <col min="10249" max="10249" width="9" style="198"/>
    <col min="10250" max="10250" width="8.75" style="198" customWidth="1"/>
    <col min="10251" max="10251" width="11" style="198" customWidth="1"/>
    <col min="10252" max="10495" width="9" style="198"/>
    <col min="10496" max="10496" width="31.375" style="198" customWidth="1"/>
    <col min="10497" max="10497" width="7.375" style="198" customWidth="1"/>
    <col min="10498" max="10498" width="7" style="198" customWidth="1"/>
    <col min="10499" max="10499" width="6.625" style="198" customWidth="1"/>
    <col min="10500" max="10500" width="6.875" style="198" customWidth="1"/>
    <col min="10501" max="10501" width="5.875" style="198" customWidth="1"/>
    <col min="10502" max="10502" width="6.625" style="198" customWidth="1"/>
    <col min="10503" max="10503" width="11.875" style="198" customWidth="1"/>
    <col min="10504" max="10504" width="7.125" style="198" customWidth="1"/>
    <col min="10505" max="10505" width="9" style="198"/>
    <col min="10506" max="10506" width="8.75" style="198" customWidth="1"/>
    <col min="10507" max="10507" width="11" style="198" customWidth="1"/>
    <col min="10508" max="10751" width="9" style="198"/>
    <col min="10752" max="10752" width="31.375" style="198" customWidth="1"/>
    <col min="10753" max="10753" width="7.375" style="198" customWidth="1"/>
    <col min="10754" max="10754" width="7" style="198" customWidth="1"/>
    <col min="10755" max="10755" width="6.625" style="198" customWidth="1"/>
    <col min="10756" max="10756" width="6.875" style="198" customWidth="1"/>
    <col min="10757" max="10757" width="5.875" style="198" customWidth="1"/>
    <col min="10758" max="10758" width="6.625" style="198" customWidth="1"/>
    <col min="10759" max="10759" width="11.875" style="198" customWidth="1"/>
    <col min="10760" max="10760" width="7.125" style="198" customWidth="1"/>
    <col min="10761" max="10761" width="9" style="198"/>
    <col min="10762" max="10762" width="8.75" style="198" customWidth="1"/>
    <col min="10763" max="10763" width="11" style="198" customWidth="1"/>
    <col min="10764" max="11007" width="9" style="198"/>
    <col min="11008" max="11008" width="31.375" style="198" customWidth="1"/>
    <col min="11009" max="11009" width="7.375" style="198" customWidth="1"/>
    <col min="11010" max="11010" width="7" style="198" customWidth="1"/>
    <col min="11011" max="11011" width="6.625" style="198" customWidth="1"/>
    <col min="11012" max="11012" width="6.875" style="198" customWidth="1"/>
    <col min="11013" max="11013" width="5.875" style="198" customWidth="1"/>
    <col min="11014" max="11014" width="6.625" style="198" customWidth="1"/>
    <col min="11015" max="11015" width="11.875" style="198" customWidth="1"/>
    <col min="11016" max="11016" width="7.125" style="198" customWidth="1"/>
    <col min="11017" max="11017" width="9" style="198"/>
    <col min="11018" max="11018" width="8.75" style="198" customWidth="1"/>
    <col min="11019" max="11019" width="11" style="198" customWidth="1"/>
    <col min="11020" max="11263" width="9" style="198"/>
    <col min="11264" max="11264" width="31.375" style="198" customWidth="1"/>
    <col min="11265" max="11265" width="7.375" style="198" customWidth="1"/>
    <col min="11266" max="11266" width="7" style="198" customWidth="1"/>
    <col min="11267" max="11267" width="6.625" style="198" customWidth="1"/>
    <col min="11268" max="11268" width="6.875" style="198" customWidth="1"/>
    <col min="11269" max="11269" width="5.875" style="198" customWidth="1"/>
    <col min="11270" max="11270" width="6.625" style="198" customWidth="1"/>
    <col min="11271" max="11271" width="11.875" style="198" customWidth="1"/>
    <col min="11272" max="11272" width="7.125" style="198" customWidth="1"/>
    <col min="11273" max="11273" width="9" style="198"/>
    <col min="11274" max="11274" width="8.75" style="198" customWidth="1"/>
    <col min="11275" max="11275" width="11" style="198" customWidth="1"/>
    <col min="11276" max="11519" width="9" style="198"/>
    <col min="11520" max="11520" width="31.375" style="198" customWidth="1"/>
    <col min="11521" max="11521" width="7.375" style="198" customWidth="1"/>
    <col min="11522" max="11522" width="7" style="198" customWidth="1"/>
    <col min="11523" max="11523" width="6.625" style="198" customWidth="1"/>
    <col min="11524" max="11524" width="6.875" style="198" customWidth="1"/>
    <col min="11525" max="11525" width="5.875" style="198" customWidth="1"/>
    <col min="11526" max="11526" width="6.625" style="198" customWidth="1"/>
    <col min="11527" max="11527" width="11.875" style="198" customWidth="1"/>
    <col min="11528" max="11528" width="7.125" style="198" customWidth="1"/>
    <col min="11529" max="11529" width="9" style="198"/>
    <col min="11530" max="11530" width="8.75" style="198" customWidth="1"/>
    <col min="11531" max="11531" width="11" style="198" customWidth="1"/>
    <col min="11532" max="11775" width="9" style="198"/>
    <col min="11776" max="11776" width="31.375" style="198" customWidth="1"/>
    <col min="11777" max="11777" width="7.375" style="198" customWidth="1"/>
    <col min="11778" max="11778" width="7" style="198" customWidth="1"/>
    <col min="11779" max="11779" width="6.625" style="198" customWidth="1"/>
    <col min="11780" max="11780" width="6.875" style="198" customWidth="1"/>
    <col min="11781" max="11781" width="5.875" style="198" customWidth="1"/>
    <col min="11782" max="11782" width="6.625" style="198" customWidth="1"/>
    <col min="11783" max="11783" width="11.875" style="198" customWidth="1"/>
    <col min="11784" max="11784" width="7.125" style="198" customWidth="1"/>
    <col min="11785" max="11785" width="9" style="198"/>
    <col min="11786" max="11786" width="8.75" style="198" customWidth="1"/>
    <col min="11787" max="11787" width="11" style="198" customWidth="1"/>
    <col min="11788" max="12031" width="9" style="198"/>
    <col min="12032" max="12032" width="31.375" style="198" customWidth="1"/>
    <col min="12033" max="12033" width="7.375" style="198" customWidth="1"/>
    <col min="12034" max="12034" width="7" style="198" customWidth="1"/>
    <col min="12035" max="12035" width="6.625" style="198" customWidth="1"/>
    <col min="12036" max="12036" width="6.875" style="198" customWidth="1"/>
    <col min="12037" max="12037" width="5.875" style="198" customWidth="1"/>
    <col min="12038" max="12038" width="6.625" style="198" customWidth="1"/>
    <col min="12039" max="12039" width="11.875" style="198" customWidth="1"/>
    <col min="12040" max="12040" width="7.125" style="198" customWidth="1"/>
    <col min="12041" max="12041" width="9" style="198"/>
    <col min="12042" max="12042" width="8.75" style="198" customWidth="1"/>
    <col min="12043" max="12043" width="11" style="198" customWidth="1"/>
    <col min="12044" max="12287" width="9" style="198"/>
    <col min="12288" max="12288" width="31.375" style="198" customWidth="1"/>
    <col min="12289" max="12289" width="7.375" style="198" customWidth="1"/>
    <col min="12290" max="12290" width="7" style="198" customWidth="1"/>
    <col min="12291" max="12291" width="6.625" style="198" customWidth="1"/>
    <col min="12292" max="12292" width="6.875" style="198" customWidth="1"/>
    <col min="12293" max="12293" width="5.875" style="198" customWidth="1"/>
    <col min="12294" max="12294" width="6.625" style="198" customWidth="1"/>
    <col min="12295" max="12295" width="11.875" style="198" customWidth="1"/>
    <col min="12296" max="12296" width="7.125" style="198" customWidth="1"/>
    <col min="12297" max="12297" width="9" style="198"/>
    <col min="12298" max="12298" width="8.75" style="198" customWidth="1"/>
    <col min="12299" max="12299" width="11" style="198" customWidth="1"/>
    <col min="12300" max="12543" width="9" style="198"/>
    <col min="12544" max="12544" width="31.375" style="198" customWidth="1"/>
    <col min="12545" max="12545" width="7.375" style="198" customWidth="1"/>
    <col min="12546" max="12546" width="7" style="198" customWidth="1"/>
    <col min="12547" max="12547" width="6.625" style="198" customWidth="1"/>
    <col min="12548" max="12548" width="6.875" style="198" customWidth="1"/>
    <col min="12549" max="12549" width="5.875" style="198" customWidth="1"/>
    <col min="12550" max="12550" width="6.625" style="198" customWidth="1"/>
    <col min="12551" max="12551" width="11.875" style="198" customWidth="1"/>
    <col min="12552" max="12552" width="7.125" style="198" customWidth="1"/>
    <col min="12553" max="12553" width="9" style="198"/>
    <col min="12554" max="12554" width="8.75" style="198" customWidth="1"/>
    <col min="12555" max="12555" width="11" style="198" customWidth="1"/>
    <col min="12556" max="12799" width="9" style="198"/>
    <col min="12800" max="12800" width="31.375" style="198" customWidth="1"/>
    <col min="12801" max="12801" width="7.375" style="198" customWidth="1"/>
    <col min="12802" max="12802" width="7" style="198" customWidth="1"/>
    <col min="12803" max="12803" width="6.625" style="198" customWidth="1"/>
    <col min="12804" max="12804" width="6.875" style="198" customWidth="1"/>
    <col min="12805" max="12805" width="5.875" style="198" customWidth="1"/>
    <col min="12806" max="12806" width="6.625" style="198" customWidth="1"/>
    <col min="12807" max="12807" width="11.875" style="198" customWidth="1"/>
    <col min="12808" max="12808" width="7.125" style="198" customWidth="1"/>
    <col min="12809" max="12809" width="9" style="198"/>
    <col min="12810" max="12810" width="8.75" style="198" customWidth="1"/>
    <col min="12811" max="12811" width="11" style="198" customWidth="1"/>
    <col min="12812" max="13055" width="9" style="198"/>
    <col min="13056" max="13056" width="31.375" style="198" customWidth="1"/>
    <col min="13057" max="13057" width="7.375" style="198" customWidth="1"/>
    <col min="13058" max="13058" width="7" style="198" customWidth="1"/>
    <col min="13059" max="13059" width="6.625" style="198" customWidth="1"/>
    <col min="13060" max="13060" width="6.875" style="198" customWidth="1"/>
    <col min="13061" max="13061" width="5.875" style="198" customWidth="1"/>
    <col min="13062" max="13062" width="6.625" style="198" customWidth="1"/>
    <col min="13063" max="13063" width="11.875" style="198" customWidth="1"/>
    <col min="13064" max="13064" width="7.125" style="198" customWidth="1"/>
    <col min="13065" max="13065" width="9" style="198"/>
    <col min="13066" max="13066" width="8.75" style="198" customWidth="1"/>
    <col min="13067" max="13067" width="11" style="198" customWidth="1"/>
    <col min="13068" max="13311" width="9" style="198"/>
    <col min="13312" max="13312" width="31.375" style="198" customWidth="1"/>
    <col min="13313" max="13313" width="7.375" style="198" customWidth="1"/>
    <col min="13314" max="13314" width="7" style="198" customWidth="1"/>
    <col min="13315" max="13315" width="6.625" style="198" customWidth="1"/>
    <col min="13316" max="13316" width="6.875" style="198" customWidth="1"/>
    <col min="13317" max="13317" width="5.875" style="198" customWidth="1"/>
    <col min="13318" max="13318" width="6.625" style="198" customWidth="1"/>
    <col min="13319" max="13319" width="11.875" style="198" customWidth="1"/>
    <col min="13320" max="13320" width="7.125" style="198" customWidth="1"/>
    <col min="13321" max="13321" width="9" style="198"/>
    <col min="13322" max="13322" width="8.75" style="198" customWidth="1"/>
    <col min="13323" max="13323" width="11" style="198" customWidth="1"/>
    <col min="13324" max="13567" width="9" style="198"/>
    <col min="13568" max="13568" width="31.375" style="198" customWidth="1"/>
    <col min="13569" max="13569" width="7.375" style="198" customWidth="1"/>
    <col min="13570" max="13570" width="7" style="198" customWidth="1"/>
    <col min="13571" max="13571" width="6.625" style="198" customWidth="1"/>
    <col min="13572" max="13572" width="6.875" style="198" customWidth="1"/>
    <col min="13573" max="13573" width="5.875" style="198" customWidth="1"/>
    <col min="13574" max="13574" width="6.625" style="198" customWidth="1"/>
    <col min="13575" max="13575" width="11.875" style="198" customWidth="1"/>
    <col min="13576" max="13576" width="7.125" style="198" customWidth="1"/>
    <col min="13577" max="13577" width="9" style="198"/>
    <col min="13578" max="13578" width="8.75" style="198" customWidth="1"/>
    <col min="13579" max="13579" width="11" style="198" customWidth="1"/>
    <col min="13580" max="13823" width="9" style="198"/>
    <col min="13824" max="13824" width="31.375" style="198" customWidth="1"/>
    <col min="13825" max="13825" width="7.375" style="198" customWidth="1"/>
    <col min="13826" max="13826" width="7" style="198" customWidth="1"/>
    <col min="13827" max="13827" width="6.625" style="198" customWidth="1"/>
    <col min="13828" max="13828" width="6.875" style="198" customWidth="1"/>
    <col min="13829" max="13829" width="5.875" style="198" customWidth="1"/>
    <col min="13830" max="13830" width="6.625" style="198" customWidth="1"/>
    <col min="13831" max="13831" width="11.875" style="198" customWidth="1"/>
    <col min="13832" max="13832" width="7.125" style="198" customWidth="1"/>
    <col min="13833" max="13833" width="9" style="198"/>
    <col min="13834" max="13834" width="8.75" style="198" customWidth="1"/>
    <col min="13835" max="13835" width="11" style="198" customWidth="1"/>
    <col min="13836" max="14079" width="9" style="198"/>
    <col min="14080" max="14080" width="31.375" style="198" customWidth="1"/>
    <col min="14081" max="14081" width="7.375" style="198" customWidth="1"/>
    <col min="14082" max="14082" width="7" style="198" customWidth="1"/>
    <col min="14083" max="14083" width="6.625" style="198" customWidth="1"/>
    <col min="14084" max="14084" width="6.875" style="198" customWidth="1"/>
    <col min="14085" max="14085" width="5.875" style="198" customWidth="1"/>
    <col min="14086" max="14086" width="6.625" style="198" customWidth="1"/>
    <col min="14087" max="14087" width="11.875" style="198" customWidth="1"/>
    <col min="14088" max="14088" width="7.125" style="198" customWidth="1"/>
    <col min="14089" max="14089" width="9" style="198"/>
    <col min="14090" max="14090" width="8.75" style="198" customWidth="1"/>
    <col min="14091" max="14091" width="11" style="198" customWidth="1"/>
    <col min="14092" max="14335" width="9" style="198"/>
    <col min="14336" max="14336" width="31.375" style="198" customWidth="1"/>
    <col min="14337" max="14337" width="7.375" style="198" customWidth="1"/>
    <col min="14338" max="14338" width="7" style="198" customWidth="1"/>
    <col min="14339" max="14339" width="6.625" style="198" customWidth="1"/>
    <col min="14340" max="14340" width="6.875" style="198" customWidth="1"/>
    <col min="14341" max="14341" width="5.875" style="198" customWidth="1"/>
    <col min="14342" max="14342" width="6.625" style="198" customWidth="1"/>
    <col min="14343" max="14343" width="11.875" style="198" customWidth="1"/>
    <col min="14344" max="14344" width="7.125" style="198" customWidth="1"/>
    <col min="14345" max="14345" width="9" style="198"/>
    <col min="14346" max="14346" width="8.75" style="198" customWidth="1"/>
    <col min="14347" max="14347" width="11" style="198" customWidth="1"/>
    <col min="14348" max="14591" width="9" style="198"/>
    <col min="14592" max="14592" width="31.375" style="198" customWidth="1"/>
    <col min="14593" max="14593" width="7.375" style="198" customWidth="1"/>
    <col min="14594" max="14594" width="7" style="198" customWidth="1"/>
    <col min="14595" max="14595" width="6.625" style="198" customWidth="1"/>
    <col min="14596" max="14596" width="6.875" style="198" customWidth="1"/>
    <col min="14597" max="14597" width="5.875" style="198" customWidth="1"/>
    <col min="14598" max="14598" width="6.625" style="198" customWidth="1"/>
    <col min="14599" max="14599" width="11.875" style="198" customWidth="1"/>
    <col min="14600" max="14600" width="7.125" style="198" customWidth="1"/>
    <col min="14601" max="14601" width="9" style="198"/>
    <col min="14602" max="14602" width="8.75" style="198" customWidth="1"/>
    <col min="14603" max="14603" width="11" style="198" customWidth="1"/>
    <col min="14604" max="14847" width="9" style="198"/>
    <col min="14848" max="14848" width="31.375" style="198" customWidth="1"/>
    <col min="14849" max="14849" width="7.375" style="198" customWidth="1"/>
    <col min="14850" max="14850" width="7" style="198" customWidth="1"/>
    <col min="14851" max="14851" width="6.625" style="198" customWidth="1"/>
    <col min="14852" max="14852" width="6.875" style="198" customWidth="1"/>
    <col min="14853" max="14853" width="5.875" style="198" customWidth="1"/>
    <col min="14854" max="14854" width="6.625" style="198" customWidth="1"/>
    <col min="14855" max="14855" width="11.875" style="198" customWidth="1"/>
    <col min="14856" max="14856" width="7.125" style="198" customWidth="1"/>
    <col min="14857" max="14857" width="9" style="198"/>
    <col min="14858" max="14858" width="8.75" style="198" customWidth="1"/>
    <col min="14859" max="14859" width="11" style="198" customWidth="1"/>
    <col min="14860" max="15103" width="9" style="198"/>
    <col min="15104" max="15104" width="31.375" style="198" customWidth="1"/>
    <col min="15105" max="15105" width="7.375" style="198" customWidth="1"/>
    <col min="15106" max="15106" width="7" style="198" customWidth="1"/>
    <col min="15107" max="15107" width="6.625" style="198" customWidth="1"/>
    <col min="15108" max="15108" width="6.875" style="198" customWidth="1"/>
    <col min="15109" max="15109" width="5.875" style="198" customWidth="1"/>
    <col min="15110" max="15110" width="6.625" style="198" customWidth="1"/>
    <col min="15111" max="15111" width="11.875" style="198" customWidth="1"/>
    <col min="15112" max="15112" width="7.125" style="198" customWidth="1"/>
    <col min="15113" max="15113" width="9" style="198"/>
    <col min="15114" max="15114" width="8.75" style="198" customWidth="1"/>
    <col min="15115" max="15115" width="11" style="198" customWidth="1"/>
    <col min="15116" max="15359" width="9" style="198"/>
    <col min="15360" max="15360" width="31.375" style="198" customWidth="1"/>
    <col min="15361" max="15361" width="7.375" style="198" customWidth="1"/>
    <col min="15362" max="15362" width="7" style="198" customWidth="1"/>
    <col min="15363" max="15363" width="6.625" style="198" customWidth="1"/>
    <col min="15364" max="15364" width="6.875" style="198" customWidth="1"/>
    <col min="15365" max="15365" width="5.875" style="198" customWidth="1"/>
    <col min="15366" max="15366" width="6.625" style="198" customWidth="1"/>
    <col min="15367" max="15367" width="11.875" style="198" customWidth="1"/>
    <col min="15368" max="15368" width="7.125" style="198" customWidth="1"/>
    <col min="15369" max="15369" width="9" style="198"/>
    <col min="15370" max="15370" width="8.75" style="198" customWidth="1"/>
    <col min="15371" max="15371" width="11" style="198" customWidth="1"/>
    <col min="15372" max="15615" width="9" style="198"/>
    <col min="15616" max="15616" width="31.375" style="198" customWidth="1"/>
    <col min="15617" max="15617" width="7.375" style="198" customWidth="1"/>
    <col min="15618" max="15618" width="7" style="198" customWidth="1"/>
    <col min="15619" max="15619" width="6.625" style="198" customWidth="1"/>
    <col min="15620" max="15620" width="6.875" style="198" customWidth="1"/>
    <col min="15621" max="15621" width="5.875" style="198" customWidth="1"/>
    <col min="15622" max="15622" width="6.625" style="198" customWidth="1"/>
    <col min="15623" max="15623" width="11.875" style="198" customWidth="1"/>
    <col min="15624" max="15624" width="7.125" style="198" customWidth="1"/>
    <col min="15625" max="15625" width="9" style="198"/>
    <col min="15626" max="15626" width="8.75" style="198" customWidth="1"/>
    <col min="15627" max="15627" width="11" style="198" customWidth="1"/>
    <col min="15628" max="15871" width="9" style="198"/>
    <col min="15872" max="15872" width="31.375" style="198" customWidth="1"/>
    <col min="15873" max="15873" width="7.375" style="198" customWidth="1"/>
    <col min="15874" max="15874" width="7" style="198" customWidth="1"/>
    <col min="15875" max="15875" width="6.625" style="198" customWidth="1"/>
    <col min="15876" max="15876" width="6.875" style="198" customWidth="1"/>
    <col min="15877" max="15877" width="5.875" style="198" customWidth="1"/>
    <col min="15878" max="15878" width="6.625" style="198" customWidth="1"/>
    <col min="15879" max="15879" width="11.875" style="198" customWidth="1"/>
    <col min="15880" max="15880" width="7.125" style="198" customWidth="1"/>
    <col min="15881" max="15881" width="9" style="198"/>
    <col min="15882" max="15882" width="8.75" style="198" customWidth="1"/>
    <col min="15883" max="15883" width="11" style="198" customWidth="1"/>
    <col min="15884" max="16127" width="9" style="198"/>
    <col min="16128" max="16128" width="31.375" style="198" customWidth="1"/>
    <col min="16129" max="16129" width="7.375" style="198" customWidth="1"/>
    <col min="16130" max="16130" width="7" style="198" customWidth="1"/>
    <col min="16131" max="16131" width="6.625" style="198" customWidth="1"/>
    <col min="16132" max="16132" width="6.875" style="198" customWidth="1"/>
    <col min="16133" max="16133" width="5.875" style="198" customWidth="1"/>
    <col min="16134" max="16134" width="6.625" style="198" customWidth="1"/>
    <col min="16135" max="16135" width="11.875" style="198" customWidth="1"/>
    <col min="16136" max="16136" width="7.125" style="198" customWidth="1"/>
    <col min="16137" max="16137" width="9" style="198"/>
    <col min="16138" max="16138" width="8.75" style="198" customWidth="1"/>
    <col min="16139" max="16139" width="11" style="198" customWidth="1"/>
    <col min="16140" max="16384" width="9" style="198"/>
  </cols>
  <sheetData>
    <row r="1" spans="1:14" s="196" customFormat="1" ht="21.75" customHeight="1" x14ac:dyDescent="0.25">
      <c r="A1" s="2223" t="s">
        <v>1575</v>
      </c>
      <c r="B1" s="2223"/>
      <c r="C1" s="2223"/>
      <c r="D1" s="2223"/>
      <c r="E1" s="2223"/>
      <c r="F1" s="2223"/>
      <c r="G1" s="2223"/>
    </row>
    <row r="2" spans="1:14" ht="15.75" customHeight="1" x14ac:dyDescent="0.25">
      <c r="A2" s="2034" t="s">
        <v>2424</v>
      </c>
      <c r="B2" s="2034"/>
      <c r="C2" s="2034"/>
      <c r="D2" s="2034"/>
      <c r="E2" s="2034"/>
      <c r="F2" s="2034"/>
      <c r="G2" s="2034"/>
      <c r="H2" s="197"/>
      <c r="I2" s="197"/>
    </row>
    <row r="3" spans="1:14" ht="17.25" customHeight="1" x14ac:dyDescent="0.25">
      <c r="E3" s="2224" t="s">
        <v>6</v>
      </c>
      <c r="F3" s="2224"/>
      <c r="G3" s="2224"/>
      <c r="I3" s="199"/>
    </row>
    <row r="4" spans="1:14" s="201" customFormat="1" ht="16.5" customHeight="1" x14ac:dyDescent="0.2">
      <c r="A4" s="2225" t="s">
        <v>873</v>
      </c>
      <c r="B4" s="2225" t="s">
        <v>89</v>
      </c>
      <c r="C4" s="2228" t="s">
        <v>125</v>
      </c>
      <c r="D4" s="2229"/>
      <c r="E4" s="2229"/>
      <c r="F4" s="2229"/>
      <c r="G4" s="2230"/>
      <c r="H4" s="200"/>
    </row>
    <row r="5" spans="1:14" ht="42" customHeight="1" x14ac:dyDescent="0.15">
      <c r="A5" s="2226"/>
      <c r="B5" s="2226"/>
      <c r="C5" s="2231" t="s">
        <v>874</v>
      </c>
      <c r="D5" s="257"/>
      <c r="E5" s="2231" t="s">
        <v>875</v>
      </c>
      <c r="F5" s="257"/>
      <c r="G5" s="2222" t="s">
        <v>876</v>
      </c>
    </row>
    <row r="6" spans="1:14" ht="22.5" customHeight="1" x14ac:dyDescent="0.15">
      <c r="A6" s="2227"/>
      <c r="B6" s="2227"/>
      <c r="C6" s="2232"/>
      <c r="D6" s="202"/>
      <c r="E6" s="2232"/>
      <c r="F6" s="202"/>
      <c r="G6" s="2222"/>
      <c r="H6" s="966" t="e">
        <f>H7+C18</f>
        <v>#REF!</v>
      </c>
      <c r="I6" s="198" t="e">
        <f>H6-I7</f>
        <v>#REF!</v>
      </c>
      <c r="J6" s="198">
        <v>16670</v>
      </c>
      <c r="K6" s="198" t="e">
        <f>I6-J6</f>
        <v>#REF!</v>
      </c>
    </row>
    <row r="7" spans="1:14" ht="19.5" customHeight="1" x14ac:dyDescent="0.2">
      <c r="A7" s="203" t="s">
        <v>877</v>
      </c>
      <c r="B7" s="204">
        <f>SUM(B9,B43)</f>
        <v>4852622.79</v>
      </c>
      <c r="C7" s="204">
        <f>SUM(C9,C43)</f>
        <v>1464844.79</v>
      </c>
      <c r="D7" s="204" t="e">
        <f t="shared" ref="D7:F7" si="0">SUM(D9,D43)</f>
        <v>#REF!</v>
      </c>
      <c r="E7" s="204">
        <f t="shared" si="0"/>
        <v>2215630</v>
      </c>
      <c r="F7" s="204">
        <f t="shared" si="0"/>
        <v>18945</v>
      </c>
      <c r="G7" s="204">
        <f>SUM(G9,G43)</f>
        <v>1172148</v>
      </c>
      <c r="H7" s="199" t="e">
        <f>#REF!</f>
        <v>#REF!</v>
      </c>
      <c r="I7" s="966">
        <v>4831253</v>
      </c>
      <c r="J7" s="198" t="e">
        <f>B7-H7</f>
        <v>#REF!</v>
      </c>
      <c r="K7" s="198">
        <f>B7-I7</f>
        <v>21369.790000000037</v>
      </c>
      <c r="M7" s="198">
        <f>B7-I7</f>
        <v>21369.790000000037</v>
      </c>
    </row>
    <row r="8" spans="1:14" hidden="1" x14ac:dyDescent="0.2">
      <c r="A8" s="205"/>
      <c r="B8" s="206"/>
      <c r="C8" s="206"/>
      <c r="D8" s="206"/>
      <c r="E8" s="206"/>
      <c r="F8" s="206"/>
      <c r="G8" s="206"/>
      <c r="H8" s="199"/>
    </row>
    <row r="9" spans="1:14" s="200" customFormat="1" ht="15" customHeight="1" x14ac:dyDescent="0.2">
      <c r="A9" s="207" t="s">
        <v>878</v>
      </c>
      <c r="B9" s="208">
        <f>B10+B20+B39+B40+B38</f>
        <v>3674691.79</v>
      </c>
      <c r="C9" s="208">
        <f>C10+C20+C39+C40+C38</f>
        <v>1330266.79</v>
      </c>
      <c r="D9" s="208" t="e">
        <f t="shared" ref="D9:F9" si="1">D10+D20+D39+D40+D38</f>
        <v>#REF!</v>
      </c>
      <c r="E9" s="208">
        <f t="shared" si="1"/>
        <v>2144616</v>
      </c>
      <c r="F9" s="208">
        <f t="shared" si="1"/>
        <v>18945</v>
      </c>
      <c r="G9" s="208">
        <f>G10+G20+G39+G40+G38</f>
        <v>199809</v>
      </c>
      <c r="H9" s="200">
        <v>3653322</v>
      </c>
      <c r="J9" s="200">
        <v>16670</v>
      </c>
      <c r="M9" s="200">
        <f>630</f>
        <v>630</v>
      </c>
    </row>
    <row r="10" spans="1:14" s="200" customFormat="1" ht="17.25" customHeight="1" x14ac:dyDescent="0.2">
      <c r="A10" s="207" t="s">
        <v>879</v>
      </c>
      <c r="B10" s="208">
        <f>SUM(B11,B15:B19)</f>
        <v>524660</v>
      </c>
      <c r="C10" s="208">
        <f>SUM(C11,C15:C19)</f>
        <v>301958</v>
      </c>
      <c r="D10" s="208"/>
      <c r="E10" s="208">
        <f>SUM(E11,E15:E18,E19)</f>
        <v>161047</v>
      </c>
      <c r="F10" s="208">
        <f>SUM(F11,F15:F17)</f>
        <v>0</v>
      </c>
      <c r="G10" s="208">
        <f>G11+G15+G17+G18+G19</f>
        <v>61655</v>
      </c>
      <c r="H10" s="200">
        <f>B9-H9</f>
        <v>21369.790000000037</v>
      </c>
      <c r="I10" s="200">
        <f>H10+C18</f>
        <v>38039.790000000037</v>
      </c>
      <c r="J10" s="200" t="e">
        <f>J7-J9</f>
        <v>#REF!</v>
      </c>
      <c r="M10" s="200">
        <f>M9+M7</f>
        <v>21999.790000000037</v>
      </c>
    </row>
    <row r="11" spans="1:14" ht="15.75" customHeight="1" x14ac:dyDescent="0.2">
      <c r="A11" s="205" t="s">
        <v>880</v>
      </c>
      <c r="B11" s="206">
        <f>SUM(C11,E11,G11)</f>
        <v>400290</v>
      </c>
      <c r="C11" s="206">
        <f>367590-23000+32700-84777+630-12523-7092+73-3313</f>
        <v>270288</v>
      </c>
      <c r="D11" s="206"/>
      <c r="E11" s="206">
        <f>'Biểu 09DT'!C15</f>
        <v>84147</v>
      </c>
      <c r="F11" s="206"/>
      <c r="G11" s="206">
        <f>15000+8000+12523+7019+3313</f>
        <v>45855</v>
      </c>
      <c r="H11" s="246">
        <v>23000</v>
      </c>
      <c r="I11" s="198">
        <f>H11-H10</f>
        <v>1630.2099999999627</v>
      </c>
      <c r="K11" s="198">
        <f>C10+G10</f>
        <v>363613</v>
      </c>
    </row>
    <row r="12" spans="1:14" x14ac:dyDescent="0.2">
      <c r="A12" s="205" t="s">
        <v>5</v>
      </c>
      <c r="B12" s="206"/>
      <c r="C12" s="206"/>
      <c r="D12" s="206"/>
      <c r="E12" s="206"/>
      <c r="F12" s="206"/>
      <c r="G12" s="206"/>
    </row>
    <row r="13" spans="1:14" x14ac:dyDescent="0.2">
      <c r="A13" s="205" t="s">
        <v>881</v>
      </c>
      <c r="B13" s="206">
        <f>C13</f>
        <v>55000</v>
      </c>
      <c r="C13" s="206">
        <v>55000</v>
      </c>
      <c r="D13" s="206"/>
      <c r="E13" s="206"/>
      <c r="F13" s="206"/>
      <c r="G13" s="206"/>
      <c r="H13" s="198">
        <f>H14+H15</f>
        <v>518290</v>
      </c>
    </row>
    <row r="14" spans="1:14" ht="16.5" customHeight="1" x14ac:dyDescent="0.2">
      <c r="A14" s="205" t="s">
        <v>882</v>
      </c>
      <c r="B14" s="206">
        <f>C14</f>
        <v>7000</v>
      </c>
      <c r="C14" s="206">
        <v>7000</v>
      </c>
      <c r="D14" s="206"/>
      <c r="E14" s="206"/>
      <c r="F14" s="206"/>
      <c r="G14" s="206"/>
      <c r="H14" s="198">
        <v>497590</v>
      </c>
      <c r="I14" s="198">
        <f>H13-B10</f>
        <v>-6370</v>
      </c>
      <c r="N14" s="198">
        <f>1810+80-50+1</f>
        <v>1841</v>
      </c>
    </row>
    <row r="15" spans="1:14" ht="16.5" customHeight="1" x14ac:dyDescent="0.2">
      <c r="A15" s="205" t="s">
        <v>883</v>
      </c>
      <c r="B15" s="206">
        <f>SUM(C15,E15,G15)</f>
        <v>78000</v>
      </c>
      <c r="C15" s="206"/>
      <c r="D15" s="206"/>
      <c r="E15" s="206">
        <f>'Biểu 09DT'!C17</f>
        <v>70200</v>
      </c>
      <c r="F15" s="206"/>
      <c r="G15" s="206">
        <f>'Biểu số 48'!X32</f>
        <v>7800</v>
      </c>
      <c r="H15" s="198">
        <f>79000-65000+6700</f>
        <v>20700</v>
      </c>
      <c r="I15" s="198">
        <f>B10-H14</f>
        <v>27070</v>
      </c>
    </row>
    <row r="16" spans="1:14" ht="27.75" customHeight="1" x14ac:dyDescent="0.2">
      <c r="A16" s="205" t="s">
        <v>884</v>
      </c>
      <c r="B16" s="206"/>
      <c r="C16" s="206"/>
      <c r="D16" s="206"/>
      <c r="E16" s="206"/>
      <c r="F16" s="206"/>
      <c r="G16" s="206"/>
      <c r="H16" s="201">
        <v>65000</v>
      </c>
      <c r="I16" s="198">
        <f>I15-B19+630</f>
        <v>13000</v>
      </c>
    </row>
    <row r="17" spans="1:15" ht="15.75" customHeight="1" x14ac:dyDescent="0.2">
      <c r="A17" s="205" t="s">
        <v>885</v>
      </c>
      <c r="B17" s="206">
        <f>SUM(C17,E17,G17)</f>
        <v>15000</v>
      </c>
      <c r="C17" s="206">
        <v>15000</v>
      </c>
      <c r="D17" s="206"/>
      <c r="E17" s="206"/>
      <c r="F17" s="206"/>
      <c r="G17" s="206"/>
      <c r="H17" s="198">
        <f>B15-H16</f>
        <v>13000</v>
      </c>
      <c r="J17" s="198" t="s">
        <v>1004</v>
      </c>
      <c r="K17" s="198">
        <v>12066</v>
      </c>
      <c r="L17" s="198">
        <f>K17-B27</f>
        <v>0</v>
      </c>
    </row>
    <row r="18" spans="1:15" ht="15.75" customHeight="1" x14ac:dyDescent="0.2">
      <c r="A18" s="205" t="s">
        <v>930</v>
      </c>
      <c r="B18" s="209">
        <f>C18</f>
        <v>16670</v>
      </c>
      <c r="C18" s="209">
        <f>17300-630</f>
        <v>16670</v>
      </c>
      <c r="D18" s="209"/>
      <c r="E18" s="209"/>
      <c r="F18" s="209"/>
      <c r="G18" s="209"/>
      <c r="J18" s="198" t="s">
        <v>957</v>
      </c>
      <c r="K18" s="198">
        <v>1231293</v>
      </c>
      <c r="L18" s="198">
        <f>K18-B22</f>
        <v>0</v>
      </c>
    </row>
    <row r="19" spans="1:15" ht="15.75" customHeight="1" x14ac:dyDescent="0.2">
      <c r="A19" s="205" t="s">
        <v>953</v>
      </c>
      <c r="B19" s="209">
        <f>SUM(C19,E19,G19)</f>
        <v>14700</v>
      </c>
      <c r="C19" s="209"/>
      <c r="D19" s="209"/>
      <c r="E19" s="209">
        <f>'Biểu 09DT'!C16</f>
        <v>6700</v>
      </c>
      <c r="F19" s="209"/>
      <c r="G19" s="209">
        <v>8000</v>
      </c>
      <c r="J19" s="198" t="s">
        <v>1513</v>
      </c>
      <c r="K19" s="198">
        <v>194592</v>
      </c>
    </row>
    <row r="20" spans="1:15" s="200" customFormat="1" ht="17.25" customHeight="1" x14ac:dyDescent="0.2">
      <c r="A20" s="207" t="s">
        <v>1915</v>
      </c>
      <c r="B20" s="208">
        <f>SUM(B21:B22,B26:B33,B34:B36,B37)</f>
        <v>3066700.79</v>
      </c>
      <c r="C20" s="208">
        <f>SUM(C21:C22,C26:C33,C34:C36)</f>
        <v>1027148.79</v>
      </c>
      <c r="D20" s="208" t="e">
        <f>SUM(D21:D22,D26:D33,D34:D36)</f>
        <v>#REF!</v>
      </c>
      <c r="E20" s="210">
        <f>SUM(E21:E22,E26:E33,E34:E36)</f>
        <v>1938226</v>
      </c>
      <c r="F20" s="210">
        <f>'Biểu 09DT'!C37</f>
        <v>18945</v>
      </c>
      <c r="G20" s="208">
        <f>SUM(G21:G22,G26:G33,G34:G36,G37)</f>
        <v>101326</v>
      </c>
      <c r="H20" s="200">
        <v>3080609</v>
      </c>
      <c r="J20" s="201" t="s">
        <v>1514</v>
      </c>
      <c r="K20" s="201">
        <v>72723</v>
      </c>
      <c r="L20" s="201">
        <f>E41</f>
        <v>41553</v>
      </c>
      <c r="M20" s="200">
        <f>K20-L20</f>
        <v>31170</v>
      </c>
    </row>
    <row r="21" spans="1:15" ht="14.25" customHeight="1" x14ac:dyDescent="0.2">
      <c r="A21" s="205" t="s">
        <v>886</v>
      </c>
      <c r="B21" s="206">
        <f>SUM(C21,E21,G21)</f>
        <v>274617</v>
      </c>
      <c r="C21" s="206">
        <f>'Biểu 37'!M7-440-1310-646-26088-1000-400-4640-760</f>
        <v>122185</v>
      </c>
      <c r="D21" s="206" t="e">
        <f>'Biểu 37'!#REF!</f>
        <v>#REF!</v>
      </c>
      <c r="E21" s="206">
        <f>'Biểu 09DT'!C20-4256</f>
        <v>120523</v>
      </c>
      <c r="F21" s="206"/>
      <c r="G21" s="206">
        <f>41104+152+1-50-2402-2914-106-9-3000-709-31-7-120</f>
        <v>31909</v>
      </c>
      <c r="H21" s="198">
        <f>B20-H20</f>
        <v>-13908.209999999963</v>
      </c>
    </row>
    <row r="22" spans="1:15" ht="16.5" customHeight="1" x14ac:dyDescent="0.2">
      <c r="A22" s="205" t="s">
        <v>1228</v>
      </c>
      <c r="B22" s="206">
        <f>SUM(C22,E22,G22)</f>
        <v>1231293</v>
      </c>
      <c r="C22" s="206">
        <f>'Biểu 37'!D7-3441-1521-4931-324-5790-2028-5000</f>
        <v>209277</v>
      </c>
      <c r="D22" s="206" t="e">
        <f>'Biểu 37'!#REF!</f>
        <v>#REF!</v>
      </c>
      <c r="E22" s="206">
        <f>'Biểu 09DT'!C23-32876</f>
        <v>1011181</v>
      </c>
      <c r="F22" s="206"/>
      <c r="G22" s="206">
        <f>7088+5245+6900+250+2260-1936-10000+407+621</f>
        <v>10835</v>
      </c>
    </row>
    <row r="23" spans="1:15" s="213" customFormat="1" ht="22.5" hidden="1" customHeight="1" x14ac:dyDescent="0.2">
      <c r="A23" s="211" t="s">
        <v>887</v>
      </c>
      <c r="B23" s="206">
        <f t="shared" ref="B23:B37" si="2">SUM(C23,E23,G23)</f>
        <v>0</v>
      </c>
      <c r="C23" s="212"/>
      <c r="D23" s="212"/>
      <c r="E23" s="212"/>
      <c r="F23" s="212"/>
      <c r="G23" s="212"/>
    </row>
    <row r="24" spans="1:15" ht="14.25" hidden="1" customHeight="1" x14ac:dyDescent="0.2">
      <c r="A24" s="205" t="s">
        <v>888</v>
      </c>
      <c r="B24" s="206">
        <f t="shared" si="2"/>
        <v>993828</v>
      </c>
      <c r="C24" s="206"/>
      <c r="D24" s="206"/>
      <c r="E24" s="206">
        <f>'Biểu 09DT'!C24-34346+1948+282+227</f>
        <v>993828</v>
      </c>
      <c r="F24" s="206"/>
      <c r="G24" s="206"/>
    </row>
    <row r="25" spans="1:15" ht="14.25" hidden="1" customHeight="1" x14ac:dyDescent="0.2">
      <c r="A25" s="205" t="s">
        <v>889</v>
      </c>
      <c r="B25" s="206">
        <f t="shared" si="2"/>
        <v>18340</v>
      </c>
      <c r="C25" s="206"/>
      <c r="D25" s="206"/>
      <c r="E25" s="206">
        <f>'Biểu 09DT'!C25</f>
        <v>18340</v>
      </c>
      <c r="F25" s="206"/>
      <c r="G25" s="206"/>
    </row>
    <row r="26" spans="1:15" ht="16.5" customHeight="1" x14ac:dyDescent="0.2">
      <c r="A26" s="205" t="s">
        <v>890</v>
      </c>
      <c r="B26" s="206">
        <f t="shared" si="2"/>
        <v>335846</v>
      </c>
      <c r="C26" s="206">
        <f>'Biểu 37'!H7-49565-6655</f>
        <v>325846</v>
      </c>
      <c r="D26" s="206" t="e">
        <f>'Biểu 37'!#REF!</f>
        <v>#REF!</v>
      </c>
      <c r="E26" s="206"/>
      <c r="F26" s="206"/>
      <c r="G26" s="206">
        <v>10000</v>
      </c>
      <c r="H26" s="198">
        <f>14700+B42</f>
        <v>23148</v>
      </c>
      <c r="J26" s="2220" t="s">
        <v>1516</v>
      </c>
      <c r="K26" s="2220"/>
    </row>
    <row r="27" spans="1:15" ht="18.75" customHeight="1" x14ac:dyDescent="0.2">
      <c r="A27" s="205" t="s">
        <v>1229</v>
      </c>
      <c r="B27" s="206">
        <f t="shared" si="2"/>
        <v>12066</v>
      </c>
      <c r="C27" s="206">
        <f>'Biểu 37'!E7-550</f>
        <v>9993</v>
      </c>
      <c r="D27" s="206" t="e">
        <f>'Biểu 37'!#REF!</f>
        <v>#REF!</v>
      </c>
      <c r="E27" s="206"/>
      <c r="F27" s="206"/>
      <c r="G27" s="206">
        <f>2556+439-1404+482</f>
        <v>2073</v>
      </c>
      <c r="H27" s="198">
        <f>1400-C38</f>
        <v>240</v>
      </c>
      <c r="J27" s="860" t="s">
        <v>1517</v>
      </c>
      <c r="K27" s="860" t="s">
        <v>1518</v>
      </c>
      <c r="L27" s="198" t="s">
        <v>1519</v>
      </c>
    </row>
    <row r="28" spans="1:15" ht="14.25" customHeight="1" x14ac:dyDescent="0.2">
      <c r="A28" s="205" t="s">
        <v>891</v>
      </c>
      <c r="B28" s="206">
        <f t="shared" si="2"/>
        <v>21066</v>
      </c>
      <c r="C28" s="206">
        <f>'Biểu 37'!L7</f>
        <v>13466</v>
      </c>
      <c r="D28" s="206" t="e">
        <f>'Biểu 37'!#REF!</f>
        <v>#REF!</v>
      </c>
      <c r="E28" s="206">
        <f>'Biểu 09DT'!C21</f>
        <v>7600</v>
      </c>
      <c r="F28" s="206"/>
      <c r="G28" s="206"/>
      <c r="H28" s="198">
        <f>H26-H27</f>
        <v>22908</v>
      </c>
      <c r="I28" s="198">
        <f>C20+C43</f>
        <v>1161726.79</v>
      </c>
      <c r="J28" s="198">
        <f>K19</f>
        <v>194592</v>
      </c>
      <c r="K28" s="198">
        <f>'TL 1390'!C3</f>
        <v>106507.90771307996</v>
      </c>
      <c r="L28" s="198">
        <f>'Biểu 10DT TG thu'!C17</f>
        <v>34394</v>
      </c>
      <c r="O28" s="246">
        <v>34970</v>
      </c>
    </row>
    <row r="29" spans="1:15" ht="14.25" customHeight="1" x14ac:dyDescent="0.2">
      <c r="A29" s="205" t="s">
        <v>892</v>
      </c>
      <c r="B29" s="206">
        <f t="shared" si="2"/>
        <v>40034</v>
      </c>
      <c r="C29" s="206">
        <f>'Biểu 37'!I7-1683-700-10</f>
        <v>31761</v>
      </c>
      <c r="D29" s="206" t="e">
        <f>'Biểu 37'!#REF!</f>
        <v>#REF!</v>
      </c>
      <c r="E29" s="206">
        <f>'Biểu 09DT'!C26</f>
        <v>8273</v>
      </c>
      <c r="F29" s="206"/>
      <c r="G29" s="206"/>
      <c r="H29" s="198">
        <f>H28+H21</f>
        <v>8999.7900000000373</v>
      </c>
      <c r="I29" s="198">
        <f>'Biểu 37'!C7</f>
        <v>1161726.79</v>
      </c>
      <c r="K29" s="198">
        <f>'TLg1300'!C3</f>
        <v>154034.79538928001</v>
      </c>
      <c r="L29" s="198">
        <f>'Biểu 37'!S7</f>
        <v>18074</v>
      </c>
      <c r="M29" s="198">
        <f>L29+L30</f>
        <v>37019</v>
      </c>
      <c r="O29" s="198">
        <v>35980</v>
      </c>
    </row>
    <row r="30" spans="1:15" ht="14.25" customHeight="1" x14ac:dyDescent="0.2">
      <c r="A30" s="205" t="s">
        <v>893</v>
      </c>
      <c r="B30" s="206">
        <f t="shared" si="2"/>
        <v>7012</v>
      </c>
      <c r="C30" s="206">
        <f>'Biểu 37'!K7</f>
        <v>5783</v>
      </c>
      <c r="D30" s="206" t="e">
        <f>'Biểu 37'!#REF!</f>
        <v>#REF!</v>
      </c>
      <c r="E30" s="206">
        <f>'Biểu 09DT'!C27</f>
        <v>1229</v>
      </c>
      <c r="F30" s="206"/>
      <c r="G30" s="206"/>
      <c r="K30" s="198">
        <f>K28+K29</f>
        <v>260542.70310235996</v>
      </c>
      <c r="L30" s="198">
        <f>'Biểu 09DT'!C37</f>
        <v>18945</v>
      </c>
      <c r="M30" s="962">
        <f>14+14250</f>
        <v>14264</v>
      </c>
      <c r="O30" s="198">
        <f>O29-L30</f>
        <v>17035</v>
      </c>
    </row>
    <row r="31" spans="1:15" ht="14.25" customHeight="1" x14ac:dyDescent="0.2">
      <c r="A31" s="205" t="s">
        <v>894</v>
      </c>
      <c r="B31" s="206">
        <f t="shared" si="2"/>
        <v>32445</v>
      </c>
      <c r="C31" s="206">
        <f>'Biểu 37'!J7-10</f>
        <v>21654</v>
      </c>
      <c r="D31" s="206">
        <f>'[6]Cap tinh'!Y10</f>
        <v>0</v>
      </c>
      <c r="E31" s="206">
        <f>'Biểu 09DT'!C28</f>
        <v>10791</v>
      </c>
      <c r="F31" s="206"/>
      <c r="G31" s="206"/>
      <c r="L31" s="198">
        <f>L28+L29+L30+M30</f>
        <v>85677</v>
      </c>
    </row>
    <row r="32" spans="1:15" ht="14.25" customHeight="1" x14ac:dyDescent="0.2">
      <c r="A32" s="205" t="s">
        <v>895</v>
      </c>
      <c r="B32" s="206">
        <f t="shared" si="2"/>
        <v>83266</v>
      </c>
      <c r="C32" s="206">
        <f>'Biểu 37'!Q7</f>
        <v>11506</v>
      </c>
      <c r="D32" s="206" t="e">
        <f>'Biểu 37'!#REF!</f>
        <v>#REF!</v>
      </c>
      <c r="E32" s="206">
        <f>'Biểu 09DT'!C29-27716</f>
        <v>71760</v>
      </c>
      <c r="F32" s="206"/>
      <c r="G32" s="206"/>
      <c r="L32" s="198">
        <f>K30-L31</f>
        <v>174865.70310235996</v>
      </c>
    </row>
    <row r="33" spans="1:13" ht="14.25" customHeight="1" x14ac:dyDescent="0.2">
      <c r="A33" s="205" t="s">
        <v>896</v>
      </c>
      <c r="B33" s="206">
        <f t="shared" si="2"/>
        <v>906205.79</v>
      </c>
      <c r="C33" s="206">
        <f>'Biểu 37'!P7-560-614-280-1642-3100-2530-940-190+10</f>
        <v>245571.79</v>
      </c>
      <c r="D33" s="206" t="e">
        <f>'Biểu 37'!#REF!</f>
        <v>#REF!</v>
      </c>
      <c r="E33" s="206">
        <f>'Biểu 09DT'!C22-996-4600</f>
        <v>645634</v>
      </c>
      <c r="F33" s="206"/>
      <c r="G33" s="206">
        <f>3000+12000</f>
        <v>15000</v>
      </c>
      <c r="L33" s="246">
        <f>J28-L32</f>
        <v>19726.296897640044</v>
      </c>
    </row>
    <row r="34" spans="1:13" ht="14.25" customHeight="1" x14ac:dyDescent="0.2">
      <c r="A34" s="205" t="s">
        <v>897</v>
      </c>
      <c r="B34" s="206">
        <f t="shared" si="2"/>
        <v>17441</v>
      </c>
      <c r="C34" s="206">
        <f>'Biểu 37'!G7-3200-1000-10</f>
        <v>10740</v>
      </c>
      <c r="D34" s="206" t="e">
        <f>'Biểu 37'!#REF!</f>
        <v>#REF!</v>
      </c>
      <c r="E34" s="206">
        <f>'Biểu 09DT'!C30-570</f>
        <v>6701</v>
      </c>
      <c r="F34" s="206"/>
      <c r="G34" s="206"/>
    </row>
    <row r="35" spans="1:13" ht="14.25" customHeight="1" x14ac:dyDescent="0.2">
      <c r="A35" s="205" t="s">
        <v>898</v>
      </c>
      <c r="B35" s="206">
        <f t="shared" si="2"/>
        <v>64806</v>
      </c>
      <c r="C35" s="206">
        <f>'Biểu 37'!F7-3000</f>
        <v>18935</v>
      </c>
      <c r="D35" s="206"/>
      <c r="E35" s="206">
        <f>'Biểu 09DT'!C31</f>
        <v>45871</v>
      </c>
      <c r="F35" s="206"/>
      <c r="G35" s="206"/>
      <c r="L35" s="198">
        <f>'Biểu 09DT'!C11</f>
        <v>143919</v>
      </c>
    </row>
    <row r="36" spans="1:13" ht="14.25" customHeight="1" x14ac:dyDescent="0.2">
      <c r="A36" s="205" t="s">
        <v>899</v>
      </c>
      <c r="B36" s="206">
        <f>SUM(C36,E36,G36)</f>
        <v>10094</v>
      </c>
      <c r="C36" s="206">
        <f>'Biểu 37'!R7-30</f>
        <v>431</v>
      </c>
      <c r="D36" s="206"/>
      <c r="E36" s="206">
        <f>'Biểu 09DT'!C32</f>
        <v>8663</v>
      </c>
      <c r="F36" s="206"/>
      <c r="G36" s="206">
        <v>1000</v>
      </c>
      <c r="I36" s="198">
        <f>56+23</f>
        <v>79</v>
      </c>
      <c r="L36" s="198">
        <f>L35+L30+'Biểu 10DT TG thu'!H17+'Biểu 10DT TG thu'!I17+'Biểu 10DT TG thu'!J17</f>
        <v>177418</v>
      </c>
    </row>
    <row r="37" spans="1:13" ht="16.5" customHeight="1" x14ac:dyDescent="0.2">
      <c r="A37" s="205" t="s">
        <v>940</v>
      </c>
      <c r="B37" s="206">
        <f t="shared" si="2"/>
        <v>30509</v>
      </c>
      <c r="C37" s="206"/>
      <c r="D37" s="206"/>
      <c r="E37" s="206"/>
      <c r="F37" s="206"/>
      <c r="G37" s="206">
        <f>10783+19726</f>
        <v>30509</v>
      </c>
      <c r="L37" s="198">
        <f>'TL 1390'!C4</f>
        <v>40996.318913079958</v>
      </c>
    </row>
    <row r="38" spans="1:13" s="199" customFormat="1" ht="19.5" customHeight="1" x14ac:dyDescent="0.2">
      <c r="A38" s="207" t="s">
        <v>1916</v>
      </c>
      <c r="B38" s="208">
        <f>C38</f>
        <v>1160</v>
      </c>
      <c r="C38" s="208">
        <v>1160</v>
      </c>
      <c r="D38" s="208"/>
      <c r="E38" s="208"/>
      <c r="F38" s="208"/>
      <c r="G38" s="208"/>
      <c r="L38" s="198">
        <f>'TLg1300'!C4</f>
        <v>41891.79538928</v>
      </c>
    </row>
    <row r="39" spans="1:13" s="200" customFormat="1" ht="13.5" customHeight="1" x14ac:dyDescent="0.2">
      <c r="A39" s="207" t="s">
        <v>1917</v>
      </c>
      <c r="B39" s="208">
        <f>SUM(C39,E39,G39)</f>
        <v>1000</v>
      </c>
      <c r="C39" s="208"/>
      <c r="D39" s="208"/>
      <c r="E39" s="208"/>
      <c r="F39" s="208"/>
      <c r="G39" s="208">
        <v>1000</v>
      </c>
      <c r="L39" s="200">
        <f>L36+L37+L38</f>
        <v>260306.11430235999</v>
      </c>
    </row>
    <row r="40" spans="1:13" s="200" customFormat="1" ht="13.5" customHeight="1" x14ac:dyDescent="0.2">
      <c r="A40" s="207" t="s">
        <v>1918</v>
      </c>
      <c r="B40" s="214">
        <f>SUM(C40,E40,G40)</f>
        <v>81171</v>
      </c>
      <c r="C40" s="208"/>
      <c r="D40" s="208"/>
      <c r="E40" s="208">
        <f>E41+E42</f>
        <v>45343</v>
      </c>
      <c r="F40" s="208"/>
      <c r="G40" s="208">
        <f>G41+G42</f>
        <v>35828</v>
      </c>
    </row>
    <row r="41" spans="1:13" ht="16.5" customHeight="1" x14ac:dyDescent="0.2">
      <c r="A41" s="205" t="s">
        <v>900</v>
      </c>
      <c r="B41" s="206">
        <f>SUM(C41,E41,G41)</f>
        <v>72723</v>
      </c>
      <c r="C41" s="206"/>
      <c r="D41" s="206"/>
      <c r="E41" s="206">
        <f>'Biểu 09DT'!C34</f>
        <v>41553</v>
      </c>
      <c r="F41" s="206"/>
      <c r="G41" s="206">
        <v>31170</v>
      </c>
    </row>
    <row r="42" spans="1:13" ht="27.75" customHeight="1" x14ac:dyDescent="0.2">
      <c r="A42" s="205" t="s">
        <v>1908</v>
      </c>
      <c r="B42" s="206">
        <f>SUM(C42,E42,G42)</f>
        <v>8448</v>
      </c>
      <c r="C42" s="206"/>
      <c r="D42" s="206"/>
      <c r="E42" s="206">
        <f>'Biểu 09DT'!C35</f>
        <v>3790</v>
      </c>
      <c r="F42" s="206"/>
      <c r="G42" s="206">
        <f>'Biểu 37'!T7</f>
        <v>4658</v>
      </c>
      <c r="M42" s="198">
        <f>1810</f>
        <v>1810</v>
      </c>
    </row>
    <row r="43" spans="1:13" s="200" customFormat="1" ht="41.25" customHeight="1" x14ac:dyDescent="0.2">
      <c r="A43" s="207" t="s">
        <v>901</v>
      </c>
      <c r="B43" s="208">
        <f t="shared" ref="B43:G43" si="3">B44+B51+B55</f>
        <v>1177931</v>
      </c>
      <c r="C43" s="208">
        <f t="shared" si="3"/>
        <v>134578</v>
      </c>
      <c r="D43" s="208">
        <f t="shared" si="3"/>
        <v>0</v>
      </c>
      <c r="E43" s="208">
        <f t="shared" si="3"/>
        <v>71014</v>
      </c>
      <c r="F43" s="208">
        <f t="shared" si="3"/>
        <v>0</v>
      </c>
      <c r="G43" s="208">
        <f t="shared" si="3"/>
        <v>972339</v>
      </c>
      <c r="H43" s="200">
        <f>B43-C43-E43</f>
        <v>972339</v>
      </c>
      <c r="M43" s="200">
        <v>1000</v>
      </c>
    </row>
    <row r="44" spans="1:13" ht="21" customHeight="1" x14ac:dyDescent="0.2">
      <c r="A44" s="205" t="s">
        <v>902</v>
      </c>
      <c r="B44" s="206">
        <f>G44</f>
        <v>496171</v>
      </c>
      <c r="C44" s="206"/>
      <c r="D44" s="206"/>
      <c r="E44" s="206"/>
      <c r="F44" s="206"/>
      <c r="G44" s="206">
        <f>G45+G48</f>
        <v>496171</v>
      </c>
      <c r="M44" s="198">
        <f>10+10</f>
        <v>20</v>
      </c>
    </row>
    <row r="45" spans="1:13" ht="18.75" customHeight="1" x14ac:dyDescent="0.2">
      <c r="A45" s="205" t="s">
        <v>1511</v>
      </c>
      <c r="B45" s="206">
        <f t="shared" ref="B45:B50" si="4">G45</f>
        <v>283471</v>
      </c>
      <c r="C45" s="206"/>
      <c r="D45" s="206"/>
      <c r="E45" s="206"/>
      <c r="F45" s="206"/>
      <c r="G45" s="206">
        <f>SUM(G46:G47)</f>
        <v>283471</v>
      </c>
      <c r="M45" s="198">
        <v>30</v>
      </c>
    </row>
    <row r="46" spans="1:13" ht="24" customHeight="1" x14ac:dyDescent="0.2">
      <c r="A46" s="205" t="s">
        <v>474</v>
      </c>
      <c r="B46" s="206">
        <f t="shared" si="4"/>
        <v>221397</v>
      </c>
      <c r="C46" s="206"/>
      <c r="D46" s="206"/>
      <c r="E46" s="206"/>
      <c r="F46" s="206"/>
      <c r="G46" s="206">
        <v>221397</v>
      </c>
      <c r="M46" s="198">
        <f>M43+M44+M45</f>
        <v>1050</v>
      </c>
    </row>
    <row r="47" spans="1:13" ht="24" customHeight="1" x14ac:dyDescent="0.2">
      <c r="A47" s="205" t="s">
        <v>475</v>
      </c>
      <c r="B47" s="206">
        <f t="shared" si="4"/>
        <v>62074</v>
      </c>
      <c r="C47" s="206"/>
      <c r="D47" s="206"/>
      <c r="E47" s="206"/>
      <c r="F47" s="206"/>
      <c r="G47" s="206">
        <v>62074</v>
      </c>
      <c r="M47" s="198">
        <f>1240-M46</f>
        <v>190</v>
      </c>
    </row>
    <row r="48" spans="1:13" ht="16.5" customHeight="1" x14ac:dyDescent="0.2">
      <c r="A48" s="205" t="s">
        <v>1512</v>
      </c>
      <c r="B48" s="206">
        <f t="shared" si="4"/>
        <v>212700</v>
      </c>
      <c r="C48" s="206"/>
      <c r="D48" s="206"/>
      <c r="E48" s="206"/>
      <c r="F48" s="206"/>
      <c r="G48" s="206">
        <f>G49+G50</f>
        <v>212700</v>
      </c>
    </row>
    <row r="49" spans="1:9" ht="15.75" customHeight="1" x14ac:dyDescent="0.2">
      <c r="A49" s="205" t="s">
        <v>474</v>
      </c>
      <c r="B49" s="206">
        <f t="shared" si="4"/>
        <v>158200</v>
      </c>
      <c r="C49" s="206"/>
      <c r="D49" s="206"/>
      <c r="E49" s="206"/>
      <c r="F49" s="206"/>
      <c r="G49" s="206">
        <v>158200</v>
      </c>
    </row>
    <row r="50" spans="1:9" ht="15.75" customHeight="1" x14ac:dyDescent="0.2">
      <c r="A50" s="205" t="s">
        <v>475</v>
      </c>
      <c r="B50" s="206">
        <f t="shared" si="4"/>
        <v>54500</v>
      </c>
      <c r="C50" s="206"/>
      <c r="D50" s="206"/>
      <c r="E50" s="206"/>
      <c r="F50" s="206"/>
      <c r="G50" s="206">
        <v>54500</v>
      </c>
    </row>
    <row r="51" spans="1:9" ht="18" customHeight="1" x14ac:dyDescent="0.2">
      <c r="A51" s="205" t="s">
        <v>931</v>
      </c>
      <c r="B51" s="206">
        <f>B52+B53+B54</f>
        <v>410729</v>
      </c>
      <c r="C51" s="206"/>
      <c r="D51" s="206"/>
      <c r="E51" s="206"/>
      <c r="F51" s="206"/>
      <c r="G51" s="206">
        <f>G52+G53+G54</f>
        <v>410729</v>
      </c>
    </row>
    <row r="52" spans="1:9" ht="14.25" customHeight="1" x14ac:dyDescent="0.2">
      <c r="A52" s="215" t="s">
        <v>909</v>
      </c>
      <c r="B52" s="216">
        <f>G52</f>
        <v>270670</v>
      </c>
      <c r="C52" s="216"/>
      <c r="D52" s="216"/>
      <c r="E52" s="216"/>
      <c r="F52" s="216"/>
      <c r="G52" s="206">
        <v>270670</v>
      </c>
    </row>
    <row r="53" spans="1:9" ht="14.25" customHeight="1" x14ac:dyDescent="0.2">
      <c r="A53" s="215" t="s">
        <v>910</v>
      </c>
      <c r="B53" s="216">
        <f t="shared" ref="B53:B54" si="5">G53</f>
        <v>35659</v>
      </c>
      <c r="C53" s="216"/>
      <c r="D53" s="216"/>
      <c r="E53" s="216"/>
      <c r="F53" s="216"/>
      <c r="G53" s="216">
        <v>35659</v>
      </c>
    </row>
    <row r="54" spans="1:9" ht="14.25" customHeight="1" x14ac:dyDescent="0.2">
      <c r="A54" s="205" t="s">
        <v>911</v>
      </c>
      <c r="B54" s="206">
        <f t="shared" si="5"/>
        <v>104400</v>
      </c>
      <c r="C54" s="206"/>
      <c r="D54" s="206"/>
      <c r="E54" s="206"/>
      <c r="F54" s="206"/>
      <c r="G54" s="206">
        <v>104400</v>
      </c>
    </row>
    <row r="55" spans="1:9" ht="29.25" customHeight="1" x14ac:dyDescent="0.2">
      <c r="A55" s="215" t="s">
        <v>932</v>
      </c>
      <c r="B55" s="216">
        <f>C55+E55+G55</f>
        <v>271031</v>
      </c>
      <c r="C55" s="216">
        <f>1240+700+5940+560+614+280+1642+3100+2530+550+3441+1521+4931+324+5790+2028+49565+6655+440+1310+646+26088+1000+400+4640+760+3000+3200+1683</f>
        <v>134578</v>
      </c>
      <c r="D55" s="216"/>
      <c r="E55" s="216">
        <f>32876+27716+996+4600+4256+570</f>
        <v>71014</v>
      </c>
      <c r="F55" s="216"/>
      <c r="G55" s="216">
        <f>'Biểu 07 DT'!E6</f>
        <v>65439</v>
      </c>
      <c r="H55" s="198">
        <v>70549</v>
      </c>
      <c r="I55" s="198">
        <v>67249</v>
      </c>
    </row>
    <row r="56" spans="1:9" s="199" customFormat="1" ht="18" customHeight="1" x14ac:dyDescent="0.2">
      <c r="A56" s="207" t="s">
        <v>912</v>
      </c>
      <c r="B56" s="217">
        <f>17300-630</f>
        <v>16670</v>
      </c>
      <c r="C56" s="208"/>
      <c r="D56" s="208"/>
      <c r="E56" s="208"/>
      <c r="F56" s="208"/>
      <c r="G56" s="208"/>
      <c r="H56" s="199">
        <f>H55-E55</f>
        <v>-465</v>
      </c>
    </row>
    <row r="57" spans="1:9" s="199" customFormat="1" ht="18" customHeight="1" x14ac:dyDescent="0.2">
      <c r="A57" s="207" t="s">
        <v>913</v>
      </c>
      <c r="B57" s="217">
        <f>32700+630</f>
        <v>33330</v>
      </c>
      <c r="C57" s="208"/>
      <c r="D57" s="208"/>
      <c r="E57" s="208"/>
      <c r="F57" s="208"/>
      <c r="G57" s="208"/>
      <c r="H57" s="199">
        <f>C55+E55</f>
        <v>205592</v>
      </c>
    </row>
    <row r="58" spans="1:9" s="199" customFormat="1" ht="15" hidden="1" customHeight="1" x14ac:dyDescent="0.2">
      <c r="A58" s="195" t="s">
        <v>914</v>
      </c>
      <c r="B58" s="217" t="e">
        <f>#REF!</f>
        <v>#REF!</v>
      </c>
      <c r="C58" s="208"/>
      <c r="D58" s="208"/>
      <c r="E58" s="208"/>
      <c r="F58" s="208"/>
      <c r="G58" s="208"/>
    </row>
    <row r="59" spans="1:9" ht="18" customHeight="1" x14ac:dyDescent="0.2">
      <c r="A59" s="207" t="s">
        <v>935</v>
      </c>
      <c r="B59" s="217">
        <f>B60</f>
        <v>50000</v>
      </c>
      <c r="C59" s="206"/>
      <c r="D59" s="206"/>
      <c r="E59" s="206"/>
      <c r="F59" s="206"/>
      <c r="G59" s="206"/>
      <c r="H59" s="198">
        <f>'Biểu 07 DT'!D6</f>
        <v>205592</v>
      </c>
    </row>
    <row r="60" spans="1:9" ht="18" customHeight="1" x14ac:dyDescent="0.2">
      <c r="A60" s="218" t="s">
        <v>258</v>
      </c>
      <c r="B60" s="219">
        <v>50000</v>
      </c>
      <c r="C60" s="219"/>
      <c r="D60" s="219"/>
      <c r="E60" s="219"/>
      <c r="F60" s="219"/>
      <c r="G60" s="219"/>
      <c r="H60" s="198">
        <f>H59-H57</f>
        <v>0</v>
      </c>
    </row>
    <row r="61" spans="1:9" ht="19.5" customHeight="1" x14ac:dyDescent="0.2">
      <c r="A61" s="201" t="s">
        <v>903</v>
      </c>
      <c r="B61" s="201"/>
      <c r="C61" s="201"/>
      <c r="D61" s="201"/>
      <c r="E61" s="201"/>
      <c r="F61" s="201"/>
    </row>
    <row r="62" spans="1:9" ht="15.75" customHeight="1" x14ac:dyDescent="0.15">
      <c r="A62" s="2219" t="s">
        <v>2353</v>
      </c>
      <c r="B62" s="2219"/>
      <c r="C62" s="2219"/>
      <c r="D62" s="2219"/>
      <c r="E62" s="2219"/>
      <c r="F62" s="2219"/>
      <c r="G62" s="2219"/>
    </row>
    <row r="63" spans="1:9" ht="15.75" customHeight="1" x14ac:dyDescent="0.2">
      <c r="A63" s="201" t="s">
        <v>1173</v>
      </c>
      <c r="B63" s="201"/>
      <c r="C63" s="201"/>
      <c r="D63" s="201"/>
      <c r="E63" s="201"/>
      <c r="F63" s="201"/>
    </row>
    <row r="64" spans="1:9" ht="27.75" customHeight="1" x14ac:dyDescent="0.2">
      <c r="A64" s="2221" t="s">
        <v>1172</v>
      </c>
      <c r="B64" s="2221"/>
      <c r="C64" s="2221"/>
      <c r="D64" s="2221"/>
      <c r="E64" s="2221"/>
      <c r="F64" s="2221"/>
      <c r="G64" s="2221"/>
    </row>
    <row r="65" spans="1:7" ht="32.25" customHeight="1" x14ac:dyDescent="0.15">
      <c r="A65" s="2219" t="s">
        <v>1174</v>
      </c>
      <c r="B65" s="2219"/>
      <c r="C65" s="2219"/>
      <c r="D65" s="2219"/>
      <c r="E65" s="2219"/>
      <c r="F65" s="2219"/>
      <c r="G65" s="2219"/>
    </row>
    <row r="66" spans="1:7" x14ac:dyDescent="0.2">
      <c r="A66" s="201" t="s">
        <v>1219</v>
      </c>
      <c r="B66" s="201"/>
      <c r="C66" s="201"/>
      <c r="D66" s="201"/>
      <c r="E66" s="201"/>
      <c r="F66" s="201"/>
    </row>
    <row r="67" spans="1:7" x14ac:dyDescent="0.2">
      <c r="A67" s="201"/>
      <c r="B67" s="201"/>
      <c r="C67" s="201"/>
      <c r="D67" s="201"/>
      <c r="E67" s="201"/>
      <c r="F67" s="201"/>
    </row>
    <row r="68" spans="1:7" x14ac:dyDescent="0.2">
      <c r="A68" s="201"/>
      <c r="B68" s="201"/>
      <c r="C68" s="201"/>
      <c r="D68" s="201"/>
      <c r="E68" s="201"/>
      <c r="F68" s="201"/>
    </row>
    <row r="69" spans="1:7" x14ac:dyDescent="0.2">
      <c r="A69" s="201"/>
      <c r="B69" s="201"/>
      <c r="C69" s="201"/>
      <c r="D69" s="201"/>
      <c r="E69" s="201"/>
      <c r="F69" s="201"/>
    </row>
    <row r="70" spans="1:7" x14ac:dyDescent="0.2">
      <c r="A70" s="201"/>
      <c r="B70" s="201"/>
      <c r="C70" s="201"/>
      <c r="D70" s="201"/>
      <c r="E70" s="201"/>
      <c r="F70" s="201"/>
    </row>
  </sheetData>
  <mergeCells count="13">
    <mergeCell ref="A1:G1"/>
    <mergeCell ref="A2:G2"/>
    <mergeCell ref="E3:G3"/>
    <mergeCell ref="A4:A6"/>
    <mergeCell ref="B4:B6"/>
    <mergeCell ref="C4:G4"/>
    <mergeCell ref="C5:C6"/>
    <mergeCell ref="E5:E6"/>
    <mergeCell ref="A65:G65"/>
    <mergeCell ref="J26:K26"/>
    <mergeCell ref="A64:G64"/>
    <mergeCell ref="G5:G6"/>
    <mergeCell ref="A62:G62"/>
  </mergeCells>
  <pageMargins left="0.88" right="0.25" top="0.85" bottom="0.75" header="0.57999999999999996" footer="0.3"/>
  <pageSetup paperSize="9" firstPageNumber="6" orientation="portrait" useFirstPageNumber="1" r:id="rId1"/>
  <headerFooter>
    <oddHeader>&amp;RBiểu số 06 DT</oddHeader>
    <oddFooter>&amp;C&amp;P</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0"/>
  <sheetViews>
    <sheetView workbookViewId="0">
      <pane xSplit="2" ySplit="3" topLeftCell="C19" activePane="bottomRight" state="frozen"/>
      <selection pane="topRight" activeCell="C1" sqref="C1"/>
      <selection pane="bottomLeft" activeCell="A2" sqref="A2"/>
      <selection pane="bottomRight" activeCell="C14" sqref="C14"/>
    </sheetView>
  </sheetViews>
  <sheetFormatPr defaultRowHeight="15.75" x14ac:dyDescent="0.25"/>
  <cols>
    <col min="1" max="1" width="7.75" style="1669" customWidth="1"/>
    <col min="2" max="2" width="35.625" style="88" customWidth="1"/>
    <col min="3" max="16384" width="9" style="88"/>
  </cols>
  <sheetData>
    <row r="1" spans="1:3" ht="39" customHeight="1" x14ac:dyDescent="0.25">
      <c r="A1" s="2233" t="s">
        <v>2350</v>
      </c>
      <c r="B1" s="2233"/>
      <c r="C1" s="2233"/>
    </row>
    <row r="2" spans="1:3" ht="18.75" customHeight="1" x14ac:dyDescent="0.25">
      <c r="A2" s="1673"/>
      <c r="B2" s="1673"/>
      <c r="C2" s="1674" t="s">
        <v>2351</v>
      </c>
    </row>
    <row r="3" spans="1:3" s="1669" customFormat="1" ht="24.75" customHeight="1" x14ac:dyDescent="0.25">
      <c r="A3" s="1684" t="s">
        <v>0</v>
      </c>
      <c r="B3" s="1684" t="s">
        <v>1</v>
      </c>
      <c r="C3" s="1684" t="s">
        <v>2329</v>
      </c>
    </row>
    <row r="4" spans="1:3" s="1669" customFormat="1" ht="24.75" customHeight="1" x14ac:dyDescent="0.25">
      <c r="A4" s="1675"/>
      <c r="B4" s="1675"/>
      <c r="C4" s="1676">
        <f>C7+C46</f>
        <v>1810</v>
      </c>
    </row>
    <row r="5" spans="1:3" s="1669" customFormat="1" ht="19.5" customHeight="1" x14ac:dyDescent="0.25">
      <c r="A5" s="1677"/>
      <c r="B5" s="1677" t="str">
        <f>B9</f>
        <v>Phòng chống tội phạm</v>
      </c>
      <c r="C5" s="1678">
        <f>C9+C12+C15+C17+C19+C21+C48+C51+C54+C57+C60+C63+C66+C69</f>
        <v>600</v>
      </c>
    </row>
    <row r="6" spans="1:3" s="1669" customFormat="1" ht="19.5" customHeight="1" x14ac:dyDescent="0.25">
      <c r="A6" s="1677"/>
      <c r="B6" s="1677" t="str">
        <f>B10</f>
        <v>Phòng chống ma túy</v>
      </c>
      <c r="C6" s="1678">
        <f>C10+C13+C25+C27+C29+C31+C33+C35+C37+C39+C41+C43+C45+C49+C52+C55+C58+C61+C64+C67+C70+C23</f>
        <v>1210</v>
      </c>
    </row>
    <row r="7" spans="1:3" s="1670" customFormat="1" ht="21" customHeight="1" x14ac:dyDescent="0.25">
      <c r="A7" s="1679" t="s">
        <v>9</v>
      </c>
      <c r="B7" s="1679" t="s">
        <v>512</v>
      </c>
      <c r="C7" s="1678">
        <f>C8+C11+C14+C16+C18+C20+C22+C24+C26+C28+C30+C32+C34+C36+C38+C40+C42+C44</f>
        <v>1240</v>
      </c>
    </row>
    <row r="8" spans="1:3" s="99" customFormat="1" ht="21.75" customHeight="1" x14ac:dyDescent="0.25">
      <c r="A8" s="1679">
        <v>1</v>
      </c>
      <c r="B8" s="1680" t="s">
        <v>1505</v>
      </c>
      <c r="C8" s="1680">
        <f>C9+C10</f>
        <v>1000</v>
      </c>
    </row>
    <row r="9" spans="1:3" x14ac:dyDescent="0.25">
      <c r="A9" s="1677"/>
      <c r="B9" s="1681" t="s">
        <v>2330</v>
      </c>
      <c r="C9" s="1681">
        <f>170+200</f>
        <v>370</v>
      </c>
    </row>
    <row r="10" spans="1:3" x14ac:dyDescent="0.25">
      <c r="A10" s="1677"/>
      <c r="B10" s="1681" t="s">
        <v>2331</v>
      </c>
      <c r="C10" s="1681">
        <f>50+380+40+160</f>
        <v>630</v>
      </c>
    </row>
    <row r="11" spans="1:3" s="99" customFormat="1" x14ac:dyDescent="0.25">
      <c r="A11" s="1679">
        <v>2</v>
      </c>
      <c r="B11" s="1680" t="s">
        <v>2332</v>
      </c>
      <c r="C11" s="1680">
        <f>C12+C13</f>
        <v>35</v>
      </c>
    </row>
    <row r="12" spans="1:3" x14ac:dyDescent="0.25">
      <c r="A12" s="1677"/>
      <c r="B12" s="1681" t="str">
        <f>B9</f>
        <v>Phòng chống tội phạm</v>
      </c>
      <c r="C12" s="1681">
        <v>10</v>
      </c>
    </row>
    <row r="13" spans="1:3" x14ac:dyDescent="0.25">
      <c r="A13" s="1677"/>
      <c r="B13" s="1681" t="str">
        <f>B10</f>
        <v>Phòng chống ma túy</v>
      </c>
      <c r="C13" s="1681">
        <v>25</v>
      </c>
    </row>
    <row r="14" spans="1:3" s="99" customFormat="1" x14ac:dyDescent="0.25">
      <c r="A14" s="1679">
        <v>3</v>
      </c>
      <c r="B14" s="1680" t="s">
        <v>610</v>
      </c>
      <c r="C14" s="1680">
        <f>C15</f>
        <v>10</v>
      </c>
    </row>
    <row r="15" spans="1:3" x14ac:dyDescent="0.25">
      <c r="A15" s="1677"/>
      <c r="B15" s="1681" t="str">
        <f>B12</f>
        <v>Phòng chống tội phạm</v>
      </c>
      <c r="C15" s="1681">
        <v>10</v>
      </c>
    </row>
    <row r="16" spans="1:3" s="99" customFormat="1" x14ac:dyDescent="0.25">
      <c r="A16" s="1679">
        <v>4</v>
      </c>
      <c r="B16" s="1680" t="s">
        <v>2333</v>
      </c>
      <c r="C16" s="1680">
        <f>C17</f>
        <v>10</v>
      </c>
    </row>
    <row r="17" spans="1:3" x14ac:dyDescent="0.25">
      <c r="A17" s="1677"/>
      <c r="B17" s="1681" t="str">
        <f>B15</f>
        <v>Phòng chống tội phạm</v>
      </c>
      <c r="C17" s="1681">
        <v>10</v>
      </c>
    </row>
    <row r="18" spans="1:3" s="99" customFormat="1" x14ac:dyDescent="0.25">
      <c r="A18" s="1679">
        <v>5</v>
      </c>
      <c r="B18" s="1680" t="s">
        <v>2334</v>
      </c>
      <c r="C18" s="1680">
        <f>C19</f>
        <v>10</v>
      </c>
    </row>
    <row r="19" spans="1:3" x14ac:dyDescent="0.25">
      <c r="A19" s="1677"/>
      <c r="B19" s="1681" t="str">
        <f>B17</f>
        <v>Phòng chống tội phạm</v>
      </c>
      <c r="C19" s="1681">
        <v>10</v>
      </c>
    </row>
    <row r="20" spans="1:3" s="99" customFormat="1" x14ac:dyDescent="0.25">
      <c r="A20" s="1679">
        <v>6</v>
      </c>
      <c r="B20" s="1680" t="s">
        <v>2335</v>
      </c>
      <c r="C20" s="1680">
        <f>C21</f>
        <v>10</v>
      </c>
    </row>
    <row r="21" spans="1:3" x14ac:dyDescent="0.25">
      <c r="A21" s="1677"/>
      <c r="B21" s="1681" t="str">
        <f>B19</f>
        <v>Phòng chống tội phạm</v>
      </c>
      <c r="C21" s="1681">
        <v>10</v>
      </c>
    </row>
    <row r="22" spans="1:3" s="99" customFormat="1" x14ac:dyDescent="0.25">
      <c r="A22" s="1679">
        <v>7</v>
      </c>
      <c r="B22" s="1680" t="s">
        <v>936</v>
      </c>
      <c r="C22" s="1680">
        <f>C23</f>
        <v>10</v>
      </c>
    </row>
    <row r="23" spans="1:3" x14ac:dyDescent="0.25">
      <c r="A23" s="1677"/>
      <c r="B23" s="1681" t="str">
        <f>B10</f>
        <v>Phòng chống ma túy</v>
      </c>
      <c r="C23" s="1681">
        <v>10</v>
      </c>
    </row>
    <row r="24" spans="1:3" s="99" customFormat="1" x14ac:dyDescent="0.25">
      <c r="A24" s="1679">
        <v>8</v>
      </c>
      <c r="B24" s="1680" t="s">
        <v>2336</v>
      </c>
      <c r="C24" s="1680">
        <f>C25</f>
        <v>10</v>
      </c>
    </row>
    <row r="25" spans="1:3" x14ac:dyDescent="0.25">
      <c r="A25" s="1677"/>
      <c r="B25" s="1681" t="str">
        <f>B23</f>
        <v>Phòng chống ma túy</v>
      </c>
      <c r="C25" s="1681">
        <v>10</v>
      </c>
    </row>
    <row r="26" spans="1:3" s="99" customFormat="1" x14ac:dyDescent="0.25">
      <c r="A26" s="1679">
        <v>9</v>
      </c>
      <c r="B26" s="1680" t="s">
        <v>188</v>
      </c>
      <c r="C26" s="1680">
        <f>C27</f>
        <v>10</v>
      </c>
    </row>
    <row r="27" spans="1:3" x14ac:dyDescent="0.25">
      <c r="A27" s="1677"/>
      <c r="B27" s="1681" t="str">
        <f>B25</f>
        <v>Phòng chống ma túy</v>
      </c>
      <c r="C27" s="1681">
        <v>10</v>
      </c>
    </row>
    <row r="28" spans="1:3" s="99" customFormat="1" x14ac:dyDescent="0.25">
      <c r="A28" s="1679">
        <v>10</v>
      </c>
      <c r="B28" s="1680" t="s">
        <v>2337</v>
      </c>
      <c r="C28" s="1680">
        <f>C29</f>
        <v>10</v>
      </c>
    </row>
    <row r="29" spans="1:3" x14ac:dyDescent="0.25">
      <c r="A29" s="1677"/>
      <c r="B29" s="1681" t="str">
        <f>B27</f>
        <v>Phòng chống ma túy</v>
      </c>
      <c r="C29" s="1681">
        <v>10</v>
      </c>
    </row>
    <row r="30" spans="1:3" s="99" customFormat="1" x14ac:dyDescent="0.25">
      <c r="A30" s="1679">
        <v>11</v>
      </c>
      <c r="B30" s="1680" t="s">
        <v>2339</v>
      </c>
      <c r="C30" s="1680">
        <f>C31</f>
        <v>20</v>
      </c>
    </row>
    <row r="31" spans="1:3" x14ac:dyDescent="0.25">
      <c r="A31" s="1677"/>
      <c r="B31" s="1681" t="str">
        <f>B29</f>
        <v>Phòng chống ma túy</v>
      </c>
      <c r="C31" s="1681">
        <f>10+10</f>
        <v>20</v>
      </c>
    </row>
    <row r="32" spans="1:3" s="99" customFormat="1" x14ac:dyDescent="0.25">
      <c r="A32" s="1679">
        <v>12</v>
      </c>
      <c r="B32" s="1680" t="s">
        <v>2338</v>
      </c>
      <c r="C32" s="1680">
        <f>C33</f>
        <v>30</v>
      </c>
    </row>
    <row r="33" spans="1:3" x14ac:dyDescent="0.25">
      <c r="A33" s="1677"/>
      <c r="B33" s="1681" t="str">
        <f>B31</f>
        <v>Phòng chống ma túy</v>
      </c>
      <c r="C33" s="1681">
        <v>30</v>
      </c>
    </row>
    <row r="34" spans="1:3" s="99" customFormat="1" x14ac:dyDescent="0.25">
      <c r="A34" s="1679">
        <v>13</v>
      </c>
      <c r="B34" s="1680" t="s">
        <v>172</v>
      </c>
      <c r="C34" s="1680">
        <f>C35</f>
        <v>25</v>
      </c>
    </row>
    <row r="35" spans="1:3" x14ac:dyDescent="0.25">
      <c r="A35" s="1677"/>
      <c r="B35" s="1681" t="str">
        <f>B33</f>
        <v>Phòng chống ma túy</v>
      </c>
      <c r="C35" s="1681">
        <v>25</v>
      </c>
    </row>
    <row r="36" spans="1:3" s="99" customFormat="1" x14ac:dyDescent="0.25">
      <c r="A36" s="1679">
        <v>14</v>
      </c>
      <c r="B36" s="1680" t="s">
        <v>1500</v>
      </c>
      <c r="C36" s="1680">
        <f>C37</f>
        <v>10</v>
      </c>
    </row>
    <row r="37" spans="1:3" x14ac:dyDescent="0.25">
      <c r="A37" s="1677"/>
      <c r="B37" s="1681" t="str">
        <f>B35</f>
        <v>Phòng chống ma túy</v>
      </c>
      <c r="C37" s="1681">
        <v>10</v>
      </c>
    </row>
    <row r="38" spans="1:3" s="99" customFormat="1" x14ac:dyDescent="0.25">
      <c r="A38" s="1679">
        <v>15</v>
      </c>
      <c r="B38" s="1680" t="s">
        <v>2340</v>
      </c>
      <c r="C38" s="1680">
        <f>C39</f>
        <v>10</v>
      </c>
    </row>
    <row r="39" spans="1:3" x14ac:dyDescent="0.25">
      <c r="A39" s="1677"/>
      <c r="B39" s="1681" t="str">
        <f>B37</f>
        <v>Phòng chống ma túy</v>
      </c>
      <c r="C39" s="1681">
        <v>10</v>
      </c>
    </row>
    <row r="40" spans="1:3" s="99" customFormat="1" x14ac:dyDescent="0.25">
      <c r="A40" s="1679">
        <v>16</v>
      </c>
      <c r="B40" s="1680" t="s">
        <v>2341</v>
      </c>
      <c r="C40" s="1680">
        <f>C41</f>
        <v>10</v>
      </c>
    </row>
    <row r="41" spans="1:3" x14ac:dyDescent="0.25">
      <c r="A41" s="1677"/>
      <c r="B41" s="1681" t="str">
        <f>B39</f>
        <v>Phòng chống ma túy</v>
      </c>
      <c r="C41" s="1681">
        <v>10</v>
      </c>
    </row>
    <row r="42" spans="1:3" s="99" customFormat="1" x14ac:dyDescent="0.25">
      <c r="A42" s="1679">
        <v>17</v>
      </c>
      <c r="B42" s="1680" t="s">
        <v>2342</v>
      </c>
      <c r="C42" s="1680">
        <f>C43</f>
        <v>10</v>
      </c>
    </row>
    <row r="43" spans="1:3" x14ac:dyDescent="0.25">
      <c r="A43" s="1677"/>
      <c r="B43" s="1681" t="str">
        <f>B41</f>
        <v>Phòng chống ma túy</v>
      </c>
      <c r="C43" s="1681">
        <v>10</v>
      </c>
    </row>
    <row r="44" spans="1:3" s="99" customFormat="1" x14ac:dyDescent="0.25">
      <c r="A44" s="1679">
        <v>18</v>
      </c>
      <c r="B44" s="1680" t="s">
        <v>2343</v>
      </c>
      <c r="C44" s="1680">
        <f>C45</f>
        <v>10</v>
      </c>
    </row>
    <row r="45" spans="1:3" x14ac:dyDescent="0.25">
      <c r="A45" s="1677"/>
      <c r="B45" s="1681" t="str">
        <f>B43</f>
        <v>Phòng chống ma túy</v>
      </c>
      <c r="C45" s="1681">
        <v>10</v>
      </c>
    </row>
    <row r="46" spans="1:3" s="99" customFormat="1" ht="20.25" customHeight="1" x14ac:dyDescent="0.25">
      <c r="A46" s="1679" t="s">
        <v>11</v>
      </c>
      <c r="B46" s="1680" t="s">
        <v>493</v>
      </c>
      <c r="C46" s="1680">
        <f>C47+C50+C53+C56+C59+C62+C65+C68</f>
        <v>570</v>
      </c>
    </row>
    <row r="47" spans="1:3" s="99" customFormat="1" x14ac:dyDescent="0.25">
      <c r="A47" s="1679">
        <v>1</v>
      </c>
      <c r="B47" s="1680" t="s">
        <v>2344</v>
      </c>
      <c r="C47" s="1680">
        <f>SUM(C48:C49)</f>
        <v>80</v>
      </c>
    </row>
    <row r="48" spans="1:3" x14ac:dyDescent="0.25">
      <c r="A48" s="1677"/>
      <c r="B48" s="1681" t="str">
        <f>B9</f>
        <v>Phòng chống tội phạm</v>
      </c>
      <c r="C48" s="1681">
        <v>30</v>
      </c>
    </row>
    <row r="49" spans="1:3" x14ac:dyDescent="0.25">
      <c r="A49" s="1677"/>
      <c r="B49" s="1681" t="str">
        <f>B10</f>
        <v>Phòng chống ma túy</v>
      </c>
      <c r="C49" s="1681">
        <v>50</v>
      </c>
    </row>
    <row r="50" spans="1:3" s="99" customFormat="1" x14ac:dyDescent="0.25">
      <c r="A50" s="1679">
        <v>2</v>
      </c>
      <c r="B50" s="1680" t="s">
        <v>149</v>
      </c>
      <c r="C50" s="1680">
        <f>SUM(C51:C52)</f>
        <v>70</v>
      </c>
    </row>
    <row r="51" spans="1:3" x14ac:dyDescent="0.25">
      <c r="A51" s="1677"/>
      <c r="B51" s="1681" t="str">
        <f>B48</f>
        <v>Phòng chống tội phạm</v>
      </c>
      <c r="C51" s="1681">
        <v>20</v>
      </c>
    </row>
    <row r="52" spans="1:3" x14ac:dyDescent="0.25">
      <c r="A52" s="1677"/>
      <c r="B52" s="1681" t="str">
        <f>B49</f>
        <v>Phòng chống ma túy</v>
      </c>
      <c r="C52" s="1681">
        <v>50</v>
      </c>
    </row>
    <row r="53" spans="1:3" s="99" customFormat="1" x14ac:dyDescent="0.25">
      <c r="A53" s="1679">
        <v>3</v>
      </c>
      <c r="B53" s="1680" t="s">
        <v>2345</v>
      </c>
      <c r="C53" s="1680">
        <f>SUM(C54:C55)</f>
        <v>70</v>
      </c>
    </row>
    <row r="54" spans="1:3" x14ac:dyDescent="0.25">
      <c r="A54" s="1677"/>
      <c r="B54" s="1681" t="str">
        <f>B51</f>
        <v>Phòng chống tội phạm</v>
      </c>
      <c r="C54" s="1681">
        <v>20</v>
      </c>
    </row>
    <row r="55" spans="1:3" x14ac:dyDescent="0.25">
      <c r="A55" s="1677"/>
      <c r="B55" s="1681" t="str">
        <f>B52</f>
        <v>Phòng chống ma túy</v>
      </c>
      <c r="C55" s="1681">
        <v>50</v>
      </c>
    </row>
    <row r="56" spans="1:3" s="99" customFormat="1" x14ac:dyDescent="0.25">
      <c r="A56" s="1679">
        <v>4</v>
      </c>
      <c r="B56" s="1680" t="s">
        <v>2346</v>
      </c>
      <c r="C56" s="1680">
        <f>SUM(C57:C58)</f>
        <v>80</v>
      </c>
    </row>
    <row r="57" spans="1:3" x14ac:dyDescent="0.25">
      <c r="A57" s="1677"/>
      <c r="B57" s="1681" t="str">
        <f>B54</f>
        <v>Phòng chống tội phạm</v>
      </c>
      <c r="C57" s="1681">
        <v>30</v>
      </c>
    </row>
    <row r="58" spans="1:3" x14ac:dyDescent="0.25">
      <c r="A58" s="1677"/>
      <c r="B58" s="1681" t="str">
        <f>B55</f>
        <v>Phòng chống ma túy</v>
      </c>
      <c r="C58" s="1681">
        <v>50</v>
      </c>
    </row>
    <row r="59" spans="1:3" s="99" customFormat="1" x14ac:dyDescent="0.25">
      <c r="A59" s="1679">
        <v>5</v>
      </c>
      <c r="B59" s="1680" t="s">
        <v>152</v>
      </c>
      <c r="C59" s="1680">
        <f>SUM(C60:C61)</f>
        <v>70</v>
      </c>
    </row>
    <row r="60" spans="1:3" x14ac:dyDescent="0.25">
      <c r="A60" s="1677"/>
      <c r="B60" s="1681" t="str">
        <f>B57</f>
        <v>Phòng chống tội phạm</v>
      </c>
      <c r="C60" s="1681">
        <v>20</v>
      </c>
    </row>
    <row r="61" spans="1:3" x14ac:dyDescent="0.25">
      <c r="A61" s="1677"/>
      <c r="B61" s="1681" t="str">
        <f>B58</f>
        <v>Phòng chống ma túy</v>
      </c>
      <c r="C61" s="1681">
        <v>50</v>
      </c>
    </row>
    <row r="62" spans="1:3" s="99" customFormat="1" x14ac:dyDescent="0.25">
      <c r="A62" s="1679">
        <v>6</v>
      </c>
      <c r="B62" s="1680" t="s">
        <v>153</v>
      </c>
      <c r="C62" s="1680">
        <f>SUM(C63:C64)</f>
        <v>70</v>
      </c>
    </row>
    <row r="63" spans="1:3" x14ac:dyDescent="0.25">
      <c r="A63" s="1677"/>
      <c r="B63" s="1681" t="str">
        <f>B60</f>
        <v>Phòng chống tội phạm</v>
      </c>
      <c r="C63" s="1681">
        <v>20</v>
      </c>
    </row>
    <row r="64" spans="1:3" x14ac:dyDescent="0.25">
      <c r="A64" s="1677"/>
      <c r="B64" s="1681" t="str">
        <f>B61</f>
        <v>Phòng chống ma túy</v>
      </c>
      <c r="C64" s="1681">
        <v>50</v>
      </c>
    </row>
    <row r="65" spans="1:3" s="99" customFormat="1" x14ac:dyDescent="0.25">
      <c r="A65" s="1679">
        <v>7</v>
      </c>
      <c r="B65" s="1680" t="s">
        <v>154</v>
      </c>
      <c r="C65" s="1680">
        <f>SUM(C66:C67)</f>
        <v>70</v>
      </c>
    </row>
    <row r="66" spans="1:3" x14ac:dyDescent="0.25">
      <c r="A66" s="1677"/>
      <c r="B66" s="1681" t="str">
        <f>B63</f>
        <v>Phòng chống tội phạm</v>
      </c>
      <c r="C66" s="1681">
        <v>20</v>
      </c>
    </row>
    <row r="67" spans="1:3" x14ac:dyDescent="0.25">
      <c r="A67" s="1677"/>
      <c r="B67" s="1681" t="str">
        <f>B64</f>
        <v>Phòng chống ma túy</v>
      </c>
      <c r="C67" s="1681">
        <v>50</v>
      </c>
    </row>
    <row r="68" spans="1:3" s="99" customFormat="1" x14ac:dyDescent="0.25">
      <c r="A68" s="1679">
        <v>8</v>
      </c>
      <c r="B68" s="1680" t="s">
        <v>155</v>
      </c>
      <c r="C68" s="1680">
        <f>SUM(C69:C70)</f>
        <v>60</v>
      </c>
    </row>
    <row r="69" spans="1:3" x14ac:dyDescent="0.25">
      <c r="A69" s="1677"/>
      <c r="B69" s="1681" t="str">
        <f>B66</f>
        <v>Phòng chống tội phạm</v>
      </c>
      <c r="C69" s="1681">
        <v>20</v>
      </c>
    </row>
    <row r="70" spans="1:3" x14ac:dyDescent="0.25">
      <c r="A70" s="1682"/>
      <c r="B70" s="1683" t="str">
        <f>B67</f>
        <v>Phòng chống ma túy</v>
      </c>
      <c r="C70" s="1683">
        <v>40</v>
      </c>
    </row>
  </sheetData>
  <mergeCells count="1">
    <mergeCell ref="A1:C1"/>
  </mergeCells>
  <pageMargins left="2.04" right="0.7" top="0.75" bottom="0.75" header="0.3" footer="0.3"/>
  <pageSetup paperSize="9"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71"/>
  <sheetViews>
    <sheetView topLeftCell="A5" workbookViewId="0">
      <pane xSplit="4" ySplit="5" topLeftCell="E19" activePane="bottomRight" state="frozen"/>
      <selection activeCell="A5" sqref="A5"/>
      <selection pane="topRight" activeCell="E5" sqref="E5"/>
      <selection pane="bottomLeft" activeCell="A10" sqref="A10"/>
      <selection pane="bottomRight" activeCell="G33" sqref="G33"/>
    </sheetView>
  </sheetViews>
  <sheetFormatPr defaultColWidth="10" defaultRowHeight="18.75" x14ac:dyDescent="0.3"/>
  <cols>
    <col min="1" max="1" width="6" style="926" customWidth="1"/>
    <col min="2" max="2" width="32" style="222" customWidth="1"/>
    <col min="3" max="4" width="9.25" style="222" customWidth="1"/>
    <col min="5" max="5" width="9.25" style="928" customWidth="1"/>
    <col min="6" max="11" width="9.25" style="947" customWidth="1"/>
    <col min="12" max="21" width="8.625" style="222" customWidth="1"/>
    <col min="22" max="31" width="7.375" style="222" customWidth="1"/>
    <col min="32" max="36" width="8.625" style="222" customWidth="1"/>
    <col min="37" max="56" width="7.375" style="222" customWidth="1"/>
    <col min="57" max="16384" width="10" style="222"/>
  </cols>
  <sheetData>
    <row r="1" spans="1:59" x14ac:dyDescent="0.3">
      <c r="A1" s="861" t="s">
        <v>1524</v>
      </c>
      <c r="B1" s="862"/>
      <c r="E1" s="863"/>
      <c r="F1" s="929"/>
      <c r="G1" s="929"/>
      <c r="H1" s="929"/>
      <c r="I1" s="929"/>
      <c r="J1" s="929"/>
      <c r="K1" s="929"/>
    </row>
    <row r="2" spans="1:59" x14ac:dyDescent="0.3">
      <c r="A2" s="861" t="s">
        <v>1525</v>
      </c>
      <c r="B2" s="862"/>
      <c r="E2" s="863"/>
      <c r="F2" s="929"/>
      <c r="G2" s="929"/>
      <c r="H2" s="929"/>
      <c r="I2" s="929"/>
      <c r="J2" s="929"/>
      <c r="K2" s="929"/>
    </row>
    <row r="3" spans="1:59" ht="27" x14ac:dyDescent="0.35">
      <c r="A3" s="2239" t="s">
        <v>1526</v>
      </c>
      <c r="B3" s="2239"/>
      <c r="C3" s="2239"/>
      <c r="D3" s="2239"/>
      <c r="E3" s="2239"/>
      <c r="F3" s="2239"/>
      <c r="G3" s="2239"/>
      <c r="H3" s="2239"/>
      <c r="I3" s="2239"/>
      <c r="J3" s="2239"/>
      <c r="K3" s="2239"/>
      <c r="L3" s="2239"/>
      <c r="M3" s="2239"/>
      <c r="N3" s="2239"/>
      <c r="O3" s="2239"/>
      <c r="P3" s="2239"/>
      <c r="Q3" s="2239"/>
      <c r="R3" s="2239"/>
      <c r="S3" s="2239"/>
      <c r="T3" s="2239"/>
      <c r="U3" s="2239"/>
      <c r="V3" s="2239"/>
      <c r="W3" s="2239"/>
      <c r="X3" s="2239"/>
      <c r="Y3" s="2239"/>
      <c r="Z3" s="2239"/>
      <c r="AA3" s="2239"/>
      <c r="AB3" s="2239"/>
      <c r="AC3" s="2239"/>
      <c r="AD3" s="2239"/>
      <c r="AE3" s="2239"/>
      <c r="AF3" s="2239"/>
      <c r="AG3" s="2239"/>
      <c r="AH3" s="2239"/>
      <c r="AI3" s="2239"/>
      <c r="AJ3" s="2239"/>
      <c r="AK3" s="2239"/>
      <c r="AL3" s="2239"/>
      <c r="AM3" s="2239"/>
      <c r="AN3" s="2239"/>
      <c r="AO3" s="2239"/>
      <c r="AP3" s="2239"/>
      <c r="AQ3" s="2239"/>
      <c r="AR3" s="2239"/>
      <c r="AS3" s="2239"/>
      <c r="AT3" s="2239"/>
      <c r="AU3" s="2239"/>
      <c r="AV3" s="2239"/>
      <c r="AW3" s="2239"/>
      <c r="AX3" s="2239"/>
      <c r="AY3" s="2239"/>
      <c r="AZ3" s="2239"/>
      <c r="BA3" s="2239"/>
      <c r="BB3" s="2239"/>
      <c r="BC3" s="864"/>
      <c r="BD3" s="864"/>
    </row>
    <row r="4" spans="1:59" x14ac:dyDescent="0.3">
      <c r="A4" s="2240" t="s">
        <v>1527</v>
      </c>
      <c r="B4" s="2240"/>
      <c r="C4" s="2240"/>
      <c r="D4" s="2240"/>
      <c r="E4" s="2240"/>
      <c r="F4" s="2240"/>
      <c r="G4" s="2240"/>
      <c r="H4" s="2240"/>
      <c r="I4" s="2240"/>
      <c r="J4" s="2240"/>
      <c r="K4" s="2240"/>
      <c r="L4" s="2240"/>
      <c r="M4" s="2240"/>
      <c r="N4" s="2240"/>
      <c r="O4" s="2240"/>
      <c r="P4" s="2240"/>
      <c r="Q4" s="2240"/>
      <c r="R4" s="2240"/>
      <c r="S4" s="2240"/>
      <c r="T4" s="2240"/>
      <c r="U4" s="2240"/>
      <c r="V4" s="2240"/>
      <c r="W4" s="2240"/>
      <c r="X4" s="2240"/>
      <c r="Y4" s="2240"/>
      <c r="Z4" s="2240"/>
      <c r="AA4" s="2240"/>
      <c r="AB4" s="2240"/>
      <c r="AC4" s="2240"/>
      <c r="AD4" s="2240"/>
      <c r="AE4" s="2240"/>
      <c r="AF4" s="2240"/>
      <c r="AG4" s="2240"/>
      <c r="AH4" s="2240"/>
      <c r="AI4" s="2240"/>
      <c r="AJ4" s="2240"/>
      <c r="AK4" s="2240"/>
      <c r="AL4" s="2240"/>
      <c r="AM4" s="2240"/>
      <c r="AN4" s="2240"/>
      <c r="AO4" s="2240"/>
      <c r="AP4" s="2240"/>
      <c r="AQ4" s="2240"/>
      <c r="AR4" s="2240"/>
      <c r="AS4" s="2240"/>
      <c r="AT4" s="2240"/>
      <c r="AU4" s="2240"/>
      <c r="AV4" s="2240"/>
      <c r="AW4" s="2240"/>
      <c r="AX4" s="2240"/>
      <c r="AY4" s="2240"/>
      <c r="AZ4" s="2240"/>
      <c r="BA4" s="2240"/>
      <c r="BB4" s="2240"/>
      <c r="BC4" s="865"/>
      <c r="BD4" s="865"/>
    </row>
    <row r="5" spans="1:59" ht="19.5" x14ac:dyDescent="0.35">
      <c r="A5" s="866"/>
      <c r="B5" s="867"/>
      <c r="C5" s="868"/>
      <c r="D5" s="868"/>
      <c r="E5" s="869"/>
      <c r="F5" s="930"/>
      <c r="G5" s="930"/>
      <c r="H5" s="930"/>
      <c r="I5" s="930"/>
      <c r="J5" s="930"/>
      <c r="K5" s="930"/>
      <c r="L5" s="870"/>
      <c r="M5" s="870"/>
    </row>
    <row r="6" spans="1:59" s="874" customFormat="1" ht="17.45" customHeight="1" x14ac:dyDescent="0.25">
      <c r="A6" s="871" t="s">
        <v>1528</v>
      </c>
      <c r="B6" s="872" t="s">
        <v>1529</v>
      </c>
      <c r="C6" s="2236" t="s">
        <v>1530</v>
      </c>
      <c r="D6" s="2237"/>
      <c r="E6" s="2237"/>
      <c r="F6" s="2237"/>
      <c r="G6" s="2237"/>
      <c r="H6" s="2237"/>
      <c r="I6" s="2238"/>
      <c r="J6" s="873"/>
      <c r="K6" s="873"/>
      <c r="L6" s="2236" t="s">
        <v>559</v>
      </c>
      <c r="M6" s="2237"/>
      <c r="N6" s="2237"/>
      <c r="O6" s="2237"/>
      <c r="P6" s="2238"/>
      <c r="Q6" s="2236" t="s">
        <v>1531</v>
      </c>
      <c r="R6" s="2237"/>
      <c r="S6" s="2237"/>
      <c r="T6" s="2237"/>
      <c r="U6" s="2238"/>
      <c r="V6" s="2236" t="s">
        <v>149</v>
      </c>
      <c r="W6" s="2237"/>
      <c r="X6" s="2237"/>
      <c r="Y6" s="2237"/>
      <c r="Z6" s="2238"/>
      <c r="AA6" s="2236" t="s">
        <v>385</v>
      </c>
      <c r="AB6" s="2237"/>
      <c r="AC6" s="2237"/>
      <c r="AD6" s="2237"/>
      <c r="AE6" s="2238"/>
      <c r="AF6" s="2236" t="s">
        <v>151</v>
      </c>
      <c r="AG6" s="2237"/>
      <c r="AH6" s="2237"/>
      <c r="AI6" s="2237"/>
      <c r="AJ6" s="2238"/>
      <c r="AK6" s="2236" t="s">
        <v>152</v>
      </c>
      <c r="AL6" s="2237"/>
      <c r="AM6" s="2237"/>
      <c r="AN6" s="2237"/>
      <c r="AO6" s="2238"/>
      <c r="AP6" s="2236" t="s">
        <v>153</v>
      </c>
      <c r="AQ6" s="2237"/>
      <c r="AR6" s="2237"/>
      <c r="AS6" s="2237"/>
      <c r="AT6" s="2238"/>
      <c r="AU6" s="2236" t="s">
        <v>154</v>
      </c>
      <c r="AV6" s="2237"/>
      <c r="AW6" s="2237"/>
      <c r="AX6" s="2237"/>
      <c r="AY6" s="2238"/>
      <c r="AZ6" s="2236" t="s">
        <v>155</v>
      </c>
      <c r="BA6" s="2237"/>
      <c r="BB6" s="2237"/>
      <c r="BC6" s="2237"/>
      <c r="BD6" s="2238"/>
    </row>
    <row r="7" spans="1:59" s="879" customFormat="1" ht="25.5" x14ac:dyDescent="0.25">
      <c r="A7" s="875"/>
      <c r="B7" s="876"/>
      <c r="C7" s="877" t="s">
        <v>1532</v>
      </c>
      <c r="D7" s="877" t="s">
        <v>1533</v>
      </c>
      <c r="E7" s="878" t="s">
        <v>1534</v>
      </c>
      <c r="F7" s="931" t="s">
        <v>1535</v>
      </c>
      <c r="G7" s="2234" t="s">
        <v>1562</v>
      </c>
      <c r="H7" s="2234" t="s">
        <v>1563</v>
      </c>
      <c r="I7" s="931" t="s">
        <v>1536</v>
      </c>
      <c r="J7" s="2234" t="s">
        <v>1564</v>
      </c>
      <c r="K7" s="2234" t="s">
        <v>1565</v>
      </c>
      <c r="L7" s="877" t="str">
        <f>C7</f>
        <v>TH2018</v>
      </c>
      <c r="M7" s="877" t="s">
        <v>1537</v>
      </c>
      <c r="N7" s="878" t="str">
        <f>E7</f>
        <v>DT 2019</v>
      </c>
      <c r="O7" s="878" t="s">
        <v>1535</v>
      </c>
      <c r="P7" s="878" t="s">
        <v>1536</v>
      </c>
      <c r="Q7" s="877" t="str">
        <f t="shared" ref="Q7" si="0">L7</f>
        <v>TH2018</v>
      </c>
      <c r="R7" s="877" t="s">
        <v>1537</v>
      </c>
      <c r="S7" s="878" t="str">
        <f>N7</f>
        <v>DT 2019</v>
      </c>
      <c r="T7" s="878" t="s">
        <v>1535</v>
      </c>
      <c r="U7" s="878" t="s">
        <v>1536</v>
      </c>
      <c r="V7" s="877" t="str">
        <f>Q7</f>
        <v>TH2018</v>
      </c>
      <c r="W7" s="877" t="s">
        <v>1537</v>
      </c>
      <c r="X7" s="878" t="str">
        <f>S7</f>
        <v>DT 2019</v>
      </c>
      <c r="Y7" s="878" t="s">
        <v>1535</v>
      </c>
      <c r="Z7" s="878" t="s">
        <v>1536</v>
      </c>
      <c r="AA7" s="877" t="str">
        <f>V7</f>
        <v>TH2018</v>
      </c>
      <c r="AB7" s="877" t="s">
        <v>1537</v>
      </c>
      <c r="AC7" s="878" t="str">
        <f>X7</f>
        <v>DT 2019</v>
      </c>
      <c r="AD7" s="878" t="s">
        <v>1535</v>
      </c>
      <c r="AE7" s="878" t="s">
        <v>1536</v>
      </c>
      <c r="AF7" s="877" t="str">
        <f>AA7</f>
        <v>TH2018</v>
      </c>
      <c r="AG7" s="877" t="s">
        <v>1537</v>
      </c>
      <c r="AH7" s="878" t="str">
        <f>AC7</f>
        <v>DT 2019</v>
      </c>
      <c r="AI7" s="878" t="s">
        <v>1535</v>
      </c>
      <c r="AJ7" s="878" t="s">
        <v>1536</v>
      </c>
      <c r="AK7" s="877" t="str">
        <f>AF7</f>
        <v>TH2018</v>
      </c>
      <c r="AL7" s="877" t="s">
        <v>1537</v>
      </c>
      <c r="AM7" s="878" t="str">
        <f>AH7</f>
        <v>DT 2019</v>
      </c>
      <c r="AN7" s="878" t="s">
        <v>1535</v>
      </c>
      <c r="AO7" s="878" t="s">
        <v>1536</v>
      </c>
      <c r="AP7" s="877" t="str">
        <f>AK7</f>
        <v>TH2018</v>
      </c>
      <c r="AQ7" s="877" t="s">
        <v>1537</v>
      </c>
      <c r="AR7" s="878" t="str">
        <f>AM7</f>
        <v>DT 2019</v>
      </c>
      <c r="AS7" s="878" t="s">
        <v>1535</v>
      </c>
      <c r="AT7" s="878" t="s">
        <v>1536</v>
      </c>
      <c r="AU7" s="877" t="str">
        <f>AP7</f>
        <v>TH2018</v>
      </c>
      <c r="AV7" s="877" t="s">
        <v>1537</v>
      </c>
      <c r="AW7" s="878" t="str">
        <f>AR7</f>
        <v>DT 2019</v>
      </c>
      <c r="AX7" s="878" t="s">
        <v>1535</v>
      </c>
      <c r="AY7" s="878" t="s">
        <v>1536</v>
      </c>
      <c r="AZ7" s="877" t="str">
        <f>AU7</f>
        <v>TH2018</v>
      </c>
      <c r="BA7" s="877" t="s">
        <v>1537</v>
      </c>
      <c r="BB7" s="878" t="str">
        <f>AW7</f>
        <v>DT 2019</v>
      </c>
      <c r="BC7" s="878" t="s">
        <v>1535</v>
      </c>
      <c r="BD7" s="878" t="s">
        <v>1536</v>
      </c>
    </row>
    <row r="8" spans="1:59" x14ac:dyDescent="0.3">
      <c r="A8" s="880" t="s">
        <v>2</v>
      </c>
      <c r="B8" s="881" t="s">
        <v>3</v>
      </c>
      <c r="C8" s="881">
        <v>1</v>
      </c>
      <c r="D8" s="881">
        <v>2</v>
      </c>
      <c r="E8" s="881">
        <v>3</v>
      </c>
      <c r="F8" s="932"/>
      <c r="G8" s="2235"/>
      <c r="H8" s="2235"/>
      <c r="I8" s="932"/>
      <c r="J8" s="2235"/>
      <c r="K8" s="2235"/>
      <c r="L8" s="881">
        <v>4</v>
      </c>
      <c r="M8" s="881"/>
      <c r="N8" s="881">
        <v>5</v>
      </c>
      <c r="O8" s="881"/>
      <c r="P8" s="881"/>
      <c r="Q8" s="881">
        <v>6</v>
      </c>
      <c r="R8" s="881"/>
      <c r="S8" s="881">
        <v>7</v>
      </c>
      <c r="T8" s="881"/>
      <c r="U8" s="881"/>
      <c r="V8" s="881">
        <v>8</v>
      </c>
      <c r="W8" s="881"/>
      <c r="X8" s="881">
        <v>9</v>
      </c>
      <c r="Y8" s="881"/>
      <c r="Z8" s="881"/>
      <c r="AA8" s="881">
        <v>10</v>
      </c>
      <c r="AB8" s="881"/>
      <c r="AC8" s="881">
        <v>11</v>
      </c>
      <c r="AD8" s="881"/>
      <c r="AE8" s="881"/>
      <c r="AF8" s="881">
        <v>12</v>
      </c>
      <c r="AG8" s="881"/>
      <c r="AH8" s="881">
        <v>13</v>
      </c>
      <c r="AI8" s="881"/>
      <c r="AJ8" s="881"/>
      <c r="AK8" s="881">
        <v>14</v>
      </c>
      <c r="AL8" s="881"/>
      <c r="AM8" s="881">
        <v>15</v>
      </c>
      <c r="AN8" s="881"/>
      <c r="AO8" s="881"/>
      <c r="AP8" s="881">
        <v>16</v>
      </c>
      <c r="AQ8" s="881"/>
      <c r="AR8" s="881">
        <v>17</v>
      </c>
      <c r="AS8" s="881"/>
      <c r="AT8" s="881"/>
      <c r="AU8" s="881">
        <v>18</v>
      </c>
      <c r="AV8" s="881"/>
      <c r="AW8" s="881">
        <v>19</v>
      </c>
      <c r="AX8" s="881"/>
      <c r="AY8" s="881"/>
      <c r="AZ8" s="881">
        <v>20</v>
      </c>
      <c r="BA8" s="881"/>
      <c r="BB8" s="881">
        <v>21</v>
      </c>
      <c r="BC8" s="881"/>
      <c r="BD8" s="881"/>
    </row>
    <row r="9" spans="1:59" x14ac:dyDescent="0.3">
      <c r="A9" s="882"/>
      <c r="B9" s="883" t="s">
        <v>1538</v>
      </c>
      <c r="C9" s="884">
        <f>C11+C23+C28+C47+C48+C51+C52+C54+C55+C56+C57+C58+C59+C60+C62+C63+C66+C67+C68</f>
        <v>609666.38387314288</v>
      </c>
      <c r="D9" s="884">
        <f>D11+D23+D28+D47+D48+D51+D52+D54+D55+D56+D57+D58+D59+D60+D62+D63+D66+D67+D68</f>
        <v>675000</v>
      </c>
      <c r="E9" s="884">
        <f>E11+E23+E28+E47+E48+E51+E52+E54+E55+E56+E57+E58+E59+E60+E62+E63+E66+E67+E68</f>
        <v>698000.09796991991</v>
      </c>
      <c r="F9" s="933">
        <f t="shared" ref="F9:BD9" si="1">F11+F23+F28+F47+F48+F51+F52+F54+F55+F56+F57+F58+F59+F60+F62+F63+F66+F67+F68</f>
        <v>795000</v>
      </c>
      <c r="G9" s="933">
        <f t="shared" si="1"/>
        <v>318328.59999999998</v>
      </c>
      <c r="H9" s="933">
        <f t="shared" si="1"/>
        <v>375390</v>
      </c>
      <c r="I9" s="933">
        <f t="shared" si="1"/>
        <v>902000</v>
      </c>
      <c r="J9" s="933">
        <f t="shared" ref="J9:K9" si="2">J11+J23+J28+J47+J48+J51+J52+J54+J55+J56+J57+J58+J59+J60+J62+J63+J66+J67+J68</f>
        <v>361672.12</v>
      </c>
      <c r="K9" s="933">
        <f t="shared" si="2"/>
        <v>429360</v>
      </c>
      <c r="L9" s="884">
        <f t="shared" si="1"/>
        <v>288415</v>
      </c>
      <c r="M9" s="884">
        <f t="shared" si="1"/>
        <v>354540</v>
      </c>
      <c r="N9" s="884">
        <f t="shared" si="1"/>
        <v>354600</v>
      </c>
      <c r="O9" s="884">
        <f t="shared" si="1"/>
        <v>399610</v>
      </c>
      <c r="P9" s="884">
        <f t="shared" si="1"/>
        <v>450000</v>
      </c>
      <c r="Q9" s="884">
        <f t="shared" si="1"/>
        <v>103205</v>
      </c>
      <c r="R9" s="884">
        <f t="shared" si="1"/>
        <v>104060</v>
      </c>
      <c r="S9" s="884">
        <f t="shared" si="1"/>
        <v>114000</v>
      </c>
      <c r="T9" s="884">
        <f t="shared" si="1"/>
        <v>131000</v>
      </c>
      <c r="U9" s="884">
        <f t="shared" si="1"/>
        <v>152000</v>
      </c>
      <c r="V9" s="884">
        <f t="shared" si="1"/>
        <v>13516</v>
      </c>
      <c r="W9" s="884">
        <f t="shared" si="1"/>
        <v>12820</v>
      </c>
      <c r="X9" s="884">
        <f t="shared" si="1"/>
        <v>13630</v>
      </c>
      <c r="Y9" s="884">
        <f t="shared" si="1"/>
        <v>15330</v>
      </c>
      <c r="Z9" s="884">
        <f t="shared" si="1"/>
        <v>17450</v>
      </c>
      <c r="AA9" s="884">
        <f t="shared" si="1"/>
        <v>15615</v>
      </c>
      <c r="AB9" s="884">
        <f t="shared" si="1"/>
        <v>14040</v>
      </c>
      <c r="AC9" s="884">
        <f t="shared" si="1"/>
        <v>14800</v>
      </c>
      <c r="AD9" s="884">
        <f t="shared" si="1"/>
        <v>17060</v>
      </c>
      <c r="AE9" s="884">
        <f t="shared" si="1"/>
        <v>19350</v>
      </c>
      <c r="AF9" s="884">
        <f t="shared" si="1"/>
        <v>112800</v>
      </c>
      <c r="AG9" s="884">
        <f t="shared" si="1"/>
        <v>118630</v>
      </c>
      <c r="AH9" s="884">
        <f t="shared" si="1"/>
        <v>124600</v>
      </c>
      <c r="AI9" s="884">
        <f t="shared" si="1"/>
        <v>146000</v>
      </c>
      <c r="AJ9" s="884">
        <f t="shared" si="1"/>
        <v>166000</v>
      </c>
      <c r="AK9" s="884">
        <f t="shared" si="1"/>
        <v>19852.087473142856</v>
      </c>
      <c r="AL9" s="884">
        <f t="shared" si="1"/>
        <v>17820.03307392</v>
      </c>
      <c r="AM9" s="884">
        <f t="shared" si="1"/>
        <v>18850.09796992</v>
      </c>
      <c r="AN9" s="884">
        <f t="shared" si="1"/>
        <v>21600</v>
      </c>
      <c r="AO9" s="884">
        <f t="shared" si="1"/>
        <v>24500</v>
      </c>
      <c r="AP9" s="884">
        <f t="shared" si="1"/>
        <v>14085.296399999999</v>
      </c>
      <c r="AQ9" s="884">
        <f t="shared" si="1"/>
        <v>14100</v>
      </c>
      <c r="AR9" s="884">
        <f t="shared" si="1"/>
        <v>15220</v>
      </c>
      <c r="AS9" s="884">
        <f t="shared" si="1"/>
        <v>18000</v>
      </c>
      <c r="AT9" s="884">
        <f t="shared" si="1"/>
        <v>21000</v>
      </c>
      <c r="AU9" s="884">
        <f t="shared" si="1"/>
        <v>30150</v>
      </c>
      <c r="AV9" s="884">
        <f t="shared" si="1"/>
        <v>29800</v>
      </c>
      <c r="AW9" s="884">
        <f t="shared" si="1"/>
        <v>32500</v>
      </c>
      <c r="AX9" s="884">
        <f t="shared" si="1"/>
        <v>35600</v>
      </c>
      <c r="AY9" s="884">
        <f t="shared" si="1"/>
        <v>40000</v>
      </c>
      <c r="AZ9" s="884">
        <f t="shared" si="1"/>
        <v>12028</v>
      </c>
      <c r="BA9" s="884">
        <f t="shared" si="1"/>
        <v>9190</v>
      </c>
      <c r="BB9" s="884">
        <f t="shared" si="1"/>
        <v>9800</v>
      </c>
      <c r="BC9" s="884">
        <f t="shared" si="1"/>
        <v>10800</v>
      </c>
      <c r="BD9" s="884">
        <f t="shared" si="1"/>
        <v>11700</v>
      </c>
      <c r="BE9" s="870">
        <f t="shared" ref="BE9:BG40" si="3">M9+R9+W9+AB9+AG9+AL9+AQ9+AV9+BA9</f>
        <v>675000.03307392006</v>
      </c>
      <c r="BF9" s="870">
        <f t="shared" si="3"/>
        <v>698000.09796992003</v>
      </c>
      <c r="BG9" s="870">
        <f t="shared" si="3"/>
        <v>795000</v>
      </c>
    </row>
    <row r="10" spans="1:59" ht="33.75" x14ac:dyDescent="0.3">
      <c r="A10" s="885"/>
      <c r="B10" s="886" t="s">
        <v>1539</v>
      </c>
      <c r="C10" s="884">
        <f t="shared" ref="C10:BD10" si="4">C9-C57-C59</f>
        <v>511676.38387314288</v>
      </c>
      <c r="D10" s="884">
        <f t="shared" si="4"/>
        <v>595000</v>
      </c>
      <c r="E10" s="884">
        <f t="shared" si="4"/>
        <v>604000.09796991991</v>
      </c>
      <c r="F10" s="933">
        <f t="shared" si="4"/>
        <v>686000</v>
      </c>
      <c r="G10" s="933">
        <f t="shared" si="4"/>
        <v>293028.59999999998</v>
      </c>
      <c r="H10" s="933">
        <f t="shared" si="4"/>
        <v>291690</v>
      </c>
      <c r="I10" s="933">
        <f t="shared" si="4"/>
        <v>777000</v>
      </c>
      <c r="J10" s="933">
        <f t="shared" ref="J10:K10" si="5">J9-J57-J59</f>
        <v>333872.12</v>
      </c>
      <c r="K10" s="933">
        <f t="shared" si="5"/>
        <v>332160</v>
      </c>
      <c r="L10" s="884">
        <f t="shared" si="4"/>
        <v>273415</v>
      </c>
      <c r="M10" s="884">
        <f t="shared" si="4"/>
        <v>339540</v>
      </c>
      <c r="N10" s="884">
        <f t="shared" si="4"/>
        <v>339600</v>
      </c>
      <c r="O10" s="884">
        <f t="shared" si="4"/>
        <v>383610</v>
      </c>
      <c r="P10" s="884">
        <f t="shared" si="4"/>
        <v>433000</v>
      </c>
      <c r="Q10" s="884">
        <f t="shared" si="4"/>
        <v>53205</v>
      </c>
      <c r="R10" s="884">
        <f t="shared" si="4"/>
        <v>60860</v>
      </c>
      <c r="S10" s="884">
        <f t="shared" si="4"/>
        <v>61500</v>
      </c>
      <c r="T10" s="884">
        <f t="shared" si="4"/>
        <v>71000</v>
      </c>
      <c r="U10" s="884">
        <f t="shared" si="4"/>
        <v>82000</v>
      </c>
      <c r="V10" s="884">
        <f t="shared" si="4"/>
        <v>10516</v>
      </c>
      <c r="W10" s="884">
        <f t="shared" si="4"/>
        <v>11170</v>
      </c>
      <c r="X10" s="884">
        <f t="shared" si="4"/>
        <v>11630</v>
      </c>
      <c r="Y10" s="884">
        <f t="shared" si="4"/>
        <v>13330</v>
      </c>
      <c r="Z10" s="884">
        <f t="shared" si="4"/>
        <v>14950</v>
      </c>
      <c r="AA10" s="884">
        <f t="shared" si="4"/>
        <v>12015</v>
      </c>
      <c r="AB10" s="884">
        <f t="shared" si="4"/>
        <v>11980</v>
      </c>
      <c r="AC10" s="884">
        <f t="shared" si="4"/>
        <v>12300</v>
      </c>
      <c r="AD10" s="884">
        <f t="shared" si="4"/>
        <v>14060</v>
      </c>
      <c r="AE10" s="884">
        <f t="shared" si="4"/>
        <v>15850</v>
      </c>
      <c r="AF10" s="884">
        <f t="shared" si="4"/>
        <v>109800</v>
      </c>
      <c r="AG10" s="884">
        <f t="shared" si="4"/>
        <v>114520</v>
      </c>
      <c r="AH10" s="884">
        <f t="shared" si="4"/>
        <v>119600</v>
      </c>
      <c r="AI10" s="884">
        <f t="shared" si="4"/>
        <v>136000</v>
      </c>
      <c r="AJ10" s="884">
        <f t="shared" si="4"/>
        <v>154000</v>
      </c>
      <c r="AK10" s="884">
        <f t="shared" si="4"/>
        <v>13852.087473142856</v>
      </c>
      <c r="AL10" s="884">
        <f t="shared" si="4"/>
        <v>14940.03307392</v>
      </c>
      <c r="AM10" s="884">
        <f t="shared" si="4"/>
        <v>15350.09796992</v>
      </c>
      <c r="AN10" s="884">
        <f t="shared" si="4"/>
        <v>17600</v>
      </c>
      <c r="AO10" s="884">
        <f t="shared" si="4"/>
        <v>20000</v>
      </c>
      <c r="AP10" s="884">
        <f t="shared" si="4"/>
        <v>12635.296399999999</v>
      </c>
      <c r="AQ10" s="884">
        <f t="shared" si="4"/>
        <v>13690</v>
      </c>
      <c r="AR10" s="884">
        <f t="shared" si="4"/>
        <v>14720</v>
      </c>
      <c r="AS10" s="884">
        <f t="shared" si="4"/>
        <v>17000</v>
      </c>
      <c r="AT10" s="884">
        <f t="shared" si="4"/>
        <v>19500</v>
      </c>
      <c r="AU10" s="884">
        <f t="shared" si="4"/>
        <v>20150</v>
      </c>
      <c r="AV10" s="884">
        <f t="shared" si="4"/>
        <v>21570</v>
      </c>
      <c r="AW10" s="884">
        <f t="shared" si="4"/>
        <v>22500</v>
      </c>
      <c r="AX10" s="884">
        <f t="shared" si="4"/>
        <v>25600</v>
      </c>
      <c r="AY10" s="884">
        <f t="shared" si="4"/>
        <v>29000</v>
      </c>
      <c r="AZ10" s="884">
        <f t="shared" si="4"/>
        <v>6088</v>
      </c>
      <c r="BA10" s="884">
        <f t="shared" si="4"/>
        <v>6730</v>
      </c>
      <c r="BB10" s="884">
        <f t="shared" si="4"/>
        <v>6800</v>
      </c>
      <c r="BC10" s="884">
        <f t="shared" si="4"/>
        <v>7800</v>
      </c>
      <c r="BD10" s="884">
        <f t="shared" si="4"/>
        <v>8700</v>
      </c>
      <c r="BE10" s="870">
        <f t="shared" si="3"/>
        <v>595000.03307392006</v>
      </c>
    </row>
    <row r="11" spans="1:59" s="890" customFormat="1" ht="33.75" x14ac:dyDescent="0.3">
      <c r="A11" s="887">
        <v>1</v>
      </c>
      <c r="B11" s="888" t="s">
        <v>1540</v>
      </c>
      <c r="C11" s="889">
        <v>94982.057942857136</v>
      </c>
      <c r="D11" s="889">
        <v>98400</v>
      </c>
      <c r="E11" s="889">
        <v>98400.064895999996</v>
      </c>
      <c r="F11" s="934">
        <v>113150</v>
      </c>
      <c r="G11" s="934">
        <f>G12+G18</f>
        <v>87010</v>
      </c>
      <c r="H11" s="934">
        <f t="shared" ref="H11:I11" si="6">H12+H18</f>
        <v>26140</v>
      </c>
      <c r="I11" s="934">
        <f t="shared" si="6"/>
        <v>129310</v>
      </c>
      <c r="J11" s="934">
        <f>J12+J18</f>
        <v>99960</v>
      </c>
      <c r="K11" s="934">
        <f t="shared" ref="K11" si="7">K12+K18</f>
        <v>29350</v>
      </c>
      <c r="L11" s="889">
        <v>69865</v>
      </c>
      <c r="M11" s="889">
        <v>73415</v>
      </c>
      <c r="N11" s="889">
        <v>73415</v>
      </c>
      <c r="O11" s="889">
        <v>84870</v>
      </c>
      <c r="P11" s="889">
        <v>97550</v>
      </c>
      <c r="Q11" s="889">
        <v>1160</v>
      </c>
      <c r="R11" s="889">
        <v>970</v>
      </c>
      <c r="S11" s="889">
        <v>970</v>
      </c>
      <c r="T11" s="889">
        <v>1100</v>
      </c>
      <c r="U11" s="889">
        <v>1260</v>
      </c>
      <c r="V11" s="889">
        <v>81</v>
      </c>
      <c r="W11" s="889">
        <v>85</v>
      </c>
      <c r="X11" s="889">
        <v>85</v>
      </c>
      <c r="Y11" s="889">
        <v>100</v>
      </c>
      <c r="Z11" s="889">
        <v>110</v>
      </c>
      <c r="AA11" s="889">
        <v>115</v>
      </c>
      <c r="AB11" s="889">
        <v>120</v>
      </c>
      <c r="AC11" s="889">
        <v>120</v>
      </c>
      <c r="AD11" s="889">
        <v>140</v>
      </c>
      <c r="AE11" s="889">
        <v>160</v>
      </c>
      <c r="AF11" s="889">
        <v>20440</v>
      </c>
      <c r="AG11" s="889">
        <v>21210</v>
      </c>
      <c r="AH11" s="889">
        <v>21210</v>
      </c>
      <c r="AI11" s="889">
        <v>24050</v>
      </c>
      <c r="AJ11" s="889">
        <v>26980</v>
      </c>
      <c r="AK11" s="889">
        <v>340.05794285714285</v>
      </c>
      <c r="AL11" s="889">
        <v>230</v>
      </c>
      <c r="AM11" s="889">
        <v>230.064896</v>
      </c>
      <c r="AN11" s="889">
        <v>270</v>
      </c>
      <c r="AO11" s="889">
        <v>310</v>
      </c>
      <c r="AP11" s="889">
        <v>1451</v>
      </c>
      <c r="AQ11" s="889">
        <v>720</v>
      </c>
      <c r="AR11" s="889">
        <v>720</v>
      </c>
      <c r="AS11" s="889">
        <v>830</v>
      </c>
      <c r="AT11" s="889">
        <v>940</v>
      </c>
      <c r="AU11" s="889">
        <v>1460</v>
      </c>
      <c r="AV11" s="889">
        <v>1560</v>
      </c>
      <c r="AW11" s="889">
        <v>1560</v>
      </c>
      <c r="AX11" s="889">
        <v>1680</v>
      </c>
      <c r="AY11" s="889">
        <v>1890</v>
      </c>
      <c r="AZ11" s="889">
        <v>70</v>
      </c>
      <c r="BA11" s="889">
        <v>90</v>
      </c>
      <c r="BB11" s="889">
        <v>90</v>
      </c>
      <c r="BC11" s="889">
        <v>110</v>
      </c>
      <c r="BD11" s="889">
        <v>110</v>
      </c>
      <c r="BE11" s="870">
        <f t="shared" si="3"/>
        <v>98400</v>
      </c>
      <c r="BF11" s="870">
        <f t="shared" si="3"/>
        <v>98400.064895999996</v>
      </c>
      <c r="BG11" s="870">
        <f t="shared" si="3"/>
        <v>113150</v>
      </c>
    </row>
    <row r="12" spans="1:59" s="894" customFormat="1" ht="35.25" x14ac:dyDescent="0.35">
      <c r="A12" s="891" t="s">
        <v>438</v>
      </c>
      <c r="B12" s="892" t="s">
        <v>1541</v>
      </c>
      <c r="C12" s="893">
        <v>88165</v>
      </c>
      <c r="D12" s="893">
        <v>90400</v>
      </c>
      <c r="E12" s="893">
        <v>90400</v>
      </c>
      <c r="F12" s="935">
        <v>104030</v>
      </c>
      <c r="G12" s="935">
        <f>G13+G14+G15+G16+G17</f>
        <v>79160</v>
      </c>
      <c r="H12" s="935">
        <f t="shared" ref="H12:I12" si="8">H13+H14+H15+H16+H17</f>
        <v>24870</v>
      </c>
      <c r="I12" s="935">
        <f t="shared" si="8"/>
        <v>118840</v>
      </c>
      <c r="J12" s="935">
        <f>J13+J14+J15+J16+J17</f>
        <v>90930</v>
      </c>
      <c r="K12" s="935">
        <f t="shared" ref="K12" si="9">K13+K14+K15+K16+K17</f>
        <v>27910</v>
      </c>
      <c r="L12" s="893">
        <v>64000</v>
      </c>
      <c r="M12" s="893">
        <v>66530</v>
      </c>
      <c r="N12" s="893">
        <v>66530</v>
      </c>
      <c r="O12" s="893">
        <v>77020</v>
      </c>
      <c r="P12" s="893">
        <v>88520</v>
      </c>
      <c r="Q12" s="893">
        <v>760</v>
      </c>
      <c r="R12" s="893">
        <v>270</v>
      </c>
      <c r="S12" s="893">
        <v>270</v>
      </c>
      <c r="T12" s="893">
        <v>310</v>
      </c>
      <c r="U12" s="893">
        <v>350</v>
      </c>
      <c r="V12" s="893">
        <v>66</v>
      </c>
      <c r="W12" s="893">
        <v>75</v>
      </c>
      <c r="X12" s="893">
        <v>75</v>
      </c>
      <c r="Y12" s="893">
        <v>90</v>
      </c>
      <c r="Z12" s="893">
        <v>100</v>
      </c>
      <c r="AA12" s="893">
        <v>100</v>
      </c>
      <c r="AB12" s="893">
        <v>105</v>
      </c>
      <c r="AC12" s="893">
        <v>105</v>
      </c>
      <c r="AD12" s="893">
        <v>120</v>
      </c>
      <c r="AE12" s="893">
        <v>140</v>
      </c>
      <c r="AF12" s="893">
        <v>20340</v>
      </c>
      <c r="AG12" s="893">
        <v>21110</v>
      </c>
      <c r="AH12" s="893">
        <v>21110</v>
      </c>
      <c r="AI12" s="893">
        <v>23940</v>
      </c>
      <c r="AJ12" s="893">
        <v>26850</v>
      </c>
      <c r="AK12" s="893">
        <v>110</v>
      </c>
      <c r="AL12" s="893">
        <v>130</v>
      </c>
      <c r="AM12" s="893">
        <v>130</v>
      </c>
      <c r="AN12" s="893">
        <v>150</v>
      </c>
      <c r="AO12" s="893">
        <v>170</v>
      </c>
      <c r="AP12" s="893">
        <v>1419</v>
      </c>
      <c r="AQ12" s="893">
        <v>690</v>
      </c>
      <c r="AR12" s="893">
        <v>690</v>
      </c>
      <c r="AS12" s="893">
        <v>790</v>
      </c>
      <c r="AT12" s="893">
        <v>900</v>
      </c>
      <c r="AU12" s="893">
        <v>1300</v>
      </c>
      <c r="AV12" s="893">
        <v>1400</v>
      </c>
      <c r="AW12" s="893">
        <v>1400</v>
      </c>
      <c r="AX12" s="893">
        <v>1500</v>
      </c>
      <c r="AY12" s="893">
        <v>1700</v>
      </c>
      <c r="AZ12" s="893">
        <v>70</v>
      </c>
      <c r="BA12" s="893">
        <v>90</v>
      </c>
      <c r="BB12" s="893">
        <v>90</v>
      </c>
      <c r="BC12" s="893">
        <v>110</v>
      </c>
      <c r="BD12" s="893">
        <v>110</v>
      </c>
      <c r="BE12" s="870">
        <f t="shared" si="3"/>
        <v>90400</v>
      </c>
    </row>
    <row r="13" spans="1:59" s="223" customFormat="1" x14ac:dyDescent="0.3">
      <c r="A13" s="895"/>
      <c r="B13" s="896" t="s">
        <v>563</v>
      </c>
      <c r="C13" s="897">
        <v>65206</v>
      </c>
      <c r="D13" s="897">
        <v>67200</v>
      </c>
      <c r="E13" s="897">
        <v>67200</v>
      </c>
      <c r="F13" s="936">
        <v>77840</v>
      </c>
      <c r="G13" s="936">
        <f>F13</f>
        <v>77840</v>
      </c>
      <c r="H13" s="936"/>
      <c r="I13" s="936">
        <v>89480</v>
      </c>
      <c r="J13" s="936">
        <f>I13</f>
        <v>89480</v>
      </c>
      <c r="K13" s="936"/>
      <c r="L13" s="897">
        <v>63000</v>
      </c>
      <c r="M13" s="897">
        <v>65470</v>
      </c>
      <c r="N13" s="897">
        <v>65470</v>
      </c>
      <c r="O13" s="897">
        <v>75850</v>
      </c>
      <c r="P13" s="897">
        <v>87230</v>
      </c>
      <c r="Q13" s="897">
        <v>350</v>
      </c>
      <c r="R13" s="897">
        <v>250</v>
      </c>
      <c r="S13" s="897">
        <v>250</v>
      </c>
      <c r="T13" s="897">
        <v>290</v>
      </c>
      <c r="U13" s="897">
        <v>330</v>
      </c>
      <c r="V13" s="897">
        <v>66</v>
      </c>
      <c r="W13" s="897">
        <v>75</v>
      </c>
      <c r="X13" s="897">
        <v>75</v>
      </c>
      <c r="Y13" s="897">
        <v>90</v>
      </c>
      <c r="Z13" s="897">
        <v>100</v>
      </c>
      <c r="AA13" s="897">
        <v>100</v>
      </c>
      <c r="AB13" s="897">
        <v>105</v>
      </c>
      <c r="AC13" s="897">
        <v>105</v>
      </c>
      <c r="AD13" s="897">
        <v>120</v>
      </c>
      <c r="AE13" s="897">
        <v>140</v>
      </c>
      <c r="AF13" s="897">
        <v>100</v>
      </c>
      <c r="AG13" s="897">
        <v>410</v>
      </c>
      <c r="AH13" s="897">
        <v>410</v>
      </c>
      <c r="AI13" s="897">
        <v>470</v>
      </c>
      <c r="AJ13" s="897">
        <v>540</v>
      </c>
      <c r="AK13" s="897">
        <v>110</v>
      </c>
      <c r="AL13" s="897">
        <v>130</v>
      </c>
      <c r="AM13" s="897">
        <v>130</v>
      </c>
      <c r="AN13" s="897">
        <v>150</v>
      </c>
      <c r="AO13" s="897">
        <v>170</v>
      </c>
      <c r="AP13" s="897">
        <v>1310</v>
      </c>
      <c r="AQ13" s="897">
        <v>570</v>
      </c>
      <c r="AR13" s="897">
        <v>570</v>
      </c>
      <c r="AS13" s="897">
        <v>660</v>
      </c>
      <c r="AT13" s="897">
        <v>760</v>
      </c>
      <c r="AU13" s="897">
        <v>100</v>
      </c>
      <c r="AV13" s="897">
        <v>100</v>
      </c>
      <c r="AW13" s="897">
        <v>100</v>
      </c>
      <c r="AX13" s="897">
        <v>100</v>
      </c>
      <c r="AY13" s="897">
        <v>100</v>
      </c>
      <c r="AZ13" s="897">
        <v>70</v>
      </c>
      <c r="BA13" s="897">
        <v>90</v>
      </c>
      <c r="BB13" s="897">
        <v>90</v>
      </c>
      <c r="BC13" s="897">
        <v>110</v>
      </c>
      <c r="BD13" s="897">
        <v>110</v>
      </c>
      <c r="BE13" s="870">
        <f t="shared" si="3"/>
        <v>67200</v>
      </c>
    </row>
    <row r="14" spans="1:59" s="223" customFormat="1" x14ac:dyDescent="0.3">
      <c r="A14" s="895"/>
      <c r="B14" s="896" t="s">
        <v>566</v>
      </c>
      <c r="C14" s="897">
        <v>0</v>
      </c>
      <c r="D14" s="897">
        <v>0</v>
      </c>
      <c r="E14" s="897">
        <v>0</v>
      </c>
      <c r="F14" s="936">
        <v>0</v>
      </c>
      <c r="G14" s="936"/>
      <c r="H14" s="936"/>
      <c r="I14" s="936">
        <v>0</v>
      </c>
      <c r="J14" s="936"/>
      <c r="K14" s="936"/>
      <c r="L14" s="897">
        <v>0</v>
      </c>
      <c r="M14" s="897">
        <v>0</v>
      </c>
      <c r="N14" s="897">
        <v>0</v>
      </c>
      <c r="O14" s="897">
        <v>0</v>
      </c>
      <c r="P14" s="897">
        <v>0</v>
      </c>
      <c r="Q14" s="897">
        <v>0</v>
      </c>
      <c r="R14" s="897">
        <v>0</v>
      </c>
      <c r="S14" s="897">
        <v>0</v>
      </c>
      <c r="T14" s="897">
        <v>0</v>
      </c>
      <c r="U14" s="897">
        <v>0</v>
      </c>
      <c r="V14" s="897">
        <v>0</v>
      </c>
      <c r="W14" s="897">
        <v>0</v>
      </c>
      <c r="X14" s="897">
        <v>0</v>
      </c>
      <c r="Y14" s="897">
        <v>0</v>
      </c>
      <c r="Z14" s="897">
        <v>0</v>
      </c>
      <c r="AA14" s="897">
        <v>0</v>
      </c>
      <c r="AB14" s="897">
        <v>0</v>
      </c>
      <c r="AC14" s="897">
        <v>0</v>
      </c>
      <c r="AD14" s="897">
        <v>0</v>
      </c>
      <c r="AE14" s="897">
        <v>0</v>
      </c>
      <c r="AF14" s="897">
        <v>0</v>
      </c>
      <c r="AG14" s="897">
        <v>0</v>
      </c>
      <c r="AH14" s="897">
        <v>0</v>
      </c>
      <c r="AI14" s="897">
        <v>0</v>
      </c>
      <c r="AJ14" s="897">
        <v>0</v>
      </c>
      <c r="AK14" s="897">
        <v>0</v>
      </c>
      <c r="AL14" s="897">
        <v>0</v>
      </c>
      <c r="AM14" s="897">
        <v>0</v>
      </c>
      <c r="AN14" s="897">
        <v>0</v>
      </c>
      <c r="AO14" s="897">
        <v>0</v>
      </c>
      <c r="AP14" s="897">
        <v>0</v>
      </c>
      <c r="AQ14" s="897">
        <v>0</v>
      </c>
      <c r="AR14" s="897">
        <v>0</v>
      </c>
      <c r="AS14" s="897">
        <v>0</v>
      </c>
      <c r="AT14" s="897">
        <v>0</v>
      </c>
      <c r="AU14" s="897">
        <v>0</v>
      </c>
      <c r="AV14" s="897">
        <v>0</v>
      </c>
      <c r="AW14" s="897">
        <v>0</v>
      </c>
      <c r="AX14" s="897">
        <v>0</v>
      </c>
      <c r="AY14" s="897">
        <v>0</v>
      </c>
      <c r="AZ14" s="897">
        <v>0</v>
      </c>
      <c r="BA14" s="897">
        <v>0</v>
      </c>
      <c r="BB14" s="897">
        <v>0</v>
      </c>
      <c r="BC14" s="897">
        <v>0</v>
      </c>
      <c r="BD14" s="897">
        <v>0</v>
      </c>
      <c r="BE14" s="870">
        <f t="shared" si="3"/>
        <v>0</v>
      </c>
    </row>
    <row r="15" spans="1:59" s="223" customFormat="1" x14ac:dyDescent="0.3">
      <c r="A15" s="895"/>
      <c r="B15" s="896" t="s">
        <v>561</v>
      </c>
      <c r="C15" s="897">
        <v>1119</v>
      </c>
      <c r="D15" s="897">
        <v>1200</v>
      </c>
      <c r="E15" s="897">
        <v>1200</v>
      </c>
      <c r="F15" s="936">
        <v>1320</v>
      </c>
      <c r="G15" s="936">
        <f>F15</f>
        <v>1320</v>
      </c>
      <c r="H15" s="936"/>
      <c r="I15" s="936">
        <v>1450</v>
      </c>
      <c r="J15" s="936">
        <f>I15</f>
        <v>1450</v>
      </c>
      <c r="K15" s="936"/>
      <c r="L15" s="897">
        <v>1000</v>
      </c>
      <c r="M15" s="897">
        <v>1060</v>
      </c>
      <c r="N15" s="897">
        <v>1060</v>
      </c>
      <c r="O15" s="897">
        <v>1170</v>
      </c>
      <c r="P15" s="897">
        <v>1290</v>
      </c>
      <c r="Q15" s="897">
        <v>10</v>
      </c>
      <c r="R15" s="897">
        <v>20</v>
      </c>
      <c r="S15" s="897">
        <v>20</v>
      </c>
      <c r="T15" s="897">
        <v>20</v>
      </c>
      <c r="U15" s="897">
        <v>20</v>
      </c>
      <c r="V15" s="897">
        <v>0</v>
      </c>
      <c r="W15" s="897">
        <v>0</v>
      </c>
      <c r="X15" s="897">
        <v>0</v>
      </c>
      <c r="Y15" s="897">
        <v>0</v>
      </c>
      <c r="Z15" s="897">
        <v>0</v>
      </c>
      <c r="AA15" s="897">
        <v>0</v>
      </c>
      <c r="AB15" s="897">
        <v>0</v>
      </c>
      <c r="AC15" s="897">
        <v>0</v>
      </c>
      <c r="AD15" s="897">
        <v>0</v>
      </c>
      <c r="AE15" s="897">
        <v>0</v>
      </c>
      <c r="AF15" s="897">
        <v>0</v>
      </c>
      <c r="AG15" s="897">
        <v>0</v>
      </c>
      <c r="AH15" s="897">
        <v>0</v>
      </c>
      <c r="AI15" s="897">
        <v>0</v>
      </c>
      <c r="AJ15" s="897">
        <v>0</v>
      </c>
      <c r="AK15" s="897">
        <v>0</v>
      </c>
      <c r="AL15" s="897">
        <v>0</v>
      </c>
      <c r="AM15" s="897">
        <v>0</v>
      </c>
      <c r="AN15" s="897">
        <v>0</v>
      </c>
      <c r="AO15" s="897">
        <v>0</v>
      </c>
      <c r="AP15" s="897">
        <v>109</v>
      </c>
      <c r="AQ15" s="897">
        <v>120</v>
      </c>
      <c r="AR15" s="897">
        <v>120</v>
      </c>
      <c r="AS15" s="897">
        <v>130</v>
      </c>
      <c r="AT15" s="897">
        <v>140</v>
      </c>
      <c r="AU15" s="897">
        <v>0</v>
      </c>
      <c r="AV15" s="897">
        <v>0</v>
      </c>
      <c r="AW15" s="897">
        <v>0</v>
      </c>
      <c r="AX15" s="897">
        <v>0</v>
      </c>
      <c r="AY15" s="897">
        <v>0</v>
      </c>
      <c r="AZ15" s="897">
        <v>0</v>
      </c>
      <c r="BA15" s="897">
        <v>0</v>
      </c>
      <c r="BB15" s="897">
        <v>0</v>
      </c>
      <c r="BC15" s="897">
        <v>0</v>
      </c>
      <c r="BD15" s="897">
        <v>0</v>
      </c>
      <c r="BE15" s="870">
        <f t="shared" si="3"/>
        <v>1200</v>
      </c>
    </row>
    <row r="16" spans="1:59" s="223" customFormat="1" x14ac:dyDescent="0.3">
      <c r="A16" s="895"/>
      <c r="B16" s="896" t="s">
        <v>562</v>
      </c>
      <c r="C16" s="897">
        <v>21840</v>
      </c>
      <c r="D16" s="897">
        <v>22000</v>
      </c>
      <c r="E16" s="897">
        <v>22000</v>
      </c>
      <c r="F16" s="936">
        <v>24870</v>
      </c>
      <c r="G16" s="936"/>
      <c r="H16" s="936">
        <f>F16</f>
        <v>24870</v>
      </c>
      <c r="I16" s="936">
        <v>27910</v>
      </c>
      <c r="J16" s="936"/>
      <c r="K16" s="936">
        <f>I16</f>
        <v>27910</v>
      </c>
      <c r="L16" s="897">
        <v>0</v>
      </c>
      <c r="M16" s="897">
        <v>0</v>
      </c>
      <c r="N16" s="897">
        <v>0</v>
      </c>
      <c r="O16" s="897">
        <v>0</v>
      </c>
      <c r="P16" s="897">
        <v>0</v>
      </c>
      <c r="Q16" s="897">
        <v>400</v>
      </c>
      <c r="R16" s="897">
        <v>0</v>
      </c>
      <c r="S16" s="897">
        <v>0</v>
      </c>
      <c r="T16" s="897">
        <v>0</v>
      </c>
      <c r="U16" s="897">
        <v>0</v>
      </c>
      <c r="V16" s="897">
        <v>0</v>
      </c>
      <c r="W16" s="897">
        <v>0</v>
      </c>
      <c r="X16" s="897">
        <v>0</v>
      </c>
      <c r="Y16" s="897">
        <v>0</v>
      </c>
      <c r="Z16" s="897">
        <v>0</v>
      </c>
      <c r="AA16" s="897">
        <v>0</v>
      </c>
      <c r="AB16" s="897">
        <v>0</v>
      </c>
      <c r="AC16" s="897">
        <v>0</v>
      </c>
      <c r="AD16" s="897">
        <v>0</v>
      </c>
      <c r="AE16" s="897">
        <v>0</v>
      </c>
      <c r="AF16" s="897">
        <v>20240</v>
      </c>
      <c r="AG16" s="897">
        <v>20700</v>
      </c>
      <c r="AH16" s="897">
        <v>20700</v>
      </c>
      <c r="AI16" s="897">
        <v>23470</v>
      </c>
      <c r="AJ16" s="897">
        <v>26310</v>
      </c>
      <c r="AK16" s="897">
        <v>0</v>
      </c>
      <c r="AL16" s="897">
        <v>0</v>
      </c>
      <c r="AM16" s="897">
        <v>0</v>
      </c>
      <c r="AN16" s="897">
        <v>0</v>
      </c>
      <c r="AO16" s="897">
        <v>0</v>
      </c>
      <c r="AP16" s="897">
        <v>0</v>
      </c>
      <c r="AQ16" s="897">
        <v>0</v>
      </c>
      <c r="AR16" s="897">
        <v>0</v>
      </c>
      <c r="AS16" s="897">
        <v>0</v>
      </c>
      <c r="AT16" s="897">
        <v>0</v>
      </c>
      <c r="AU16" s="897">
        <v>1200</v>
      </c>
      <c r="AV16" s="897">
        <v>1300</v>
      </c>
      <c r="AW16" s="897">
        <v>1300</v>
      </c>
      <c r="AX16" s="897">
        <v>1400</v>
      </c>
      <c r="AY16" s="897">
        <v>1600</v>
      </c>
      <c r="AZ16" s="897">
        <v>0</v>
      </c>
      <c r="BA16" s="897">
        <v>0</v>
      </c>
      <c r="BB16" s="897">
        <v>0</v>
      </c>
      <c r="BC16" s="897">
        <v>0</v>
      </c>
      <c r="BD16" s="897">
        <v>0</v>
      </c>
      <c r="BE16" s="870">
        <f t="shared" si="3"/>
        <v>22000</v>
      </c>
    </row>
    <row r="17" spans="1:57" s="223" customFormat="1" x14ac:dyDescent="0.3">
      <c r="A17" s="895"/>
      <c r="B17" s="896" t="s">
        <v>564</v>
      </c>
      <c r="C17" s="897">
        <v>0</v>
      </c>
      <c r="D17" s="897">
        <v>0</v>
      </c>
      <c r="E17" s="897">
        <v>0</v>
      </c>
      <c r="F17" s="936">
        <v>0</v>
      </c>
      <c r="G17" s="936"/>
      <c r="H17" s="936"/>
      <c r="I17" s="936">
        <v>0</v>
      </c>
      <c r="J17" s="936"/>
      <c r="K17" s="936"/>
      <c r="L17" s="897">
        <v>0</v>
      </c>
      <c r="M17" s="897"/>
      <c r="N17" s="897">
        <v>0</v>
      </c>
      <c r="O17" s="897">
        <v>0</v>
      </c>
      <c r="P17" s="897">
        <v>0</v>
      </c>
      <c r="Q17" s="897">
        <v>0</v>
      </c>
      <c r="R17" s="897"/>
      <c r="S17" s="897">
        <v>0</v>
      </c>
      <c r="T17" s="897">
        <v>0</v>
      </c>
      <c r="U17" s="897">
        <v>0</v>
      </c>
      <c r="V17" s="897">
        <v>0</v>
      </c>
      <c r="W17" s="897"/>
      <c r="X17" s="897">
        <v>0</v>
      </c>
      <c r="Y17" s="897">
        <v>0</v>
      </c>
      <c r="Z17" s="897">
        <v>0</v>
      </c>
      <c r="AA17" s="897">
        <v>0</v>
      </c>
      <c r="AB17" s="897"/>
      <c r="AC17" s="897">
        <v>0</v>
      </c>
      <c r="AD17" s="897">
        <v>0</v>
      </c>
      <c r="AE17" s="897">
        <v>0</v>
      </c>
      <c r="AF17" s="897">
        <v>0</v>
      </c>
      <c r="AG17" s="897"/>
      <c r="AH17" s="897">
        <v>0</v>
      </c>
      <c r="AI17" s="897">
        <v>0</v>
      </c>
      <c r="AJ17" s="897">
        <v>0</v>
      </c>
      <c r="AK17" s="897">
        <v>0</v>
      </c>
      <c r="AL17" s="897"/>
      <c r="AM17" s="897">
        <v>0</v>
      </c>
      <c r="AN17" s="897">
        <v>0</v>
      </c>
      <c r="AO17" s="897">
        <v>0</v>
      </c>
      <c r="AP17" s="897">
        <v>0</v>
      </c>
      <c r="AQ17" s="897"/>
      <c r="AR17" s="897">
        <v>0</v>
      </c>
      <c r="AS17" s="897">
        <v>0</v>
      </c>
      <c r="AT17" s="897">
        <v>0</v>
      </c>
      <c r="AU17" s="897">
        <v>0</v>
      </c>
      <c r="AV17" s="897"/>
      <c r="AW17" s="897">
        <v>0</v>
      </c>
      <c r="AX17" s="897">
        <v>0</v>
      </c>
      <c r="AY17" s="897">
        <v>0</v>
      </c>
      <c r="AZ17" s="897">
        <v>0</v>
      </c>
      <c r="BA17" s="897"/>
      <c r="BB17" s="897">
        <v>0</v>
      </c>
      <c r="BC17" s="897">
        <v>0</v>
      </c>
      <c r="BD17" s="897">
        <v>0</v>
      </c>
      <c r="BE17" s="870">
        <f t="shared" si="3"/>
        <v>0</v>
      </c>
    </row>
    <row r="18" spans="1:57" s="894" customFormat="1" ht="35.25" x14ac:dyDescent="0.35">
      <c r="A18" s="891" t="s">
        <v>439</v>
      </c>
      <c r="B18" s="892" t="s">
        <v>1542</v>
      </c>
      <c r="C18" s="898">
        <v>6817.0579428571427</v>
      </c>
      <c r="D18" s="893">
        <v>8000</v>
      </c>
      <c r="E18" s="893">
        <v>8000.0648959999999</v>
      </c>
      <c r="F18" s="935">
        <v>9120</v>
      </c>
      <c r="G18" s="935">
        <f>G19+G20+G21+G22</f>
        <v>7850</v>
      </c>
      <c r="H18" s="935">
        <f t="shared" ref="H18:I18" si="10">H19+H20+H21+H22</f>
        <v>1270</v>
      </c>
      <c r="I18" s="935">
        <f t="shared" si="10"/>
        <v>10470</v>
      </c>
      <c r="J18" s="935">
        <f>J19+J20+J21+J22</f>
        <v>9030</v>
      </c>
      <c r="K18" s="935">
        <f t="shared" ref="K18" si="11">K19+K20+K21+K22</f>
        <v>1440</v>
      </c>
      <c r="L18" s="893">
        <v>5865</v>
      </c>
      <c r="M18" s="893">
        <v>6885</v>
      </c>
      <c r="N18" s="893">
        <v>6885</v>
      </c>
      <c r="O18" s="893">
        <v>7850</v>
      </c>
      <c r="P18" s="893">
        <v>9030</v>
      </c>
      <c r="Q18" s="893">
        <v>400</v>
      </c>
      <c r="R18" s="893">
        <v>700</v>
      </c>
      <c r="S18" s="893">
        <v>700</v>
      </c>
      <c r="T18" s="893">
        <v>790</v>
      </c>
      <c r="U18" s="893">
        <v>910</v>
      </c>
      <c r="V18" s="893">
        <v>15</v>
      </c>
      <c r="W18" s="893">
        <v>10</v>
      </c>
      <c r="X18" s="893">
        <v>10</v>
      </c>
      <c r="Y18" s="893">
        <v>10</v>
      </c>
      <c r="Z18" s="893">
        <v>10</v>
      </c>
      <c r="AA18" s="893">
        <v>15</v>
      </c>
      <c r="AB18" s="893">
        <v>15</v>
      </c>
      <c r="AC18" s="893">
        <v>15</v>
      </c>
      <c r="AD18" s="893">
        <v>20</v>
      </c>
      <c r="AE18" s="893">
        <v>20</v>
      </c>
      <c r="AF18" s="893">
        <v>100</v>
      </c>
      <c r="AG18" s="893">
        <v>100</v>
      </c>
      <c r="AH18" s="893">
        <v>100</v>
      </c>
      <c r="AI18" s="893">
        <v>110</v>
      </c>
      <c r="AJ18" s="893">
        <v>130</v>
      </c>
      <c r="AK18" s="893">
        <v>230.05794285714285</v>
      </c>
      <c r="AL18" s="893">
        <v>100</v>
      </c>
      <c r="AM18" s="893">
        <v>100.064896</v>
      </c>
      <c r="AN18" s="893">
        <v>120</v>
      </c>
      <c r="AO18" s="893">
        <v>140</v>
      </c>
      <c r="AP18" s="893">
        <v>32</v>
      </c>
      <c r="AQ18" s="893">
        <v>30</v>
      </c>
      <c r="AR18" s="893">
        <v>30</v>
      </c>
      <c r="AS18" s="893">
        <v>40</v>
      </c>
      <c r="AT18" s="893">
        <v>40</v>
      </c>
      <c r="AU18" s="893">
        <v>160</v>
      </c>
      <c r="AV18" s="893">
        <v>160</v>
      </c>
      <c r="AW18" s="893">
        <v>160</v>
      </c>
      <c r="AX18" s="893">
        <v>180</v>
      </c>
      <c r="AY18" s="893">
        <v>190</v>
      </c>
      <c r="AZ18" s="893">
        <v>0</v>
      </c>
      <c r="BA18" s="893">
        <v>0</v>
      </c>
      <c r="BB18" s="893">
        <v>0</v>
      </c>
      <c r="BC18" s="893">
        <v>0</v>
      </c>
      <c r="BD18" s="893">
        <v>0</v>
      </c>
      <c r="BE18" s="870">
        <f t="shared" si="3"/>
        <v>8000</v>
      </c>
    </row>
    <row r="19" spans="1:57" s="223" customFormat="1" x14ac:dyDescent="0.3">
      <c r="A19" s="895"/>
      <c r="B19" s="896" t="s">
        <v>563</v>
      </c>
      <c r="C19" s="899">
        <v>5021</v>
      </c>
      <c r="D19" s="900">
        <v>6000</v>
      </c>
      <c r="E19" s="900">
        <v>6000</v>
      </c>
      <c r="F19" s="937">
        <v>6920</v>
      </c>
      <c r="G19" s="937">
        <f>O19</f>
        <v>6340</v>
      </c>
      <c r="H19" s="937">
        <f>F19-G19</f>
        <v>580</v>
      </c>
      <c r="I19" s="937">
        <v>7950</v>
      </c>
      <c r="J19" s="937">
        <f>P19</f>
        <v>7290</v>
      </c>
      <c r="K19" s="937">
        <f>I19-J19</f>
        <v>660</v>
      </c>
      <c r="L19" s="900">
        <v>4665</v>
      </c>
      <c r="M19" s="900">
        <v>5510</v>
      </c>
      <c r="N19" s="900">
        <v>5510</v>
      </c>
      <c r="O19" s="900">
        <v>6340</v>
      </c>
      <c r="P19" s="900">
        <v>7290</v>
      </c>
      <c r="Q19" s="900">
        <v>150</v>
      </c>
      <c r="R19" s="900">
        <v>300</v>
      </c>
      <c r="S19" s="900">
        <v>300</v>
      </c>
      <c r="T19" s="900">
        <v>350</v>
      </c>
      <c r="U19" s="900">
        <v>400</v>
      </c>
      <c r="V19" s="900">
        <v>5</v>
      </c>
      <c r="W19" s="900">
        <v>0</v>
      </c>
      <c r="X19" s="900">
        <v>0</v>
      </c>
      <c r="Y19" s="900">
        <v>0</v>
      </c>
      <c r="Z19" s="900">
        <v>0</v>
      </c>
      <c r="AA19" s="900">
        <v>0</v>
      </c>
      <c r="AB19" s="900">
        <v>0</v>
      </c>
      <c r="AC19" s="900">
        <v>0</v>
      </c>
      <c r="AD19" s="900">
        <v>0</v>
      </c>
      <c r="AE19" s="900">
        <v>0</v>
      </c>
      <c r="AF19" s="900">
        <v>40</v>
      </c>
      <c r="AG19" s="900">
        <v>40</v>
      </c>
      <c r="AH19" s="900">
        <v>40</v>
      </c>
      <c r="AI19" s="900">
        <v>50</v>
      </c>
      <c r="AJ19" s="900">
        <v>60</v>
      </c>
      <c r="AK19" s="900">
        <v>60</v>
      </c>
      <c r="AL19" s="900">
        <v>50</v>
      </c>
      <c r="AM19" s="900">
        <v>50</v>
      </c>
      <c r="AN19" s="900">
        <v>60</v>
      </c>
      <c r="AO19" s="900">
        <v>70</v>
      </c>
      <c r="AP19" s="900">
        <v>1</v>
      </c>
      <c r="AQ19" s="900">
        <v>0</v>
      </c>
      <c r="AR19" s="900">
        <v>0</v>
      </c>
      <c r="AS19" s="900">
        <v>0</v>
      </c>
      <c r="AT19" s="900">
        <v>0</v>
      </c>
      <c r="AU19" s="900">
        <v>100</v>
      </c>
      <c r="AV19" s="900">
        <v>100</v>
      </c>
      <c r="AW19" s="900">
        <v>100</v>
      </c>
      <c r="AX19" s="900">
        <v>120</v>
      </c>
      <c r="AY19" s="900">
        <v>130</v>
      </c>
      <c r="AZ19" s="900">
        <v>0</v>
      </c>
      <c r="BA19" s="900">
        <v>0</v>
      </c>
      <c r="BB19" s="900">
        <v>0</v>
      </c>
      <c r="BC19" s="900">
        <v>0</v>
      </c>
      <c r="BD19" s="900">
        <v>0</v>
      </c>
      <c r="BE19" s="870">
        <f t="shared" si="3"/>
        <v>6000</v>
      </c>
    </row>
    <row r="20" spans="1:57" s="223" customFormat="1" x14ac:dyDescent="0.3">
      <c r="A20" s="895"/>
      <c r="B20" s="896" t="s">
        <v>566</v>
      </c>
      <c r="C20" s="899">
        <v>0</v>
      </c>
      <c r="D20" s="900">
        <v>0</v>
      </c>
      <c r="E20" s="900">
        <v>0</v>
      </c>
      <c r="F20" s="937">
        <v>0</v>
      </c>
      <c r="G20" s="937"/>
      <c r="H20" s="937"/>
      <c r="I20" s="937">
        <v>0</v>
      </c>
      <c r="J20" s="937"/>
      <c r="K20" s="937"/>
      <c r="L20" s="900">
        <v>0</v>
      </c>
      <c r="M20" s="900">
        <v>0</v>
      </c>
      <c r="N20" s="900">
        <v>0</v>
      </c>
      <c r="O20" s="900">
        <v>0</v>
      </c>
      <c r="P20" s="900">
        <v>0</v>
      </c>
      <c r="Q20" s="900">
        <v>0</v>
      </c>
      <c r="R20" s="900">
        <v>0</v>
      </c>
      <c r="S20" s="900">
        <v>0</v>
      </c>
      <c r="T20" s="900">
        <v>0</v>
      </c>
      <c r="U20" s="900">
        <v>0</v>
      </c>
      <c r="V20" s="900">
        <v>0</v>
      </c>
      <c r="W20" s="900">
        <v>0</v>
      </c>
      <c r="X20" s="900">
        <v>0</v>
      </c>
      <c r="Y20" s="900">
        <v>0</v>
      </c>
      <c r="Z20" s="900">
        <v>0</v>
      </c>
      <c r="AA20" s="900">
        <v>0</v>
      </c>
      <c r="AB20" s="900">
        <v>0</v>
      </c>
      <c r="AC20" s="900">
        <v>0</v>
      </c>
      <c r="AD20" s="900">
        <v>0</v>
      </c>
      <c r="AE20" s="900">
        <v>0</v>
      </c>
      <c r="AF20" s="900">
        <v>0</v>
      </c>
      <c r="AG20" s="900">
        <v>0</v>
      </c>
      <c r="AH20" s="900">
        <v>0</v>
      </c>
      <c r="AI20" s="900">
        <v>0</v>
      </c>
      <c r="AJ20" s="900">
        <v>0</v>
      </c>
      <c r="AK20" s="900">
        <v>0</v>
      </c>
      <c r="AL20" s="900">
        <v>0</v>
      </c>
      <c r="AM20" s="900">
        <v>0</v>
      </c>
      <c r="AN20" s="900">
        <v>0</v>
      </c>
      <c r="AO20" s="900">
        <v>0</v>
      </c>
      <c r="AP20" s="900">
        <v>0</v>
      </c>
      <c r="AQ20" s="900">
        <v>0</v>
      </c>
      <c r="AR20" s="900">
        <v>0</v>
      </c>
      <c r="AS20" s="900">
        <v>0</v>
      </c>
      <c r="AT20" s="900">
        <v>0</v>
      </c>
      <c r="AU20" s="900">
        <v>0</v>
      </c>
      <c r="AV20" s="900">
        <v>0</v>
      </c>
      <c r="AW20" s="900">
        <v>0</v>
      </c>
      <c r="AX20" s="900">
        <v>0</v>
      </c>
      <c r="AY20" s="900">
        <v>0</v>
      </c>
      <c r="AZ20" s="900">
        <v>0</v>
      </c>
      <c r="BA20" s="900">
        <v>0</v>
      </c>
      <c r="BB20" s="900">
        <v>0</v>
      </c>
      <c r="BC20" s="900">
        <v>0</v>
      </c>
      <c r="BD20" s="900">
        <v>0</v>
      </c>
      <c r="BE20" s="870">
        <f t="shared" si="3"/>
        <v>0</v>
      </c>
    </row>
    <row r="21" spans="1:57" s="223" customFormat="1" x14ac:dyDescent="0.3">
      <c r="A21" s="895"/>
      <c r="B21" s="896" t="s">
        <v>561</v>
      </c>
      <c r="C21" s="899">
        <v>1596</v>
      </c>
      <c r="D21" s="900">
        <v>1840</v>
      </c>
      <c r="E21" s="900">
        <v>1840</v>
      </c>
      <c r="F21" s="937">
        <v>2020</v>
      </c>
      <c r="G21" s="937">
        <f>O21</f>
        <v>1510</v>
      </c>
      <c r="H21" s="937">
        <f>F21-G21</f>
        <v>510</v>
      </c>
      <c r="I21" s="937">
        <v>2330</v>
      </c>
      <c r="J21" s="937">
        <f>P21</f>
        <v>1740</v>
      </c>
      <c r="K21" s="937">
        <f>I21-J21</f>
        <v>590</v>
      </c>
      <c r="L21" s="900">
        <v>1200</v>
      </c>
      <c r="M21" s="900">
        <v>1375</v>
      </c>
      <c r="N21" s="900">
        <v>1375</v>
      </c>
      <c r="O21" s="900">
        <v>1510</v>
      </c>
      <c r="P21" s="900">
        <v>1740</v>
      </c>
      <c r="Q21" s="900">
        <v>150</v>
      </c>
      <c r="R21" s="900">
        <v>340</v>
      </c>
      <c r="S21" s="900">
        <v>340</v>
      </c>
      <c r="T21" s="900">
        <v>370</v>
      </c>
      <c r="U21" s="900">
        <v>430</v>
      </c>
      <c r="V21" s="900">
        <v>0</v>
      </c>
      <c r="W21" s="900">
        <v>0</v>
      </c>
      <c r="X21" s="900">
        <v>0</v>
      </c>
      <c r="Y21" s="900">
        <v>0</v>
      </c>
      <c r="Z21" s="900">
        <v>0</v>
      </c>
      <c r="AA21" s="900">
        <v>0</v>
      </c>
      <c r="AB21" s="900">
        <v>0</v>
      </c>
      <c r="AC21" s="900">
        <v>0</v>
      </c>
      <c r="AD21" s="900">
        <v>0</v>
      </c>
      <c r="AE21" s="900">
        <v>0</v>
      </c>
      <c r="AF21" s="900">
        <v>40</v>
      </c>
      <c r="AG21" s="900">
        <v>40</v>
      </c>
      <c r="AH21" s="900">
        <v>40</v>
      </c>
      <c r="AI21" s="900">
        <v>40</v>
      </c>
      <c r="AJ21" s="900">
        <v>50</v>
      </c>
      <c r="AK21" s="900">
        <v>170</v>
      </c>
      <c r="AL21" s="900">
        <v>50</v>
      </c>
      <c r="AM21" s="900">
        <v>50</v>
      </c>
      <c r="AN21" s="900">
        <v>60</v>
      </c>
      <c r="AO21" s="900">
        <v>70</v>
      </c>
      <c r="AP21" s="900">
        <v>6</v>
      </c>
      <c r="AQ21" s="900">
        <v>5</v>
      </c>
      <c r="AR21" s="900">
        <v>5</v>
      </c>
      <c r="AS21" s="900">
        <v>10</v>
      </c>
      <c r="AT21" s="900">
        <v>10</v>
      </c>
      <c r="AU21" s="900">
        <v>30</v>
      </c>
      <c r="AV21" s="900">
        <v>30</v>
      </c>
      <c r="AW21" s="900">
        <v>30</v>
      </c>
      <c r="AX21" s="900">
        <v>30</v>
      </c>
      <c r="AY21" s="900">
        <v>30</v>
      </c>
      <c r="AZ21" s="900">
        <v>0</v>
      </c>
      <c r="BA21" s="900">
        <v>0</v>
      </c>
      <c r="BB21" s="900">
        <v>0</v>
      </c>
      <c r="BC21" s="900">
        <v>0</v>
      </c>
      <c r="BD21" s="900">
        <v>0</v>
      </c>
      <c r="BE21" s="870">
        <f t="shared" si="3"/>
        <v>1840</v>
      </c>
    </row>
    <row r="22" spans="1:57" s="223" customFormat="1" x14ac:dyDescent="0.3">
      <c r="A22" s="895"/>
      <c r="B22" s="896" t="s">
        <v>562</v>
      </c>
      <c r="C22" s="899">
        <v>200</v>
      </c>
      <c r="D22" s="900">
        <v>160</v>
      </c>
      <c r="E22" s="900">
        <v>160</v>
      </c>
      <c r="F22" s="937">
        <v>180</v>
      </c>
      <c r="G22" s="937"/>
      <c r="H22" s="937">
        <f>F22</f>
        <v>180</v>
      </c>
      <c r="I22" s="937">
        <v>190</v>
      </c>
      <c r="J22" s="937"/>
      <c r="K22" s="937">
        <f>I22</f>
        <v>190</v>
      </c>
      <c r="L22" s="900">
        <v>0</v>
      </c>
      <c r="M22" s="900">
        <v>0</v>
      </c>
      <c r="N22" s="900">
        <v>0</v>
      </c>
      <c r="O22" s="900">
        <v>0</v>
      </c>
      <c r="P22" s="900">
        <v>0</v>
      </c>
      <c r="Q22" s="900">
        <v>100</v>
      </c>
      <c r="R22" s="900">
        <v>60</v>
      </c>
      <c r="S22" s="900">
        <v>60</v>
      </c>
      <c r="T22" s="900">
        <v>70</v>
      </c>
      <c r="U22" s="900">
        <v>80</v>
      </c>
      <c r="V22" s="900">
        <v>10</v>
      </c>
      <c r="W22" s="900">
        <v>10</v>
      </c>
      <c r="X22" s="900">
        <v>10</v>
      </c>
      <c r="Y22" s="900">
        <v>10</v>
      </c>
      <c r="Z22" s="900">
        <v>10</v>
      </c>
      <c r="AA22" s="900">
        <v>15</v>
      </c>
      <c r="AB22" s="900">
        <v>15</v>
      </c>
      <c r="AC22" s="900">
        <v>15</v>
      </c>
      <c r="AD22" s="900">
        <v>20</v>
      </c>
      <c r="AE22" s="900">
        <v>20</v>
      </c>
      <c r="AF22" s="900">
        <v>20</v>
      </c>
      <c r="AG22" s="900">
        <v>20</v>
      </c>
      <c r="AH22" s="900">
        <v>20</v>
      </c>
      <c r="AI22" s="900">
        <v>20</v>
      </c>
      <c r="AJ22" s="900">
        <v>20</v>
      </c>
      <c r="AK22" s="900">
        <v>0</v>
      </c>
      <c r="AL22" s="900">
        <v>0</v>
      </c>
      <c r="AM22" s="900">
        <v>0</v>
      </c>
      <c r="AN22" s="900">
        <v>0</v>
      </c>
      <c r="AO22" s="900">
        <v>0</v>
      </c>
      <c r="AP22" s="900">
        <v>25</v>
      </c>
      <c r="AQ22" s="900">
        <v>25</v>
      </c>
      <c r="AR22" s="900">
        <v>25</v>
      </c>
      <c r="AS22" s="900">
        <v>30</v>
      </c>
      <c r="AT22" s="900">
        <v>30</v>
      </c>
      <c r="AU22" s="900">
        <v>30</v>
      </c>
      <c r="AV22" s="900">
        <v>30</v>
      </c>
      <c r="AW22" s="900">
        <v>30</v>
      </c>
      <c r="AX22" s="900">
        <v>30</v>
      </c>
      <c r="AY22" s="900">
        <v>30</v>
      </c>
      <c r="AZ22" s="900">
        <v>0</v>
      </c>
      <c r="BA22" s="900">
        <v>0</v>
      </c>
      <c r="BB22" s="900">
        <v>0</v>
      </c>
      <c r="BC22" s="900">
        <v>0</v>
      </c>
      <c r="BD22" s="900">
        <v>0</v>
      </c>
      <c r="BE22" s="870">
        <f t="shared" si="3"/>
        <v>160</v>
      </c>
    </row>
    <row r="23" spans="1:57" s="890" customFormat="1" ht="33.75" x14ac:dyDescent="0.3">
      <c r="A23" s="887">
        <v>2</v>
      </c>
      <c r="B23" s="901" t="s">
        <v>1543</v>
      </c>
      <c r="C23" s="902">
        <v>5150</v>
      </c>
      <c r="D23" s="902">
        <v>1100</v>
      </c>
      <c r="E23" s="902">
        <v>1100</v>
      </c>
      <c r="F23" s="938">
        <v>1270</v>
      </c>
      <c r="G23" s="938">
        <f>G24+G25+G26+G27</f>
        <v>1270</v>
      </c>
      <c r="H23" s="938">
        <f t="shared" ref="H23:I23" si="12">H24+H25+H26+H27</f>
        <v>0</v>
      </c>
      <c r="I23" s="938">
        <f t="shared" si="12"/>
        <v>1460</v>
      </c>
      <c r="J23" s="938">
        <f>J24+J25+J26+J27</f>
        <v>1460</v>
      </c>
      <c r="K23" s="938">
        <f t="shared" ref="K23" si="13">K24+K25+K26+K27</f>
        <v>0</v>
      </c>
      <c r="L23" s="902">
        <v>5150</v>
      </c>
      <c r="M23" s="893">
        <v>1100</v>
      </c>
      <c r="N23" s="893">
        <v>1100</v>
      </c>
      <c r="O23" s="893">
        <v>1270</v>
      </c>
      <c r="P23" s="893">
        <v>1460</v>
      </c>
      <c r="Q23" s="902">
        <v>0</v>
      </c>
      <c r="R23" s="893">
        <v>0</v>
      </c>
      <c r="S23" s="902">
        <v>0</v>
      </c>
      <c r="T23" s="893">
        <v>0</v>
      </c>
      <c r="U23" s="893">
        <v>0</v>
      </c>
      <c r="V23" s="902">
        <v>0</v>
      </c>
      <c r="W23" s="893">
        <v>0</v>
      </c>
      <c r="X23" s="902">
        <v>0</v>
      </c>
      <c r="Y23" s="893">
        <v>0</v>
      </c>
      <c r="Z23" s="893">
        <v>0</v>
      </c>
      <c r="AA23" s="902">
        <v>0</v>
      </c>
      <c r="AB23" s="893">
        <v>0</v>
      </c>
      <c r="AC23" s="902">
        <v>0</v>
      </c>
      <c r="AD23" s="893">
        <v>0</v>
      </c>
      <c r="AE23" s="893">
        <v>0</v>
      </c>
      <c r="AF23" s="902">
        <v>0</v>
      </c>
      <c r="AG23" s="893">
        <v>0</v>
      </c>
      <c r="AH23" s="902">
        <v>0</v>
      </c>
      <c r="AI23" s="893">
        <v>0</v>
      </c>
      <c r="AJ23" s="893">
        <v>0</v>
      </c>
      <c r="AK23" s="902">
        <v>0</v>
      </c>
      <c r="AL23" s="893">
        <v>0</v>
      </c>
      <c r="AM23" s="902">
        <v>0</v>
      </c>
      <c r="AN23" s="893">
        <v>0</v>
      </c>
      <c r="AO23" s="893">
        <v>0</v>
      </c>
      <c r="AP23" s="902">
        <v>0</v>
      </c>
      <c r="AQ23" s="893">
        <v>0</v>
      </c>
      <c r="AR23" s="902">
        <v>0</v>
      </c>
      <c r="AS23" s="893">
        <v>0</v>
      </c>
      <c r="AT23" s="893">
        <v>0</v>
      </c>
      <c r="AU23" s="902">
        <v>0</v>
      </c>
      <c r="AV23" s="893">
        <v>0</v>
      </c>
      <c r="AW23" s="902">
        <v>0</v>
      </c>
      <c r="AX23" s="893">
        <v>0</v>
      </c>
      <c r="AY23" s="893">
        <v>0</v>
      </c>
      <c r="AZ23" s="902">
        <v>0</v>
      </c>
      <c r="BA23" s="893">
        <v>0</v>
      </c>
      <c r="BB23" s="902">
        <v>0</v>
      </c>
      <c r="BC23" s="893">
        <v>0</v>
      </c>
      <c r="BD23" s="893">
        <v>0</v>
      </c>
      <c r="BE23" s="870">
        <f t="shared" si="3"/>
        <v>1100</v>
      </c>
    </row>
    <row r="24" spans="1:57" x14ac:dyDescent="0.3">
      <c r="A24" s="903"/>
      <c r="B24" s="904" t="s">
        <v>563</v>
      </c>
      <c r="C24" s="905">
        <v>3200</v>
      </c>
      <c r="D24" s="905">
        <v>1100</v>
      </c>
      <c r="E24" s="905">
        <v>1100</v>
      </c>
      <c r="F24" s="939">
        <v>1270</v>
      </c>
      <c r="G24" s="939">
        <f>F24</f>
        <v>1270</v>
      </c>
      <c r="H24" s="939"/>
      <c r="I24" s="939">
        <v>1460</v>
      </c>
      <c r="J24" s="939">
        <f>I24</f>
        <v>1460</v>
      </c>
      <c r="K24" s="939"/>
      <c r="L24" s="905">
        <v>3200</v>
      </c>
      <c r="M24" s="900">
        <v>1100</v>
      </c>
      <c r="N24" s="905">
        <v>1100</v>
      </c>
      <c r="O24" s="905">
        <v>1270</v>
      </c>
      <c r="P24" s="905">
        <v>1460</v>
      </c>
      <c r="Q24" s="905"/>
      <c r="R24" s="900">
        <v>0</v>
      </c>
      <c r="S24" s="905"/>
      <c r="T24" s="905">
        <v>0</v>
      </c>
      <c r="U24" s="905">
        <v>0</v>
      </c>
      <c r="V24" s="905"/>
      <c r="W24" s="900">
        <v>0</v>
      </c>
      <c r="X24" s="905"/>
      <c r="Y24" s="905">
        <v>0</v>
      </c>
      <c r="Z24" s="905">
        <v>0</v>
      </c>
      <c r="AA24" s="905"/>
      <c r="AB24" s="900">
        <v>0</v>
      </c>
      <c r="AC24" s="905"/>
      <c r="AD24" s="905">
        <v>0</v>
      </c>
      <c r="AE24" s="905">
        <v>0</v>
      </c>
      <c r="AF24" s="905"/>
      <c r="AG24" s="900">
        <v>0</v>
      </c>
      <c r="AH24" s="905"/>
      <c r="AI24" s="905">
        <v>0</v>
      </c>
      <c r="AJ24" s="905">
        <v>0</v>
      </c>
      <c r="AK24" s="905"/>
      <c r="AL24" s="900">
        <v>0</v>
      </c>
      <c r="AM24" s="905"/>
      <c r="AN24" s="905">
        <v>0</v>
      </c>
      <c r="AO24" s="905">
        <v>0</v>
      </c>
      <c r="AP24" s="905"/>
      <c r="AQ24" s="900">
        <v>0</v>
      </c>
      <c r="AR24" s="905"/>
      <c r="AS24" s="905">
        <v>0</v>
      </c>
      <c r="AT24" s="905">
        <v>0</v>
      </c>
      <c r="AU24" s="905"/>
      <c r="AV24" s="900">
        <v>0</v>
      </c>
      <c r="AW24" s="905"/>
      <c r="AX24" s="905">
        <v>0</v>
      </c>
      <c r="AY24" s="905">
        <v>0</v>
      </c>
      <c r="AZ24" s="905"/>
      <c r="BA24" s="900">
        <v>0</v>
      </c>
      <c r="BB24" s="905"/>
      <c r="BC24" s="905">
        <v>0</v>
      </c>
      <c r="BD24" s="905">
        <v>0</v>
      </c>
      <c r="BE24" s="870">
        <f t="shared" si="3"/>
        <v>1100</v>
      </c>
    </row>
    <row r="25" spans="1:57" x14ac:dyDescent="0.3">
      <c r="A25" s="903"/>
      <c r="B25" s="904" t="s">
        <v>566</v>
      </c>
      <c r="C25" s="905">
        <v>0</v>
      </c>
      <c r="D25" s="905">
        <v>0</v>
      </c>
      <c r="E25" s="905">
        <v>0</v>
      </c>
      <c r="F25" s="939">
        <v>0</v>
      </c>
      <c r="G25" s="939"/>
      <c r="H25" s="939"/>
      <c r="I25" s="939">
        <v>0</v>
      </c>
      <c r="J25" s="939"/>
      <c r="K25" s="939"/>
      <c r="L25" s="905">
        <v>0</v>
      </c>
      <c r="M25" s="900">
        <v>0</v>
      </c>
      <c r="N25" s="905">
        <v>0</v>
      </c>
      <c r="O25" s="905">
        <v>0</v>
      </c>
      <c r="P25" s="905">
        <v>0</v>
      </c>
      <c r="Q25" s="905"/>
      <c r="R25" s="900">
        <v>0</v>
      </c>
      <c r="S25" s="905"/>
      <c r="T25" s="905">
        <v>0</v>
      </c>
      <c r="U25" s="905">
        <v>0</v>
      </c>
      <c r="V25" s="905"/>
      <c r="W25" s="900">
        <v>0</v>
      </c>
      <c r="X25" s="905"/>
      <c r="Y25" s="905">
        <v>0</v>
      </c>
      <c r="Z25" s="905">
        <v>0</v>
      </c>
      <c r="AA25" s="905"/>
      <c r="AB25" s="900">
        <v>0</v>
      </c>
      <c r="AC25" s="905"/>
      <c r="AD25" s="905">
        <v>0</v>
      </c>
      <c r="AE25" s="905">
        <v>0</v>
      </c>
      <c r="AF25" s="905"/>
      <c r="AG25" s="900">
        <v>0</v>
      </c>
      <c r="AH25" s="905"/>
      <c r="AI25" s="905">
        <v>0</v>
      </c>
      <c r="AJ25" s="905">
        <v>0</v>
      </c>
      <c r="AK25" s="905"/>
      <c r="AL25" s="900">
        <v>0</v>
      </c>
      <c r="AM25" s="905"/>
      <c r="AN25" s="905">
        <v>0</v>
      </c>
      <c r="AO25" s="905">
        <v>0</v>
      </c>
      <c r="AP25" s="905"/>
      <c r="AQ25" s="900">
        <v>0</v>
      </c>
      <c r="AR25" s="905"/>
      <c r="AS25" s="905">
        <v>0</v>
      </c>
      <c r="AT25" s="905">
        <v>0</v>
      </c>
      <c r="AU25" s="905"/>
      <c r="AV25" s="900">
        <v>0</v>
      </c>
      <c r="AW25" s="905"/>
      <c r="AX25" s="905">
        <v>0</v>
      </c>
      <c r="AY25" s="905">
        <v>0</v>
      </c>
      <c r="AZ25" s="905"/>
      <c r="BA25" s="900">
        <v>0</v>
      </c>
      <c r="BB25" s="905"/>
      <c r="BC25" s="905">
        <v>0</v>
      </c>
      <c r="BD25" s="905">
        <v>0</v>
      </c>
      <c r="BE25" s="870">
        <f t="shared" si="3"/>
        <v>0</v>
      </c>
    </row>
    <row r="26" spans="1:57" x14ac:dyDescent="0.3">
      <c r="A26" s="903"/>
      <c r="B26" s="904" t="s">
        <v>561</v>
      </c>
      <c r="C26" s="905">
        <v>1780</v>
      </c>
      <c r="D26" s="905">
        <v>0</v>
      </c>
      <c r="E26" s="905">
        <v>0</v>
      </c>
      <c r="F26" s="939">
        <v>0</v>
      </c>
      <c r="G26" s="939"/>
      <c r="H26" s="939"/>
      <c r="I26" s="939">
        <v>0</v>
      </c>
      <c r="J26" s="939"/>
      <c r="K26" s="939"/>
      <c r="L26" s="905">
        <v>1780</v>
      </c>
      <c r="M26" s="900">
        <v>0</v>
      </c>
      <c r="N26" s="905">
        <v>0</v>
      </c>
      <c r="O26" s="905">
        <v>0</v>
      </c>
      <c r="P26" s="905">
        <v>0</v>
      </c>
      <c r="Q26" s="905"/>
      <c r="R26" s="900">
        <v>0</v>
      </c>
      <c r="S26" s="905"/>
      <c r="T26" s="905">
        <v>0</v>
      </c>
      <c r="U26" s="905">
        <v>0</v>
      </c>
      <c r="V26" s="905"/>
      <c r="W26" s="900">
        <v>0</v>
      </c>
      <c r="X26" s="905"/>
      <c r="Y26" s="905">
        <v>0</v>
      </c>
      <c r="Z26" s="905">
        <v>0</v>
      </c>
      <c r="AA26" s="905"/>
      <c r="AB26" s="900">
        <v>0</v>
      </c>
      <c r="AC26" s="905"/>
      <c r="AD26" s="905">
        <v>0</v>
      </c>
      <c r="AE26" s="905">
        <v>0</v>
      </c>
      <c r="AF26" s="905"/>
      <c r="AG26" s="900">
        <v>0</v>
      </c>
      <c r="AH26" s="905"/>
      <c r="AI26" s="905">
        <v>0</v>
      </c>
      <c r="AJ26" s="905">
        <v>0</v>
      </c>
      <c r="AK26" s="905"/>
      <c r="AL26" s="900">
        <v>0</v>
      </c>
      <c r="AM26" s="905"/>
      <c r="AN26" s="905">
        <v>0</v>
      </c>
      <c r="AO26" s="905">
        <v>0</v>
      </c>
      <c r="AP26" s="905"/>
      <c r="AQ26" s="900">
        <v>0</v>
      </c>
      <c r="AR26" s="905"/>
      <c r="AS26" s="905">
        <v>0</v>
      </c>
      <c r="AT26" s="905">
        <v>0</v>
      </c>
      <c r="AU26" s="905"/>
      <c r="AV26" s="900">
        <v>0</v>
      </c>
      <c r="AW26" s="905"/>
      <c r="AX26" s="905">
        <v>0</v>
      </c>
      <c r="AY26" s="905">
        <v>0</v>
      </c>
      <c r="AZ26" s="905"/>
      <c r="BA26" s="900">
        <v>0</v>
      </c>
      <c r="BB26" s="905"/>
      <c r="BC26" s="905">
        <v>0</v>
      </c>
      <c r="BD26" s="905">
        <v>0</v>
      </c>
      <c r="BE26" s="870">
        <f t="shared" si="3"/>
        <v>0</v>
      </c>
    </row>
    <row r="27" spans="1:57" x14ac:dyDescent="0.3">
      <c r="A27" s="903"/>
      <c r="B27" s="904" t="s">
        <v>562</v>
      </c>
      <c r="C27" s="905">
        <v>170</v>
      </c>
      <c r="D27" s="905">
        <v>0</v>
      </c>
      <c r="E27" s="905">
        <v>0</v>
      </c>
      <c r="F27" s="939">
        <v>0</v>
      </c>
      <c r="G27" s="939"/>
      <c r="H27" s="939"/>
      <c r="I27" s="939">
        <v>0</v>
      </c>
      <c r="J27" s="939"/>
      <c r="K27" s="939"/>
      <c r="L27" s="905">
        <v>170</v>
      </c>
      <c r="M27" s="900">
        <v>0</v>
      </c>
      <c r="N27" s="905">
        <v>0</v>
      </c>
      <c r="O27" s="905">
        <v>0</v>
      </c>
      <c r="P27" s="905">
        <v>0</v>
      </c>
      <c r="Q27" s="905"/>
      <c r="R27" s="900">
        <v>0</v>
      </c>
      <c r="S27" s="905"/>
      <c r="T27" s="905">
        <v>0</v>
      </c>
      <c r="U27" s="905">
        <v>0</v>
      </c>
      <c r="V27" s="905"/>
      <c r="W27" s="900">
        <v>0</v>
      </c>
      <c r="X27" s="905"/>
      <c r="Y27" s="905">
        <v>0</v>
      </c>
      <c r="Z27" s="905">
        <v>0</v>
      </c>
      <c r="AA27" s="905"/>
      <c r="AB27" s="900">
        <v>0</v>
      </c>
      <c r="AC27" s="905"/>
      <c r="AD27" s="905">
        <v>0</v>
      </c>
      <c r="AE27" s="905">
        <v>0</v>
      </c>
      <c r="AF27" s="905"/>
      <c r="AG27" s="900">
        <v>0</v>
      </c>
      <c r="AH27" s="905"/>
      <c r="AI27" s="905">
        <v>0</v>
      </c>
      <c r="AJ27" s="905">
        <v>0</v>
      </c>
      <c r="AK27" s="905"/>
      <c r="AL27" s="900">
        <v>0</v>
      </c>
      <c r="AM27" s="905"/>
      <c r="AN27" s="905">
        <v>0</v>
      </c>
      <c r="AO27" s="905">
        <v>0</v>
      </c>
      <c r="AP27" s="905"/>
      <c r="AQ27" s="900">
        <v>0</v>
      </c>
      <c r="AR27" s="905"/>
      <c r="AS27" s="905">
        <v>0</v>
      </c>
      <c r="AT27" s="905">
        <v>0</v>
      </c>
      <c r="AU27" s="905"/>
      <c r="AV27" s="900">
        <v>0</v>
      </c>
      <c r="AW27" s="905"/>
      <c r="AX27" s="905">
        <v>0</v>
      </c>
      <c r="AY27" s="905">
        <v>0</v>
      </c>
      <c r="AZ27" s="905"/>
      <c r="BA27" s="900">
        <v>0</v>
      </c>
      <c r="BB27" s="905"/>
      <c r="BC27" s="905">
        <v>0</v>
      </c>
      <c r="BD27" s="905">
        <v>0</v>
      </c>
      <c r="BE27" s="870">
        <f t="shared" si="3"/>
        <v>0</v>
      </c>
    </row>
    <row r="28" spans="1:57" s="890" customFormat="1" ht="33.75" x14ac:dyDescent="0.3">
      <c r="A28" s="887">
        <v>3</v>
      </c>
      <c r="B28" s="888" t="s">
        <v>568</v>
      </c>
      <c r="C28" s="889">
        <v>153389.29639999999</v>
      </c>
      <c r="D28" s="889">
        <v>186000</v>
      </c>
      <c r="E28" s="889">
        <v>193000</v>
      </c>
      <c r="F28" s="934">
        <v>222520</v>
      </c>
      <c r="G28" s="934">
        <f>G29+G30+G31+G32+G33+G34</f>
        <v>114300</v>
      </c>
      <c r="H28" s="934">
        <f t="shared" ref="H28:I28" si="14">H29+H30+H31+H32+H33+H34</f>
        <v>108220</v>
      </c>
      <c r="I28" s="934">
        <f t="shared" si="14"/>
        <v>258710</v>
      </c>
      <c r="J28" s="934">
        <f>J29+J30+J31+J32+J33+J34</f>
        <v>133040</v>
      </c>
      <c r="K28" s="934">
        <f t="shared" ref="K28" si="15">K29+K30+K31+K32+K33+K34</f>
        <v>125670</v>
      </c>
      <c r="L28" s="889">
        <v>72200</v>
      </c>
      <c r="M28" s="893">
        <v>99125</v>
      </c>
      <c r="N28" s="893">
        <v>99125</v>
      </c>
      <c r="O28" s="893">
        <v>113760</v>
      </c>
      <c r="P28" s="893">
        <v>132430</v>
      </c>
      <c r="Q28" s="889">
        <v>21407</v>
      </c>
      <c r="R28" s="893">
        <v>25580</v>
      </c>
      <c r="S28" s="889">
        <v>25800</v>
      </c>
      <c r="T28" s="893">
        <v>30270</v>
      </c>
      <c r="U28" s="893">
        <v>35770</v>
      </c>
      <c r="V28" s="889">
        <v>5060</v>
      </c>
      <c r="W28" s="893">
        <v>5365</v>
      </c>
      <c r="X28" s="889">
        <v>5735</v>
      </c>
      <c r="Y28" s="893">
        <v>6600</v>
      </c>
      <c r="Z28" s="893">
        <v>7580</v>
      </c>
      <c r="AA28" s="889">
        <v>5070</v>
      </c>
      <c r="AB28" s="893">
        <v>4080</v>
      </c>
      <c r="AC28" s="889">
        <v>4280</v>
      </c>
      <c r="AD28" s="893">
        <v>4920</v>
      </c>
      <c r="AE28" s="893">
        <v>5650</v>
      </c>
      <c r="AF28" s="889">
        <v>28010</v>
      </c>
      <c r="AG28" s="893">
        <v>29140</v>
      </c>
      <c r="AH28" s="889">
        <v>33340</v>
      </c>
      <c r="AI28" s="893">
        <v>38340</v>
      </c>
      <c r="AJ28" s="893">
        <v>44080</v>
      </c>
      <c r="AK28" s="889">
        <v>4845</v>
      </c>
      <c r="AL28" s="893">
        <v>5220</v>
      </c>
      <c r="AM28" s="889">
        <v>5520</v>
      </c>
      <c r="AN28" s="893">
        <v>6390</v>
      </c>
      <c r="AO28" s="893">
        <v>7440</v>
      </c>
      <c r="AP28" s="889">
        <v>6687.2964000000002</v>
      </c>
      <c r="AQ28" s="893">
        <v>6670</v>
      </c>
      <c r="AR28" s="889">
        <v>7600</v>
      </c>
      <c r="AS28" s="893">
        <v>8890</v>
      </c>
      <c r="AT28" s="893">
        <v>10420</v>
      </c>
      <c r="AU28" s="889">
        <v>8220</v>
      </c>
      <c r="AV28" s="893">
        <v>8680</v>
      </c>
      <c r="AW28" s="889">
        <v>9450</v>
      </c>
      <c r="AX28" s="893">
        <v>10870</v>
      </c>
      <c r="AY28" s="893">
        <v>12490</v>
      </c>
      <c r="AZ28" s="889">
        <v>1890</v>
      </c>
      <c r="BA28" s="893">
        <v>2140</v>
      </c>
      <c r="BB28" s="889">
        <v>2150</v>
      </c>
      <c r="BC28" s="893">
        <v>2480</v>
      </c>
      <c r="BD28" s="893">
        <v>2850</v>
      </c>
      <c r="BE28" s="870">
        <f t="shared" si="3"/>
        <v>186000</v>
      </c>
    </row>
    <row r="29" spans="1:57" x14ac:dyDescent="0.3">
      <c r="A29" s="903"/>
      <c r="B29" s="904" t="s">
        <v>563</v>
      </c>
      <c r="C29" s="900">
        <v>117710</v>
      </c>
      <c r="D29" s="900">
        <v>150000</v>
      </c>
      <c r="E29" s="900">
        <v>150000</v>
      </c>
      <c r="F29" s="937">
        <v>173150</v>
      </c>
      <c r="G29" s="937">
        <f>O29</f>
        <v>105110</v>
      </c>
      <c r="H29" s="937">
        <f>F29-G29</f>
        <v>68040</v>
      </c>
      <c r="I29" s="937">
        <v>200890</v>
      </c>
      <c r="J29" s="937">
        <f>P29</f>
        <v>121650</v>
      </c>
      <c r="K29" s="937">
        <f>I29-J29</f>
        <v>79240</v>
      </c>
      <c r="L29" s="900">
        <v>64990</v>
      </c>
      <c r="M29" s="900">
        <v>91400</v>
      </c>
      <c r="N29" s="900">
        <v>91400</v>
      </c>
      <c r="O29" s="900">
        <v>105110</v>
      </c>
      <c r="P29" s="900">
        <v>121650</v>
      </c>
      <c r="Q29" s="900">
        <v>19000</v>
      </c>
      <c r="R29" s="900">
        <v>23400</v>
      </c>
      <c r="S29" s="900">
        <v>23400</v>
      </c>
      <c r="T29" s="900">
        <v>27540</v>
      </c>
      <c r="U29" s="900">
        <v>32670</v>
      </c>
      <c r="V29" s="900">
        <v>3208</v>
      </c>
      <c r="W29" s="900">
        <v>4000</v>
      </c>
      <c r="X29" s="900">
        <v>4000</v>
      </c>
      <c r="Y29" s="900">
        <v>4600</v>
      </c>
      <c r="Z29" s="900">
        <v>5290</v>
      </c>
      <c r="AA29" s="900">
        <v>4430</v>
      </c>
      <c r="AB29" s="900">
        <v>3100</v>
      </c>
      <c r="AC29" s="900">
        <v>3100</v>
      </c>
      <c r="AD29" s="900">
        <v>3570</v>
      </c>
      <c r="AE29" s="900">
        <v>4110</v>
      </c>
      <c r="AF29" s="900">
        <v>11500</v>
      </c>
      <c r="AG29" s="900">
        <v>13900</v>
      </c>
      <c r="AH29" s="900">
        <v>13900</v>
      </c>
      <c r="AI29" s="900">
        <v>15990</v>
      </c>
      <c r="AJ29" s="900">
        <v>18390</v>
      </c>
      <c r="AK29" s="900">
        <v>3400</v>
      </c>
      <c r="AL29" s="900">
        <v>3900</v>
      </c>
      <c r="AM29" s="900">
        <v>3900</v>
      </c>
      <c r="AN29" s="900">
        <v>4490</v>
      </c>
      <c r="AO29" s="900">
        <v>5160</v>
      </c>
      <c r="AP29" s="900">
        <v>4432</v>
      </c>
      <c r="AQ29" s="900">
        <v>2450</v>
      </c>
      <c r="AR29" s="900">
        <v>2450</v>
      </c>
      <c r="AS29" s="900">
        <v>2820</v>
      </c>
      <c r="AT29" s="900">
        <v>3240</v>
      </c>
      <c r="AU29" s="900">
        <v>5000</v>
      </c>
      <c r="AV29" s="900">
        <v>5800</v>
      </c>
      <c r="AW29" s="900">
        <v>5800</v>
      </c>
      <c r="AX29" s="900">
        <v>6670</v>
      </c>
      <c r="AY29" s="900">
        <v>7670</v>
      </c>
      <c r="AZ29" s="900">
        <v>1750</v>
      </c>
      <c r="BA29" s="900">
        <v>2050</v>
      </c>
      <c r="BB29" s="900">
        <v>2050</v>
      </c>
      <c r="BC29" s="900">
        <v>2360</v>
      </c>
      <c r="BD29" s="900">
        <v>2710</v>
      </c>
      <c r="BE29" s="870">
        <f t="shared" si="3"/>
        <v>150000</v>
      </c>
    </row>
    <row r="30" spans="1:57" x14ac:dyDescent="0.3">
      <c r="A30" s="903"/>
      <c r="B30" s="904" t="s">
        <v>566</v>
      </c>
      <c r="C30" s="900">
        <v>437</v>
      </c>
      <c r="D30" s="900">
        <v>500</v>
      </c>
      <c r="E30" s="900">
        <v>500</v>
      </c>
      <c r="F30" s="937">
        <v>570</v>
      </c>
      <c r="G30" s="937">
        <f>F30</f>
        <v>570</v>
      </c>
      <c r="H30" s="937"/>
      <c r="I30" s="937">
        <v>640</v>
      </c>
      <c r="J30" s="937">
        <f>I30</f>
        <v>640</v>
      </c>
      <c r="K30" s="937"/>
      <c r="L30" s="900">
        <v>10</v>
      </c>
      <c r="M30" s="900">
        <v>25</v>
      </c>
      <c r="N30" s="900">
        <v>25</v>
      </c>
      <c r="O30" s="900">
        <v>30</v>
      </c>
      <c r="P30" s="900">
        <v>30</v>
      </c>
      <c r="Q30" s="900">
        <v>357</v>
      </c>
      <c r="R30" s="900">
        <v>400</v>
      </c>
      <c r="S30" s="900">
        <v>400</v>
      </c>
      <c r="T30" s="900">
        <v>460</v>
      </c>
      <c r="U30" s="900">
        <v>530</v>
      </c>
      <c r="V30" s="900">
        <v>15</v>
      </c>
      <c r="W30" s="900">
        <v>15</v>
      </c>
      <c r="X30" s="900">
        <v>15</v>
      </c>
      <c r="Y30" s="900">
        <v>20</v>
      </c>
      <c r="Z30" s="900">
        <v>20</v>
      </c>
      <c r="AA30" s="900">
        <v>30</v>
      </c>
      <c r="AB30" s="900">
        <v>30</v>
      </c>
      <c r="AC30" s="900">
        <v>30</v>
      </c>
      <c r="AD30" s="900">
        <v>30</v>
      </c>
      <c r="AE30" s="900">
        <v>30</v>
      </c>
      <c r="AF30" s="900">
        <v>10</v>
      </c>
      <c r="AG30" s="900">
        <v>10</v>
      </c>
      <c r="AH30" s="900">
        <v>10</v>
      </c>
      <c r="AI30" s="900">
        <v>10</v>
      </c>
      <c r="AJ30" s="900">
        <v>10</v>
      </c>
      <c r="AK30" s="900">
        <v>15</v>
      </c>
      <c r="AL30" s="900">
        <v>20</v>
      </c>
      <c r="AM30" s="900">
        <v>20</v>
      </c>
      <c r="AN30" s="900">
        <v>20</v>
      </c>
      <c r="AO30" s="900">
        <v>20</v>
      </c>
      <c r="AP30" s="900">
        <v>0</v>
      </c>
      <c r="AQ30" s="900">
        <v>0</v>
      </c>
      <c r="AR30" s="900">
        <v>0</v>
      </c>
      <c r="AS30" s="900">
        <v>0</v>
      </c>
      <c r="AT30" s="900">
        <v>0</v>
      </c>
      <c r="AU30" s="900">
        <v>0</v>
      </c>
      <c r="AV30" s="900">
        <v>0</v>
      </c>
      <c r="AW30" s="900">
        <v>0</v>
      </c>
      <c r="AX30" s="900">
        <v>0</v>
      </c>
      <c r="AY30" s="900">
        <v>0</v>
      </c>
      <c r="AZ30" s="900">
        <v>0</v>
      </c>
      <c r="BA30" s="900">
        <v>0</v>
      </c>
      <c r="BB30" s="900">
        <v>0</v>
      </c>
      <c r="BC30" s="900">
        <v>0</v>
      </c>
      <c r="BD30" s="900">
        <v>0</v>
      </c>
      <c r="BE30" s="870">
        <f t="shared" si="3"/>
        <v>500</v>
      </c>
    </row>
    <row r="31" spans="1:57" x14ac:dyDescent="0.3">
      <c r="A31" s="903"/>
      <c r="B31" s="904" t="s">
        <v>561</v>
      </c>
      <c r="C31" s="900">
        <v>9445.2963999999993</v>
      </c>
      <c r="D31" s="900">
        <v>10500</v>
      </c>
      <c r="E31" s="900">
        <v>10500</v>
      </c>
      <c r="F31" s="937">
        <v>11760</v>
      </c>
      <c r="G31" s="937">
        <f>O31</f>
        <v>8620</v>
      </c>
      <c r="H31" s="937">
        <f>F31-G31</f>
        <v>3140</v>
      </c>
      <c r="I31" s="937">
        <v>14250</v>
      </c>
      <c r="J31" s="937">
        <f>P31</f>
        <v>10750</v>
      </c>
      <c r="K31" s="937">
        <f>I31-J31</f>
        <v>3500</v>
      </c>
      <c r="L31" s="900">
        <v>7200</v>
      </c>
      <c r="M31" s="900">
        <v>7700</v>
      </c>
      <c r="N31" s="900">
        <v>7700</v>
      </c>
      <c r="O31" s="900">
        <v>8620</v>
      </c>
      <c r="P31" s="900">
        <v>10750</v>
      </c>
      <c r="Q31" s="900">
        <v>800</v>
      </c>
      <c r="R31" s="900">
        <v>1000</v>
      </c>
      <c r="S31" s="900">
        <v>1000</v>
      </c>
      <c r="T31" s="900">
        <v>1120</v>
      </c>
      <c r="U31" s="900">
        <v>1250</v>
      </c>
      <c r="V31" s="900">
        <v>15</v>
      </c>
      <c r="W31" s="900">
        <v>20</v>
      </c>
      <c r="X31" s="900">
        <v>20</v>
      </c>
      <c r="Y31" s="900">
        <v>20</v>
      </c>
      <c r="Z31" s="900">
        <v>20</v>
      </c>
      <c r="AA31" s="900">
        <v>70</v>
      </c>
      <c r="AB31" s="900">
        <v>250</v>
      </c>
      <c r="AC31" s="900">
        <v>250</v>
      </c>
      <c r="AD31" s="900">
        <v>280</v>
      </c>
      <c r="AE31" s="900">
        <v>310</v>
      </c>
      <c r="AF31" s="900">
        <v>200</v>
      </c>
      <c r="AG31" s="900">
        <v>230</v>
      </c>
      <c r="AH31" s="900">
        <v>230</v>
      </c>
      <c r="AI31" s="900">
        <v>260</v>
      </c>
      <c r="AJ31" s="900">
        <v>290</v>
      </c>
      <c r="AK31" s="900">
        <v>140</v>
      </c>
      <c r="AL31" s="900">
        <v>250</v>
      </c>
      <c r="AM31" s="900">
        <v>250</v>
      </c>
      <c r="AN31" s="900">
        <v>280</v>
      </c>
      <c r="AO31" s="900">
        <v>310</v>
      </c>
      <c r="AP31" s="900">
        <v>860.29639999999995</v>
      </c>
      <c r="AQ31" s="900">
        <v>850</v>
      </c>
      <c r="AR31" s="900">
        <v>850</v>
      </c>
      <c r="AS31" s="900">
        <v>950</v>
      </c>
      <c r="AT31" s="900">
        <v>1060</v>
      </c>
      <c r="AU31" s="900">
        <v>120</v>
      </c>
      <c r="AV31" s="900">
        <v>150</v>
      </c>
      <c r="AW31" s="900">
        <v>150</v>
      </c>
      <c r="AX31" s="900">
        <v>170</v>
      </c>
      <c r="AY31" s="900">
        <v>190</v>
      </c>
      <c r="AZ31" s="900">
        <v>40</v>
      </c>
      <c r="BA31" s="900">
        <v>50</v>
      </c>
      <c r="BB31" s="900">
        <v>50</v>
      </c>
      <c r="BC31" s="900">
        <v>60</v>
      </c>
      <c r="BD31" s="900">
        <v>70</v>
      </c>
      <c r="BE31" s="870">
        <f t="shared" si="3"/>
        <v>10500</v>
      </c>
    </row>
    <row r="32" spans="1:57" s="909" customFormat="1" x14ac:dyDescent="0.3">
      <c r="A32" s="906"/>
      <c r="B32" s="907" t="s">
        <v>562</v>
      </c>
      <c r="C32" s="908">
        <v>25797</v>
      </c>
      <c r="D32" s="908">
        <v>25000</v>
      </c>
      <c r="E32" s="908">
        <v>32000</v>
      </c>
      <c r="F32" s="940">
        <v>37040</v>
      </c>
      <c r="G32" s="940"/>
      <c r="H32" s="940">
        <f>F32</f>
        <v>37040</v>
      </c>
      <c r="I32" s="940">
        <v>42930</v>
      </c>
      <c r="J32" s="940"/>
      <c r="K32" s="940">
        <f>I32</f>
        <v>42930</v>
      </c>
      <c r="L32" s="908">
        <v>0</v>
      </c>
      <c r="M32" s="908">
        <v>0</v>
      </c>
      <c r="N32" s="908">
        <v>0</v>
      </c>
      <c r="O32" s="908">
        <v>0</v>
      </c>
      <c r="P32" s="908">
        <v>0</v>
      </c>
      <c r="Q32" s="908">
        <v>1250</v>
      </c>
      <c r="R32" s="908">
        <v>780</v>
      </c>
      <c r="S32" s="908">
        <v>1000</v>
      </c>
      <c r="T32" s="908">
        <v>1150</v>
      </c>
      <c r="U32" s="908">
        <v>1320</v>
      </c>
      <c r="V32" s="908">
        <v>1822</v>
      </c>
      <c r="W32" s="908">
        <v>1330</v>
      </c>
      <c r="X32" s="908">
        <v>1700</v>
      </c>
      <c r="Y32" s="908">
        <v>1960</v>
      </c>
      <c r="Z32" s="908">
        <v>2250</v>
      </c>
      <c r="AA32" s="908">
        <v>540</v>
      </c>
      <c r="AB32" s="908">
        <v>700</v>
      </c>
      <c r="AC32" s="908">
        <v>900</v>
      </c>
      <c r="AD32" s="908">
        <v>1040</v>
      </c>
      <c r="AE32" s="908">
        <v>1200</v>
      </c>
      <c r="AF32" s="908">
        <v>16300</v>
      </c>
      <c r="AG32" s="908">
        <v>15000</v>
      </c>
      <c r="AH32" s="908">
        <v>19200</v>
      </c>
      <c r="AI32" s="908">
        <v>22080</v>
      </c>
      <c r="AJ32" s="908">
        <v>25390</v>
      </c>
      <c r="AK32" s="908">
        <v>1290</v>
      </c>
      <c r="AL32" s="908">
        <v>1050</v>
      </c>
      <c r="AM32" s="908">
        <v>1350</v>
      </c>
      <c r="AN32" s="908">
        <v>1600</v>
      </c>
      <c r="AO32" s="908">
        <v>1950</v>
      </c>
      <c r="AP32" s="908">
        <v>1395</v>
      </c>
      <c r="AQ32" s="908">
        <v>3370</v>
      </c>
      <c r="AR32" s="908">
        <v>4300</v>
      </c>
      <c r="AS32" s="908">
        <v>5120</v>
      </c>
      <c r="AT32" s="908">
        <v>6120</v>
      </c>
      <c r="AU32" s="908">
        <v>3100</v>
      </c>
      <c r="AV32" s="908">
        <v>2730</v>
      </c>
      <c r="AW32" s="908">
        <v>3500</v>
      </c>
      <c r="AX32" s="908">
        <v>4030</v>
      </c>
      <c r="AY32" s="908">
        <v>4630</v>
      </c>
      <c r="AZ32" s="908">
        <v>100</v>
      </c>
      <c r="BA32" s="908">
        <v>40</v>
      </c>
      <c r="BB32" s="908">
        <v>50</v>
      </c>
      <c r="BC32" s="908">
        <v>60</v>
      </c>
      <c r="BD32" s="908">
        <v>70</v>
      </c>
      <c r="BE32" s="870">
        <f t="shared" si="3"/>
        <v>25000</v>
      </c>
    </row>
    <row r="33" spans="1:57" x14ac:dyDescent="0.3">
      <c r="A33" s="903"/>
      <c r="B33" s="910" t="s">
        <v>1544</v>
      </c>
      <c r="C33" s="900">
        <v>0</v>
      </c>
      <c r="D33" s="900">
        <v>0</v>
      </c>
      <c r="E33" s="900">
        <v>0</v>
      </c>
      <c r="F33" s="937">
        <v>0</v>
      </c>
      <c r="G33" s="937"/>
      <c r="H33" s="937"/>
      <c r="I33" s="937">
        <v>0</v>
      </c>
      <c r="J33" s="937"/>
      <c r="K33" s="937"/>
      <c r="L33" s="900">
        <v>0</v>
      </c>
      <c r="M33" s="900">
        <v>0</v>
      </c>
      <c r="N33" s="900">
        <v>0</v>
      </c>
      <c r="O33" s="900">
        <v>0</v>
      </c>
      <c r="P33" s="900">
        <v>0</v>
      </c>
      <c r="Q33" s="900">
        <v>0</v>
      </c>
      <c r="R33" s="900">
        <v>0</v>
      </c>
      <c r="S33" s="900">
        <v>0</v>
      </c>
      <c r="T33" s="900">
        <v>0</v>
      </c>
      <c r="U33" s="900">
        <v>0</v>
      </c>
      <c r="V33" s="900">
        <v>0</v>
      </c>
      <c r="W33" s="900">
        <v>0</v>
      </c>
      <c r="X33" s="900">
        <v>0</v>
      </c>
      <c r="Y33" s="900">
        <v>0</v>
      </c>
      <c r="Z33" s="900">
        <v>0</v>
      </c>
      <c r="AA33" s="900">
        <v>0</v>
      </c>
      <c r="AB33" s="900">
        <v>0</v>
      </c>
      <c r="AC33" s="900">
        <v>0</v>
      </c>
      <c r="AD33" s="900">
        <v>0</v>
      </c>
      <c r="AE33" s="900">
        <v>0</v>
      </c>
      <c r="AF33" s="900">
        <v>0</v>
      </c>
      <c r="AG33" s="900">
        <v>0</v>
      </c>
      <c r="AH33" s="900">
        <v>0</v>
      </c>
      <c r="AI33" s="900">
        <v>0</v>
      </c>
      <c r="AJ33" s="900">
        <v>0</v>
      </c>
      <c r="AK33" s="900">
        <v>0</v>
      </c>
      <c r="AL33" s="900">
        <v>0</v>
      </c>
      <c r="AM33" s="900">
        <v>0</v>
      </c>
      <c r="AN33" s="900">
        <v>0</v>
      </c>
      <c r="AO33" s="900">
        <v>0</v>
      </c>
      <c r="AP33" s="900">
        <v>0</v>
      </c>
      <c r="AQ33" s="900">
        <v>0</v>
      </c>
      <c r="AR33" s="900">
        <v>0</v>
      </c>
      <c r="AS33" s="900">
        <v>0</v>
      </c>
      <c r="AT33" s="900">
        <v>0</v>
      </c>
      <c r="AU33" s="900">
        <v>0</v>
      </c>
      <c r="AV33" s="900">
        <v>0</v>
      </c>
      <c r="AW33" s="900">
        <v>0</v>
      </c>
      <c r="AX33" s="900">
        <v>0</v>
      </c>
      <c r="AY33" s="900">
        <v>0</v>
      </c>
      <c r="AZ33" s="900">
        <v>0</v>
      </c>
      <c r="BA33" s="900">
        <v>0</v>
      </c>
      <c r="BB33" s="900">
        <v>0</v>
      </c>
      <c r="BC33" s="900">
        <v>0</v>
      </c>
      <c r="BD33" s="900">
        <v>0</v>
      </c>
      <c r="BE33" s="870">
        <f t="shared" si="3"/>
        <v>0</v>
      </c>
    </row>
    <row r="34" spans="1:57" x14ac:dyDescent="0.3">
      <c r="A34" s="903"/>
      <c r="B34" s="910" t="s">
        <v>564</v>
      </c>
      <c r="C34" s="900">
        <v>0</v>
      </c>
      <c r="D34" s="900">
        <v>0</v>
      </c>
      <c r="E34" s="900">
        <v>0</v>
      </c>
      <c r="F34" s="937">
        <v>0</v>
      </c>
      <c r="G34" s="937"/>
      <c r="H34" s="937"/>
      <c r="I34" s="937">
        <v>0</v>
      </c>
      <c r="J34" s="937"/>
      <c r="K34" s="937"/>
      <c r="L34" s="900">
        <v>0</v>
      </c>
      <c r="M34" s="900">
        <v>0</v>
      </c>
      <c r="N34" s="900">
        <v>0</v>
      </c>
      <c r="O34" s="900">
        <v>0</v>
      </c>
      <c r="P34" s="900">
        <v>0</v>
      </c>
      <c r="Q34" s="900">
        <v>0</v>
      </c>
      <c r="R34" s="900">
        <v>0</v>
      </c>
      <c r="S34" s="900">
        <v>0</v>
      </c>
      <c r="T34" s="900">
        <v>0</v>
      </c>
      <c r="U34" s="900">
        <v>0</v>
      </c>
      <c r="V34" s="900">
        <v>0</v>
      </c>
      <c r="W34" s="900">
        <v>0</v>
      </c>
      <c r="X34" s="900">
        <v>0</v>
      </c>
      <c r="Y34" s="900">
        <v>0</v>
      </c>
      <c r="Z34" s="900">
        <v>0</v>
      </c>
      <c r="AA34" s="900">
        <v>0</v>
      </c>
      <c r="AB34" s="900">
        <v>0</v>
      </c>
      <c r="AC34" s="900">
        <v>0</v>
      </c>
      <c r="AD34" s="900">
        <v>0</v>
      </c>
      <c r="AE34" s="900">
        <v>0</v>
      </c>
      <c r="AF34" s="900">
        <v>0</v>
      </c>
      <c r="AG34" s="900">
        <v>0</v>
      </c>
      <c r="AH34" s="900">
        <v>0</v>
      </c>
      <c r="AI34" s="900">
        <v>0</v>
      </c>
      <c r="AJ34" s="900">
        <v>0</v>
      </c>
      <c r="AK34" s="900">
        <v>0</v>
      </c>
      <c r="AL34" s="900">
        <v>0</v>
      </c>
      <c r="AM34" s="900">
        <v>0</v>
      </c>
      <c r="AN34" s="900">
        <v>0</v>
      </c>
      <c r="AO34" s="900">
        <v>0</v>
      </c>
      <c r="AP34" s="900">
        <v>0</v>
      </c>
      <c r="AQ34" s="900">
        <v>0</v>
      </c>
      <c r="AR34" s="900">
        <v>0</v>
      </c>
      <c r="AS34" s="900">
        <v>0</v>
      </c>
      <c r="AT34" s="900">
        <v>0</v>
      </c>
      <c r="AU34" s="900">
        <v>0</v>
      </c>
      <c r="AV34" s="900">
        <v>0</v>
      </c>
      <c r="AW34" s="900">
        <v>0</v>
      </c>
      <c r="AX34" s="900">
        <v>0</v>
      </c>
      <c r="AY34" s="900">
        <v>0</v>
      </c>
      <c r="AZ34" s="900">
        <v>0</v>
      </c>
      <c r="BA34" s="900">
        <v>0</v>
      </c>
      <c r="BB34" s="900">
        <v>0</v>
      </c>
      <c r="BC34" s="900">
        <v>0</v>
      </c>
      <c r="BD34" s="900">
        <v>0</v>
      </c>
      <c r="BE34" s="870">
        <f t="shared" si="3"/>
        <v>0</v>
      </c>
    </row>
    <row r="35" spans="1:57" s="894" customFormat="1" ht="35.25" hidden="1" x14ac:dyDescent="0.35">
      <c r="A35" s="891" t="s">
        <v>502</v>
      </c>
      <c r="B35" s="892" t="s">
        <v>1545</v>
      </c>
      <c r="C35" s="893">
        <v>131242.29639999999</v>
      </c>
      <c r="D35" s="893">
        <v>165000</v>
      </c>
      <c r="E35" s="893">
        <v>168200</v>
      </c>
      <c r="F35" s="935">
        <v>193970</v>
      </c>
      <c r="G35" s="935">
        <f>G36+G37+G38+G39+G40+G41</f>
        <v>0</v>
      </c>
      <c r="H35" s="935">
        <f t="shared" ref="H35:I35" si="16">H36+H37+H38+H39+H40+H41</f>
        <v>0</v>
      </c>
      <c r="I35" s="935">
        <f t="shared" si="16"/>
        <v>225890</v>
      </c>
      <c r="J35" s="935">
        <f>J36+J37+J38+J39+J40+J41</f>
        <v>0</v>
      </c>
      <c r="K35" s="935">
        <f t="shared" ref="K35" si="17">K36+K37+K38+K39+K40+K41</f>
        <v>0</v>
      </c>
      <c r="L35" s="893">
        <v>72200</v>
      </c>
      <c r="M35" s="893">
        <v>99125</v>
      </c>
      <c r="N35" s="893">
        <v>99125</v>
      </c>
      <c r="O35" s="893">
        <v>113760</v>
      </c>
      <c r="P35" s="893">
        <v>132430</v>
      </c>
      <c r="Q35" s="893">
        <v>10007</v>
      </c>
      <c r="R35" s="893">
        <v>12630</v>
      </c>
      <c r="S35" s="893">
        <v>12850</v>
      </c>
      <c r="T35" s="893">
        <v>15370</v>
      </c>
      <c r="U35" s="893">
        <v>18630</v>
      </c>
      <c r="V35" s="893">
        <v>3915</v>
      </c>
      <c r="W35" s="893">
        <v>4100</v>
      </c>
      <c r="X35" s="893">
        <v>4470</v>
      </c>
      <c r="Y35" s="893">
        <v>5140</v>
      </c>
      <c r="Z35" s="893">
        <v>5910</v>
      </c>
      <c r="AA35" s="893">
        <v>3800</v>
      </c>
      <c r="AB35" s="893">
        <v>2710</v>
      </c>
      <c r="AC35" s="893">
        <v>2910</v>
      </c>
      <c r="AD35" s="893">
        <v>3340</v>
      </c>
      <c r="AE35" s="893">
        <v>3830</v>
      </c>
      <c r="AF35" s="893">
        <v>25800</v>
      </c>
      <c r="AG35" s="893">
        <v>26830</v>
      </c>
      <c r="AH35" s="893">
        <v>31030</v>
      </c>
      <c r="AI35" s="893">
        <v>35680</v>
      </c>
      <c r="AJ35" s="893">
        <v>41020</v>
      </c>
      <c r="AK35" s="893">
        <v>2450</v>
      </c>
      <c r="AL35" s="893">
        <v>2509.9999999999995</v>
      </c>
      <c r="AM35" s="893">
        <v>2809.9999999999995</v>
      </c>
      <c r="AN35" s="893">
        <v>3280</v>
      </c>
      <c r="AO35" s="893">
        <v>3870</v>
      </c>
      <c r="AP35" s="893">
        <v>5730.2964000000002</v>
      </c>
      <c r="AQ35" s="893">
        <v>5595</v>
      </c>
      <c r="AR35" s="893">
        <v>6525</v>
      </c>
      <c r="AS35" s="893">
        <v>7650</v>
      </c>
      <c r="AT35" s="893">
        <v>9000</v>
      </c>
      <c r="AU35" s="893">
        <v>6220</v>
      </c>
      <c r="AV35" s="893">
        <v>6430</v>
      </c>
      <c r="AW35" s="893">
        <v>7200</v>
      </c>
      <c r="AX35" s="893">
        <v>8280</v>
      </c>
      <c r="AY35" s="893">
        <v>9510</v>
      </c>
      <c r="AZ35" s="893">
        <v>1120</v>
      </c>
      <c r="BA35" s="893">
        <v>1270</v>
      </c>
      <c r="BB35" s="893">
        <v>1280</v>
      </c>
      <c r="BC35" s="893">
        <v>1470</v>
      </c>
      <c r="BD35" s="893">
        <v>1690</v>
      </c>
      <c r="BE35" s="870">
        <f t="shared" si="3"/>
        <v>161200</v>
      </c>
    </row>
    <row r="36" spans="1:57" hidden="1" x14ac:dyDescent="0.3">
      <c r="A36" s="895"/>
      <c r="B36" s="896" t="s">
        <v>563</v>
      </c>
      <c r="C36" s="900">
        <v>96540</v>
      </c>
      <c r="D36" s="900">
        <v>130330</v>
      </c>
      <c r="E36" s="900">
        <v>126030</v>
      </c>
      <c r="F36" s="937">
        <v>145560</v>
      </c>
      <c r="G36" s="937"/>
      <c r="H36" s="937"/>
      <c r="I36" s="937">
        <v>169160</v>
      </c>
      <c r="J36" s="937"/>
      <c r="K36" s="937"/>
      <c r="L36" s="900">
        <v>64990</v>
      </c>
      <c r="M36" s="900">
        <v>91400</v>
      </c>
      <c r="N36" s="900">
        <v>91400</v>
      </c>
      <c r="O36" s="900">
        <v>105110</v>
      </c>
      <c r="P36" s="900">
        <v>121650</v>
      </c>
      <c r="Q36" s="900">
        <v>8000</v>
      </c>
      <c r="R36" s="900">
        <v>10900</v>
      </c>
      <c r="S36" s="900">
        <v>10900</v>
      </c>
      <c r="T36" s="900">
        <v>13160</v>
      </c>
      <c r="U36" s="900">
        <v>16130</v>
      </c>
      <c r="V36" s="900">
        <v>2150</v>
      </c>
      <c r="W36" s="900">
        <v>2800</v>
      </c>
      <c r="X36" s="900">
        <v>2800</v>
      </c>
      <c r="Y36" s="900">
        <v>3220</v>
      </c>
      <c r="Z36" s="900">
        <v>3700</v>
      </c>
      <c r="AA36" s="900">
        <v>3250</v>
      </c>
      <c r="AB36" s="900">
        <v>1800</v>
      </c>
      <c r="AC36" s="900">
        <v>1800</v>
      </c>
      <c r="AD36" s="900">
        <v>2070</v>
      </c>
      <c r="AE36" s="900">
        <v>2380</v>
      </c>
      <c r="AF36" s="900">
        <v>9500</v>
      </c>
      <c r="AG36" s="900">
        <v>11600</v>
      </c>
      <c r="AH36" s="900">
        <v>11600</v>
      </c>
      <c r="AI36" s="900">
        <v>13340</v>
      </c>
      <c r="AJ36" s="900">
        <v>15340</v>
      </c>
      <c r="AK36" s="900">
        <v>1150</v>
      </c>
      <c r="AL36" s="900">
        <v>1379.9999999999995</v>
      </c>
      <c r="AM36" s="900">
        <v>1379.9999999999995</v>
      </c>
      <c r="AN36" s="900">
        <v>1590</v>
      </c>
      <c r="AO36" s="900">
        <v>1830</v>
      </c>
      <c r="AP36" s="900">
        <v>3500</v>
      </c>
      <c r="AQ36" s="900">
        <v>1400</v>
      </c>
      <c r="AR36" s="900">
        <v>1400</v>
      </c>
      <c r="AS36" s="900">
        <v>1610</v>
      </c>
      <c r="AT36" s="900">
        <v>1850</v>
      </c>
      <c r="AU36" s="900">
        <v>3000</v>
      </c>
      <c r="AV36" s="900">
        <v>3550</v>
      </c>
      <c r="AW36" s="900">
        <v>3550</v>
      </c>
      <c r="AX36" s="900">
        <v>4080</v>
      </c>
      <c r="AY36" s="900">
        <v>4690</v>
      </c>
      <c r="AZ36" s="900">
        <v>1000</v>
      </c>
      <c r="BA36" s="900">
        <v>1200</v>
      </c>
      <c r="BB36" s="900">
        <v>1200</v>
      </c>
      <c r="BC36" s="900">
        <v>1380</v>
      </c>
      <c r="BD36" s="900">
        <v>1590</v>
      </c>
      <c r="BE36" s="870">
        <f t="shared" si="3"/>
        <v>126030</v>
      </c>
    </row>
    <row r="37" spans="1:57" hidden="1" x14ac:dyDescent="0.3">
      <c r="A37" s="895"/>
      <c r="B37" s="896" t="s">
        <v>566</v>
      </c>
      <c r="C37" s="900">
        <v>27</v>
      </c>
      <c r="D37" s="900">
        <v>0</v>
      </c>
      <c r="E37" s="900">
        <v>45</v>
      </c>
      <c r="F37" s="937">
        <v>50</v>
      </c>
      <c r="G37" s="937"/>
      <c r="H37" s="937"/>
      <c r="I37" s="937">
        <v>50</v>
      </c>
      <c r="J37" s="937"/>
      <c r="K37" s="937"/>
      <c r="L37" s="900">
        <v>10</v>
      </c>
      <c r="M37" s="900">
        <v>25</v>
      </c>
      <c r="N37" s="900">
        <v>25</v>
      </c>
      <c r="O37" s="900">
        <v>30</v>
      </c>
      <c r="P37" s="900">
        <v>30</v>
      </c>
      <c r="Q37" s="900">
        <v>7</v>
      </c>
      <c r="R37" s="900">
        <v>0</v>
      </c>
      <c r="S37" s="900">
        <v>0</v>
      </c>
      <c r="T37" s="900">
        <v>0</v>
      </c>
      <c r="U37" s="900">
        <v>0</v>
      </c>
      <c r="V37" s="900">
        <v>0</v>
      </c>
      <c r="W37" s="900">
        <v>0</v>
      </c>
      <c r="X37" s="900">
        <v>0</v>
      </c>
      <c r="Y37" s="900">
        <v>0</v>
      </c>
      <c r="Z37" s="900">
        <v>0</v>
      </c>
      <c r="AA37" s="900">
        <v>10</v>
      </c>
      <c r="AB37" s="900">
        <v>10</v>
      </c>
      <c r="AC37" s="900">
        <v>10</v>
      </c>
      <c r="AD37" s="900">
        <v>10</v>
      </c>
      <c r="AE37" s="900">
        <v>10</v>
      </c>
      <c r="AF37" s="900">
        <v>0</v>
      </c>
      <c r="AG37" s="900">
        <v>0</v>
      </c>
      <c r="AH37" s="900">
        <v>0</v>
      </c>
      <c r="AI37" s="900">
        <v>0</v>
      </c>
      <c r="AJ37" s="900">
        <v>0</v>
      </c>
      <c r="AK37" s="900">
        <v>0</v>
      </c>
      <c r="AL37" s="900">
        <v>10</v>
      </c>
      <c r="AM37" s="900">
        <v>10</v>
      </c>
      <c r="AN37" s="900">
        <v>10</v>
      </c>
      <c r="AO37" s="900">
        <v>10</v>
      </c>
      <c r="AP37" s="900">
        <v>0</v>
      </c>
      <c r="AQ37" s="900">
        <v>0</v>
      </c>
      <c r="AR37" s="900">
        <v>0</v>
      </c>
      <c r="AS37" s="900">
        <v>0</v>
      </c>
      <c r="AT37" s="900">
        <v>0</v>
      </c>
      <c r="AU37" s="900">
        <v>0</v>
      </c>
      <c r="AV37" s="900">
        <v>0</v>
      </c>
      <c r="AW37" s="900">
        <v>0</v>
      </c>
      <c r="AX37" s="900">
        <v>0</v>
      </c>
      <c r="AY37" s="900">
        <v>0</v>
      </c>
      <c r="AZ37" s="900">
        <v>0</v>
      </c>
      <c r="BA37" s="900">
        <v>0</v>
      </c>
      <c r="BB37" s="900">
        <v>0</v>
      </c>
      <c r="BC37" s="900">
        <v>0</v>
      </c>
      <c r="BD37" s="900">
        <v>0</v>
      </c>
      <c r="BE37" s="870">
        <f t="shared" si="3"/>
        <v>45</v>
      </c>
    </row>
    <row r="38" spans="1:57" hidden="1" x14ac:dyDescent="0.3">
      <c r="A38" s="895"/>
      <c r="B38" s="896" t="s">
        <v>561</v>
      </c>
      <c r="C38" s="900">
        <v>9445.2963999999993</v>
      </c>
      <c r="D38" s="900">
        <v>10500</v>
      </c>
      <c r="E38" s="900">
        <v>10500</v>
      </c>
      <c r="F38" s="937">
        <v>11760</v>
      </c>
      <c r="G38" s="937"/>
      <c r="H38" s="937"/>
      <c r="I38" s="937">
        <v>14250</v>
      </c>
      <c r="J38" s="937"/>
      <c r="K38" s="937"/>
      <c r="L38" s="900">
        <v>7200</v>
      </c>
      <c r="M38" s="900">
        <v>7700</v>
      </c>
      <c r="N38" s="900">
        <v>7700</v>
      </c>
      <c r="O38" s="900">
        <v>8620</v>
      </c>
      <c r="P38" s="900">
        <v>10750</v>
      </c>
      <c r="Q38" s="900">
        <v>800</v>
      </c>
      <c r="R38" s="900">
        <v>1000</v>
      </c>
      <c r="S38" s="900">
        <v>1000</v>
      </c>
      <c r="T38" s="900">
        <v>1120</v>
      </c>
      <c r="U38" s="900">
        <v>1250</v>
      </c>
      <c r="V38" s="900">
        <v>15</v>
      </c>
      <c r="W38" s="900">
        <v>20</v>
      </c>
      <c r="X38" s="900">
        <v>20</v>
      </c>
      <c r="Y38" s="900">
        <v>20</v>
      </c>
      <c r="Z38" s="900">
        <v>20</v>
      </c>
      <c r="AA38" s="900">
        <v>70</v>
      </c>
      <c r="AB38" s="900">
        <v>250</v>
      </c>
      <c r="AC38" s="900">
        <v>250</v>
      </c>
      <c r="AD38" s="900">
        <v>280</v>
      </c>
      <c r="AE38" s="900">
        <v>310</v>
      </c>
      <c r="AF38" s="900">
        <v>200</v>
      </c>
      <c r="AG38" s="900">
        <v>230</v>
      </c>
      <c r="AH38" s="900">
        <v>230</v>
      </c>
      <c r="AI38" s="900">
        <v>260</v>
      </c>
      <c r="AJ38" s="900">
        <v>290</v>
      </c>
      <c r="AK38" s="900">
        <v>140</v>
      </c>
      <c r="AL38" s="900">
        <v>250</v>
      </c>
      <c r="AM38" s="900">
        <v>250</v>
      </c>
      <c r="AN38" s="900">
        <v>280</v>
      </c>
      <c r="AO38" s="900">
        <v>310</v>
      </c>
      <c r="AP38" s="900">
        <v>860.29639999999995</v>
      </c>
      <c r="AQ38" s="900">
        <v>850</v>
      </c>
      <c r="AR38" s="900">
        <v>850</v>
      </c>
      <c r="AS38" s="900">
        <v>950</v>
      </c>
      <c r="AT38" s="900">
        <v>1060</v>
      </c>
      <c r="AU38" s="900">
        <v>120</v>
      </c>
      <c r="AV38" s="900">
        <v>150</v>
      </c>
      <c r="AW38" s="900">
        <v>150</v>
      </c>
      <c r="AX38" s="900">
        <v>170</v>
      </c>
      <c r="AY38" s="900">
        <v>190</v>
      </c>
      <c r="AZ38" s="900">
        <v>40</v>
      </c>
      <c r="BA38" s="900">
        <v>50</v>
      </c>
      <c r="BB38" s="900">
        <v>50</v>
      </c>
      <c r="BC38" s="900">
        <v>60</v>
      </c>
      <c r="BD38" s="900">
        <v>70</v>
      </c>
      <c r="BE38" s="870">
        <f t="shared" si="3"/>
        <v>10500</v>
      </c>
    </row>
    <row r="39" spans="1:57" s="909" customFormat="1" hidden="1" x14ac:dyDescent="0.3">
      <c r="A39" s="911"/>
      <c r="B39" s="912" t="s">
        <v>562</v>
      </c>
      <c r="C39" s="908">
        <v>25230</v>
      </c>
      <c r="D39" s="908">
        <v>24170</v>
      </c>
      <c r="E39" s="908">
        <v>31625</v>
      </c>
      <c r="F39" s="940">
        <v>36600</v>
      </c>
      <c r="G39" s="940"/>
      <c r="H39" s="940"/>
      <c r="I39" s="940">
        <v>42430</v>
      </c>
      <c r="J39" s="940"/>
      <c r="K39" s="940"/>
      <c r="L39" s="908">
        <v>0</v>
      </c>
      <c r="M39" s="908">
        <v>0</v>
      </c>
      <c r="N39" s="908">
        <v>0</v>
      </c>
      <c r="O39" s="908">
        <v>0</v>
      </c>
      <c r="P39" s="908">
        <v>0</v>
      </c>
      <c r="Q39" s="908">
        <v>1200</v>
      </c>
      <c r="R39" s="908">
        <v>730</v>
      </c>
      <c r="S39" s="908">
        <v>950</v>
      </c>
      <c r="T39" s="908">
        <v>1090</v>
      </c>
      <c r="U39" s="908">
        <v>1250</v>
      </c>
      <c r="V39" s="908">
        <v>1750</v>
      </c>
      <c r="W39" s="908">
        <v>1280</v>
      </c>
      <c r="X39" s="908">
        <v>1650</v>
      </c>
      <c r="Y39" s="908">
        <v>1900</v>
      </c>
      <c r="Z39" s="908">
        <v>2190</v>
      </c>
      <c r="AA39" s="908">
        <v>470</v>
      </c>
      <c r="AB39" s="908">
        <v>650</v>
      </c>
      <c r="AC39" s="908">
        <v>850</v>
      </c>
      <c r="AD39" s="908">
        <v>980</v>
      </c>
      <c r="AE39" s="908">
        <v>1130</v>
      </c>
      <c r="AF39" s="908">
        <v>16100</v>
      </c>
      <c r="AG39" s="908">
        <v>15000</v>
      </c>
      <c r="AH39" s="908">
        <v>19200</v>
      </c>
      <c r="AI39" s="908">
        <v>22080</v>
      </c>
      <c r="AJ39" s="908">
        <v>25390</v>
      </c>
      <c r="AK39" s="908">
        <v>1160</v>
      </c>
      <c r="AL39" s="908">
        <v>870</v>
      </c>
      <c r="AM39" s="908">
        <v>1170</v>
      </c>
      <c r="AN39" s="908">
        <v>1400</v>
      </c>
      <c r="AO39" s="908">
        <v>1720</v>
      </c>
      <c r="AP39" s="908">
        <v>1370</v>
      </c>
      <c r="AQ39" s="908">
        <v>3345</v>
      </c>
      <c r="AR39" s="908">
        <v>4275</v>
      </c>
      <c r="AS39" s="908">
        <v>5090</v>
      </c>
      <c r="AT39" s="908">
        <v>6090</v>
      </c>
      <c r="AU39" s="908">
        <v>3100</v>
      </c>
      <c r="AV39" s="908">
        <v>2730</v>
      </c>
      <c r="AW39" s="908">
        <v>3500</v>
      </c>
      <c r="AX39" s="908">
        <v>4030</v>
      </c>
      <c r="AY39" s="908">
        <v>4630</v>
      </c>
      <c r="AZ39" s="908">
        <v>80</v>
      </c>
      <c r="BA39" s="908">
        <v>20</v>
      </c>
      <c r="BB39" s="908">
        <v>30</v>
      </c>
      <c r="BC39" s="908">
        <v>30</v>
      </c>
      <c r="BD39" s="908">
        <v>30</v>
      </c>
      <c r="BE39" s="870">
        <f t="shared" si="3"/>
        <v>24625</v>
      </c>
    </row>
    <row r="40" spans="1:57" hidden="1" x14ac:dyDescent="0.3">
      <c r="A40" s="895"/>
      <c r="B40" s="896" t="s">
        <v>1544</v>
      </c>
      <c r="C40" s="900">
        <v>0</v>
      </c>
      <c r="D40" s="900">
        <v>0</v>
      </c>
      <c r="E40" s="900">
        <v>0</v>
      </c>
      <c r="F40" s="937">
        <v>0</v>
      </c>
      <c r="G40" s="937"/>
      <c r="H40" s="937"/>
      <c r="I40" s="937">
        <v>0</v>
      </c>
      <c r="J40" s="937"/>
      <c r="K40" s="937"/>
      <c r="L40" s="900">
        <v>0</v>
      </c>
      <c r="M40" s="900">
        <v>0</v>
      </c>
      <c r="N40" s="900">
        <v>0</v>
      </c>
      <c r="O40" s="900">
        <v>0</v>
      </c>
      <c r="P40" s="900">
        <v>0</v>
      </c>
      <c r="Q40" s="900">
        <v>0</v>
      </c>
      <c r="R40" s="900">
        <v>0</v>
      </c>
      <c r="S40" s="900">
        <v>0</v>
      </c>
      <c r="T40" s="900">
        <v>0</v>
      </c>
      <c r="U40" s="900">
        <v>0</v>
      </c>
      <c r="V40" s="900">
        <v>0</v>
      </c>
      <c r="W40" s="900">
        <v>0</v>
      </c>
      <c r="X40" s="900">
        <v>0</v>
      </c>
      <c r="Y40" s="900">
        <v>0</v>
      </c>
      <c r="Z40" s="900">
        <v>0</v>
      </c>
      <c r="AA40" s="900">
        <v>0</v>
      </c>
      <c r="AB40" s="900">
        <v>0</v>
      </c>
      <c r="AC40" s="900">
        <v>0</v>
      </c>
      <c r="AD40" s="900">
        <v>0</v>
      </c>
      <c r="AE40" s="900">
        <v>0</v>
      </c>
      <c r="AF40" s="900">
        <v>0</v>
      </c>
      <c r="AG40" s="900">
        <v>0</v>
      </c>
      <c r="AH40" s="900">
        <v>0</v>
      </c>
      <c r="AI40" s="900">
        <v>0</v>
      </c>
      <c r="AJ40" s="900">
        <v>0</v>
      </c>
      <c r="AK40" s="900">
        <v>0</v>
      </c>
      <c r="AL40" s="900">
        <v>0</v>
      </c>
      <c r="AM40" s="900">
        <v>0</v>
      </c>
      <c r="AN40" s="900">
        <v>0</v>
      </c>
      <c r="AO40" s="900">
        <v>0</v>
      </c>
      <c r="AP40" s="900">
        <v>0</v>
      </c>
      <c r="AQ40" s="900">
        <v>0</v>
      </c>
      <c r="AR40" s="900">
        <v>0</v>
      </c>
      <c r="AS40" s="900">
        <v>0</v>
      </c>
      <c r="AT40" s="900">
        <v>0</v>
      </c>
      <c r="AU40" s="900">
        <v>0</v>
      </c>
      <c r="AV40" s="900">
        <v>0</v>
      </c>
      <c r="AW40" s="900">
        <v>0</v>
      </c>
      <c r="AX40" s="900">
        <v>0</v>
      </c>
      <c r="AY40" s="900">
        <v>0</v>
      </c>
      <c r="AZ40" s="900">
        <v>0</v>
      </c>
      <c r="BA40" s="900">
        <v>0</v>
      </c>
      <c r="BB40" s="900">
        <v>0</v>
      </c>
      <c r="BC40" s="900">
        <v>0</v>
      </c>
      <c r="BD40" s="900">
        <v>0</v>
      </c>
      <c r="BE40" s="870">
        <f t="shared" si="3"/>
        <v>0</v>
      </c>
    </row>
    <row r="41" spans="1:57" hidden="1" x14ac:dyDescent="0.3">
      <c r="A41" s="895"/>
      <c r="B41" s="896" t="s">
        <v>564</v>
      </c>
      <c r="C41" s="900">
        <v>0</v>
      </c>
      <c r="D41" s="900">
        <v>0</v>
      </c>
      <c r="E41" s="900">
        <v>0</v>
      </c>
      <c r="F41" s="937">
        <v>0</v>
      </c>
      <c r="G41" s="937"/>
      <c r="H41" s="937"/>
      <c r="I41" s="937">
        <v>0</v>
      </c>
      <c r="J41" s="937"/>
      <c r="K41" s="937"/>
      <c r="L41" s="900">
        <v>0</v>
      </c>
      <c r="M41" s="900">
        <v>0</v>
      </c>
      <c r="N41" s="900">
        <v>0</v>
      </c>
      <c r="O41" s="900">
        <v>0</v>
      </c>
      <c r="P41" s="900">
        <v>0</v>
      </c>
      <c r="Q41" s="900">
        <v>0</v>
      </c>
      <c r="R41" s="900">
        <v>0</v>
      </c>
      <c r="S41" s="900">
        <v>0</v>
      </c>
      <c r="T41" s="900">
        <v>0</v>
      </c>
      <c r="U41" s="900">
        <v>0</v>
      </c>
      <c r="V41" s="900">
        <v>0</v>
      </c>
      <c r="W41" s="900">
        <v>0</v>
      </c>
      <c r="X41" s="900">
        <v>0</v>
      </c>
      <c r="Y41" s="900">
        <v>0</v>
      </c>
      <c r="Z41" s="900">
        <v>0</v>
      </c>
      <c r="AA41" s="900">
        <v>0</v>
      </c>
      <c r="AB41" s="900">
        <v>0</v>
      </c>
      <c r="AC41" s="900">
        <v>0</v>
      </c>
      <c r="AD41" s="900">
        <v>0</v>
      </c>
      <c r="AE41" s="900">
        <v>0</v>
      </c>
      <c r="AF41" s="900">
        <v>0</v>
      </c>
      <c r="AG41" s="900">
        <v>0</v>
      </c>
      <c r="AH41" s="900">
        <v>0</v>
      </c>
      <c r="AI41" s="900">
        <v>0</v>
      </c>
      <c r="AJ41" s="900">
        <v>0</v>
      </c>
      <c r="AK41" s="900">
        <v>0</v>
      </c>
      <c r="AL41" s="900">
        <v>0</v>
      </c>
      <c r="AM41" s="900">
        <v>0</v>
      </c>
      <c r="AN41" s="900">
        <v>0</v>
      </c>
      <c r="AO41" s="900">
        <v>0</v>
      </c>
      <c r="AP41" s="900">
        <v>0</v>
      </c>
      <c r="AQ41" s="900">
        <v>0</v>
      </c>
      <c r="AR41" s="900">
        <v>0</v>
      </c>
      <c r="AS41" s="900">
        <v>0</v>
      </c>
      <c r="AT41" s="900">
        <v>0</v>
      </c>
      <c r="AU41" s="900">
        <v>0</v>
      </c>
      <c r="AV41" s="900">
        <v>0</v>
      </c>
      <c r="AW41" s="900">
        <v>0</v>
      </c>
      <c r="AX41" s="900">
        <v>0</v>
      </c>
      <c r="AY41" s="900">
        <v>0</v>
      </c>
      <c r="AZ41" s="900">
        <v>0</v>
      </c>
      <c r="BA41" s="900">
        <v>0</v>
      </c>
      <c r="BB41" s="900">
        <v>0</v>
      </c>
      <c r="BC41" s="900">
        <v>0</v>
      </c>
      <c r="BD41" s="900">
        <v>0</v>
      </c>
      <c r="BE41" s="870">
        <f t="shared" ref="BE41:BE66" si="18">M41+R41+W41+AB41+AG41+AL41+AQ41+AV41+BA41</f>
        <v>0</v>
      </c>
    </row>
    <row r="42" spans="1:57" s="890" customFormat="1" ht="34.5" hidden="1" x14ac:dyDescent="0.3">
      <c r="A42" s="891" t="s">
        <v>503</v>
      </c>
      <c r="B42" s="892" t="s">
        <v>1546</v>
      </c>
      <c r="C42" s="893">
        <v>22147.401449714285</v>
      </c>
      <c r="D42" s="893">
        <v>21000</v>
      </c>
      <c r="E42" s="893">
        <v>24800.449623680001</v>
      </c>
      <c r="F42" s="935">
        <v>28540</v>
      </c>
      <c r="G42" s="935"/>
      <c r="H42" s="935"/>
      <c r="I42" s="935">
        <v>32830</v>
      </c>
      <c r="J42" s="935"/>
      <c r="K42" s="935"/>
      <c r="L42" s="893">
        <v>0</v>
      </c>
      <c r="M42" s="893">
        <v>0</v>
      </c>
      <c r="N42" s="893">
        <v>0</v>
      </c>
      <c r="O42" s="893">
        <v>0</v>
      </c>
      <c r="P42" s="893">
        <v>0</v>
      </c>
      <c r="Q42" s="893">
        <v>11400</v>
      </c>
      <c r="R42" s="893">
        <v>12950</v>
      </c>
      <c r="S42" s="893">
        <v>12950</v>
      </c>
      <c r="T42" s="893">
        <v>14900</v>
      </c>
      <c r="U42" s="893">
        <v>17140</v>
      </c>
      <c r="V42" s="893">
        <v>1145</v>
      </c>
      <c r="W42" s="893">
        <v>1265</v>
      </c>
      <c r="X42" s="893">
        <v>1265</v>
      </c>
      <c r="Y42" s="893">
        <v>1460</v>
      </c>
      <c r="Z42" s="893">
        <v>1680</v>
      </c>
      <c r="AA42" s="893">
        <v>1270</v>
      </c>
      <c r="AB42" s="893">
        <v>1370</v>
      </c>
      <c r="AC42" s="893">
        <v>1370</v>
      </c>
      <c r="AD42" s="893">
        <v>1580</v>
      </c>
      <c r="AE42" s="893">
        <v>1820</v>
      </c>
      <c r="AF42" s="893">
        <v>2210</v>
      </c>
      <c r="AG42" s="893">
        <v>2310</v>
      </c>
      <c r="AH42" s="893">
        <v>2310</v>
      </c>
      <c r="AI42" s="893">
        <v>2660</v>
      </c>
      <c r="AJ42" s="893">
        <v>3060</v>
      </c>
      <c r="AK42" s="893">
        <v>2395</v>
      </c>
      <c r="AL42" s="893">
        <v>2710.0000000000005</v>
      </c>
      <c r="AM42" s="893">
        <v>2710.0000000000005</v>
      </c>
      <c r="AN42" s="893">
        <v>3110</v>
      </c>
      <c r="AO42" s="893">
        <v>3580</v>
      </c>
      <c r="AP42" s="893">
        <v>957</v>
      </c>
      <c r="AQ42" s="893">
        <v>1075</v>
      </c>
      <c r="AR42" s="893">
        <v>1075</v>
      </c>
      <c r="AS42" s="893">
        <v>1240</v>
      </c>
      <c r="AT42" s="893">
        <v>1420</v>
      </c>
      <c r="AU42" s="893">
        <v>2000</v>
      </c>
      <c r="AV42" s="893">
        <v>2250</v>
      </c>
      <c r="AW42" s="893">
        <v>2250</v>
      </c>
      <c r="AX42" s="893">
        <v>2590</v>
      </c>
      <c r="AY42" s="893">
        <v>2980</v>
      </c>
      <c r="AZ42" s="893">
        <v>770.40144971428572</v>
      </c>
      <c r="BA42" s="893">
        <v>870.44962367999995</v>
      </c>
      <c r="BB42" s="893">
        <v>870.44962367999995</v>
      </c>
      <c r="BC42" s="893">
        <v>1000</v>
      </c>
      <c r="BD42" s="893">
        <v>1150</v>
      </c>
      <c r="BE42" s="870">
        <f t="shared" si="18"/>
        <v>24800.449623680001</v>
      </c>
    </row>
    <row r="43" spans="1:57" hidden="1" x14ac:dyDescent="0.3">
      <c r="A43" s="895"/>
      <c r="B43" s="896" t="s">
        <v>563</v>
      </c>
      <c r="C43" s="900">
        <v>21170</v>
      </c>
      <c r="D43" s="900">
        <v>19670</v>
      </c>
      <c r="E43" s="900">
        <v>23970</v>
      </c>
      <c r="F43" s="937">
        <v>27590</v>
      </c>
      <c r="G43" s="937"/>
      <c r="H43" s="937"/>
      <c r="I43" s="937">
        <v>31750</v>
      </c>
      <c r="J43" s="937"/>
      <c r="K43" s="937"/>
      <c r="L43" s="900">
        <v>0</v>
      </c>
      <c r="M43" s="900">
        <v>0</v>
      </c>
      <c r="N43" s="900">
        <v>0</v>
      </c>
      <c r="O43" s="900">
        <v>0</v>
      </c>
      <c r="P43" s="900">
        <v>0</v>
      </c>
      <c r="Q43" s="900">
        <v>11000</v>
      </c>
      <c r="R43" s="900">
        <v>12500</v>
      </c>
      <c r="S43" s="900">
        <v>12500</v>
      </c>
      <c r="T43" s="900">
        <v>14380</v>
      </c>
      <c r="U43" s="900">
        <v>16540</v>
      </c>
      <c r="V43" s="900">
        <v>1058</v>
      </c>
      <c r="W43" s="900">
        <v>1200</v>
      </c>
      <c r="X43" s="900">
        <v>1200</v>
      </c>
      <c r="Y43" s="900">
        <v>1380</v>
      </c>
      <c r="Z43" s="900">
        <v>1590</v>
      </c>
      <c r="AA43" s="900">
        <v>1180</v>
      </c>
      <c r="AB43" s="900">
        <v>1300</v>
      </c>
      <c r="AC43" s="900">
        <v>1300</v>
      </c>
      <c r="AD43" s="900">
        <v>1500</v>
      </c>
      <c r="AE43" s="900">
        <v>1730</v>
      </c>
      <c r="AF43" s="900">
        <v>2000</v>
      </c>
      <c r="AG43" s="900">
        <v>2300</v>
      </c>
      <c r="AH43" s="900">
        <v>2300</v>
      </c>
      <c r="AI43" s="900">
        <v>2650</v>
      </c>
      <c r="AJ43" s="900">
        <v>3050</v>
      </c>
      <c r="AK43" s="900">
        <v>2250</v>
      </c>
      <c r="AL43" s="900">
        <v>2520.0000000000005</v>
      </c>
      <c r="AM43" s="900">
        <v>2520.0000000000005</v>
      </c>
      <c r="AN43" s="900">
        <v>2900</v>
      </c>
      <c r="AO43" s="900">
        <v>3340</v>
      </c>
      <c r="AP43" s="900">
        <v>932</v>
      </c>
      <c r="AQ43" s="900">
        <v>1050</v>
      </c>
      <c r="AR43" s="900">
        <v>1050</v>
      </c>
      <c r="AS43" s="900">
        <v>1210</v>
      </c>
      <c r="AT43" s="900">
        <v>1390</v>
      </c>
      <c r="AU43" s="900">
        <v>2000</v>
      </c>
      <c r="AV43" s="900">
        <v>2250</v>
      </c>
      <c r="AW43" s="900">
        <v>2250</v>
      </c>
      <c r="AX43" s="900">
        <v>2590</v>
      </c>
      <c r="AY43" s="900">
        <v>2980</v>
      </c>
      <c r="AZ43" s="900">
        <v>750</v>
      </c>
      <c r="BA43" s="900">
        <v>850</v>
      </c>
      <c r="BB43" s="900">
        <v>850</v>
      </c>
      <c r="BC43" s="900">
        <v>980</v>
      </c>
      <c r="BD43" s="900">
        <v>1130</v>
      </c>
      <c r="BE43" s="870">
        <f t="shared" si="18"/>
        <v>23970</v>
      </c>
    </row>
    <row r="44" spans="1:57" hidden="1" x14ac:dyDescent="0.3">
      <c r="A44" s="895"/>
      <c r="B44" s="896" t="s">
        <v>566</v>
      </c>
      <c r="C44" s="900">
        <v>410</v>
      </c>
      <c r="D44" s="900">
        <v>500</v>
      </c>
      <c r="E44" s="900">
        <v>455</v>
      </c>
      <c r="F44" s="937">
        <v>520</v>
      </c>
      <c r="G44" s="937"/>
      <c r="H44" s="937"/>
      <c r="I44" s="937">
        <v>590</v>
      </c>
      <c r="J44" s="937"/>
      <c r="K44" s="937"/>
      <c r="L44" s="900">
        <v>0</v>
      </c>
      <c r="M44" s="900">
        <v>0</v>
      </c>
      <c r="N44" s="900">
        <v>0</v>
      </c>
      <c r="O44" s="900">
        <v>0</v>
      </c>
      <c r="P44" s="900">
        <v>0</v>
      </c>
      <c r="Q44" s="900">
        <v>350</v>
      </c>
      <c r="R44" s="900">
        <v>400</v>
      </c>
      <c r="S44" s="900">
        <v>400</v>
      </c>
      <c r="T44" s="900">
        <v>460</v>
      </c>
      <c r="U44" s="900">
        <v>530</v>
      </c>
      <c r="V44" s="900">
        <v>15</v>
      </c>
      <c r="W44" s="900">
        <v>15</v>
      </c>
      <c r="X44" s="900">
        <v>15</v>
      </c>
      <c r="Y44" s="900">
        <v>20</v>
      </c>
      <c r="Z44" s="900">
        <v>20</v>
      </c>
      <c r="AA44" s="900">
        <v>20</v>
      </c>
      <c r="AB44" s="900">
        <v>20</v>
      </c>
      <c r="AC44" s="900">
        <v>20</v>
      </c>
      <c r="AD44" s="900">
        <v>20</v>
      </c>
      <c r="AE44" s="900">
        <v>20</v>
      </c>
      <c r="AF44" s="900">
        <v>10</v>
      </c>
      <c r="AG44" s="900">
        <v>10</v>
      </c>
      <c r="AH44" s="900">
        <v>10</v>
      </c>
      <c r="AI44" s="900">
        <v>10</v>
      </c>
      <c r="AJ44" s="900">
        <v>10</v>
      </c>
      <c r="AK44" s="900">
        <v>15</v>
      </c>
      <c r="AL44" s="900">
        <v>10</v>
      </c>
      <c r="AM44" s="900">
        <v>10</v>
      </c>
      <c r="AN44" s="900">
        <v>10</v>
      </c>
      <c r="AO44" s="900">
        <v>10</v>
      </c>
      <c r="AP44" s="900">
        <v>0</v>
      </c>
      <c r="AQ44" s="900">
        <v>0</v>
      </c>
      <c r="AR44" s="900">
        <v>0</v>
      </c>
      <c r="AS44" s="900">
        <v>0</v>
      </c>
      <c r="AT44" s="900">
        <v>0</v>
      </c>
      <c r="AU44" s="900">
        <v>0</v>
      </c>
      <c r="AV44" s="900">
        <v>0</v>
      </c>
      <c r="AW44" s="900">
        <v>0</v>
      </c>
      <c r="AX44" s="900">
        <v>0</v>
      </c>
      <c r="AY44" s="900">
        <v>0</v>
      </c>
      <c r="AZ44" s="900">
        <v>0</v>
      </c>
      <c r="BA44" s="900">
        <v>0</v>
      </c>
      <c r="BB44" s="900">
        <v>0</v>
      </c>
      <c r="BC44" s="900">
        <v>0</v>
      </c>
      <c r="BD44" s="900">
        <v>0</v>
      </c>
      <c r="BE44" s="870">
        <f t="shared" si="18"/>
        <v>455</v>
      </c>
    </row>
    <row r="45" spans="1:57" hidden="1" x14ac:dyDescent="0.3">
      <c r="A45" s="895"/>
      <c r="B45" s="896" t="s">
        <v>562</v>
      </c>
      <c r="C45" s="900">
        <v>567</v>
      </c>
      <c r="D45" s="900">
        <v>830</v>
      </c>
      <c r="E45" s="900">
        <v>375</v>
      </c>
      <c r="F45" s="937">
        <v>430</v>
      </c>
      <c r="G45" s="937"/>
      <c r="H45" s="937"/>
      <c r="I45" s="937">
        <v>490</v>
      </c>
      <c r="J45" s="937"/>
      <c r="K45" s="937"/>
      <c r="L45" s="900">
        <v>0</v>
      </c>
      <c r="M45" s="900">
        <v>0</v>
      </c>
      <c r="N45" s="900">
        <v>0</v>
      </c>
      <c r="O45" s="900">
        <v>0</v>
      </c>
      <c r="P45" s="900">
        <v>0</v>
      </c>
      <c r="Q45" s="900">
        <v>50</v>
      </c>
      <c r="R45" s="900">
        <v>50</v>
      </c>
      <c r="S45" s="900">
        <v>50</v>
      </c>
      <c r="T45" s="900">
        <v>60</v>
      </c>
      <c r="U45" s="900">
        <v>70</v>
      </c>
      <c r="V45" s="900">
        <v>72</v>
      </c>
      <c r="W45" s="900">
        <v>50</v>
      </c>
      <c r="X45" s="900">
        <v>50</v>
      </c>
      <c r="Y45" s="900">
        <v>60</v>
      </c>
      <c r="Z45" s="900">
        <v>70</v>
      </c>
      <c r="AA45" s="900">
        <v>70</v>
      </c>
      <c r="AB45" s="900">
        <v>50</v>
      </c>
      <c r="AC45" s="900">
        <v>50</v>
      </c>
      <c r="AD45" s="900">
        <v>60</v>
      </c>
      <c r="AE45" s="900">
        <v>70</v>
      </c>
      <c r="AF45" s="900">
        <v>200</v>
      </c>
      <c r="AG45" s="900">
        <v>0</v>
      </c>
      <c r="AH45" s="900">
        <v>0</v>
      </c>
      <c r="AI45" s="900">
        <v>0</v>
      </c>
      <c r="AJ45" s="900">
        <v>0</v>
      </c>
      <c r="AK45" s="900">
        <v>130</v>
      </c>
      <c r="AL45" s="900">
        <v>180</v>
      </c>
      <c r="AM45" s="900">
        <v>180</v>
      </c>
      <c r="AN45" s="900">
        <v>200</v>
      </c>
      <c r="AO45" s="900">
        <v>230</v>
      </c>
      <c r="AP45" s="900">
        <v>25</v>
      </c>
      <c r="AQ45" s="900">
        <v>25</v>
      </c>
      <c r="AR45" s="900">
        <v>25</v>
      </c>
      <c r="AS45" s="900">
        <v>30</v>
      </c>
      <c r="AT45" s="900">
        <v>30</v>
      </c>
      <c r="AU45" s="900">
        <v>0</v>
      </c>
      <c r="AV45" s="900">
        <v>0</v>
      </c>
      <c r="AW45" s="900">
        <v>0</v>
      </c>
      <c r="AX45" s="900">
        <v>0</v>
      </c>
      <c r="AY45" s="900">
        <v>0</v>
      </c>
      <c r="AZ45" s="900">
        <v>20</v>
      </c>
      <c r="BA45" s="900">
        <v>20</v>
      </c>
      <c r="BB45" s="900">
        <v>20</v>
      </c>
      <c r="BC45" s="900">
        <v>20</v>
      </c>
      <c r="BD45" s="900">
        <v>20</v>
      </c>
      <c r="BE45" s="870">
        <f t="shared" si="18"/>
        <v>375</v>
      </c>
    </row>
    <row r="46" spans="1:57" hidden="1" x14ac:dyDescent="0.3">
      <c r="A46" s="895"/>
      <c r="B46" s="896" t="s">
        <v>564</v>
      </c>
      <c r="C46" s="900">
        <v>0.4014497142857143</v>
      </c>
      <c r="D46" s="900">
        <v>0</v>
      </c>
      <c r="E46" s="900">
        <v>0.44962368000000008</v>
      </c>
      <c r="F46" s="937">
        <v>0</v>
      </c>
      <c r="G46" s="937"/>
      <c r="H46" s="937"/>
      <c r="I46" s="937">
        <v>0</v>
      </c>
      <c r="J46" s="937"/>
      <c r="K46" s="937"/>
      <c r="L46" s="900">
        <v>0</v>
      </c>
      <c r="M46" s="900">
        <v>0</v>
      </c>
      <c r="N46" s="900">
        <v>0</v>
      </c>
      <c r="O46" s="900">
        <v>0</v>
      </c>
      <c r="P46" s="900">
        <v>0</v>
      </c>
      <c r="Q46" s="900">
        <v>0</v>
      </c>
      <c r="R46" s="900">
        <v>0</v>
      </c>
      <c r="S46" s="900">
        <v>0</v>
      </c>
      <c r="T46" s="900">
        <v>0</v>
      </c>
      <c r="U46" s="900">
        <v>0</v>
      </c>
      <c r="V46" s="900">
        <v>0</v>
      </c>
      <c r="W46" s="900">
        <v>0</v>
      </c>
      <c r="X46" s="900">
        <v>0</v>
      </c>
      <c r="Y46" s="900">
        <v>0</v>
      </c>
      <c r="Z46" s="900">
        <v>0</v>
      </c>
      <c r="AA46" s="900">
        <v>0</v>
      </c>
      <c r="AB46" s="900">
        <v>0</v>
      </c>
      <c r="AC46" s="900">
        <v>0</v>
      </c>
      <c r="AD46" s="900">
        <v>0</v>
      </c>
      <c r="AE46" s="900">
        <v>0</v>
      </c>
      <c r="AF46" s="900">
        <v>0</v>
      </c>
      <c r="AG46" s="900">
        <v>0</v>
      </c>
      <c r="AH46" s="900">
        <v>0</v>
      </c>
      <c r="AI46" s="900">
        <v>0</v>
      </c>
      <c r="AJ46" s="900">
        <v>0</v>
      </c>
      <c r="AK46" s="900">
        <v>0</v>
      </c>
      <c r="AL46" s="900">
        <v>0</v>
      </c>
      <c r="AM46" s="900">
        <v>0</v>
      </c>
      <c r="AN46" s="900">
        <v>0</v>
      </c>
      <c r="AO46" s="900">
        <v>0</v>
      </c>
      <c r="AP46" s="900">
        <v>0</v>
      </c>
      <c r="AQ46" s="900">
        <v>0</v>
      </c>
      <c r="AR46" s="900">
        <v>0</v>
      </c>
      <c r="AS46" s="900">
        <v>0</v>
      </c>
      <c r="AT46" s="900">
        <v>0</v>
      </c>
      <c r="AU46" s="900">
        <v>0</v>
      </c>
      <c r="AV46" s="900">
        <v>0</v>
      </c>
      <c r="AW46" s="900">
        <v>0</v>
      </c>
      <c r="AX46" s="900">
        <v>0</v>
      </c>
      <c r="AY46" s="900">
        <v>0</v>
      </c>
      <c r="AZ46" s="900">
        <v>0.4014497142857143</v>
      </c>
      <c r="BA46" s="900">
        <v>0.44962368000000008</v>
      </c>
      <c r="BB46" s="900">
        <v>0.44962368000000008</v>
      </c>
      <c r="BC46" s="900">
        <v>0</v>
      </c>
      <c r="BD46" s="900">
        <v>0</v>
      </c>
      <c r="BE46" s="870">
        <f t="shared" si="18"/>
        <v>0.44962368000000008</v>
      </c>
    </row>
    <row r="47" spans="1:57" x14ac:dyDescent="0.3">
      <c r="A47" s="903">
        <v>4</v>
      </c>
      <c r="B47" s="913" t="s">
        <v>230</v>
      </c>
      <c r="C47" s="914">
        <v>23490</v>
      </c>
      <c r="D47" s="914">
        <v>28000</v>
      </c>
      <c r="E47" s="914">
        <v>28000</v>
      </c>
      <c r="F47" s="941">
        <v>32300</v>
      </c>
      <c r="G47" s="941">
        <f>O47</f>
        <v>10120</v>
      </c>
      <c r="H47" s="941">
        <f>F47-G47</f>
        <v>22180</v>
      </c>
      <c r="I47" s="941">
        <v>37160</v>
      </c>
      <c r="J47" s="941">
        <f>P47</f>
        <v>11640</v>
      </c>
      <c r="K47" s="941">
        <f>I47-J47</f>
        <v>25520</v>
      </c>
      <c r="L47" s="914">
        <v>6800</v>
      </c>
      <c r="M47" s="914">
        <v>8800</v>
      </c>
      <c r="N47" s="914">
        <v>8800</v>
      </c>
      <c r="O47" s="914">
        <v>10120</v>
      </c>
      <c r="P47" s="914">
        <v>11640</v>
      </c>
      <c r="Q47" s="914">
        <v>9400</v>
      </c>
      <c r="R47" s="914">
        <v>10650</v>
      </c>
      <c r="S47" s="914">
        <v>10650</v>
      </c>
      <c r="T47" s="914">
        <v>12350</v>
      </c>
      <c r="U47" s="914">
        <v>14200</v>
      </c>
      <c r="V47" s="914">
        <v>750</v>
      </c>
      <c r="W47" s="914">
        <v>860</v>
      </c>
      <c r="X47" s="914">
        <v>860</v>
      </c>
      <c r="Y47" s="914">
        <v>990</v>
      </c>
      <c r="Z47" s="914">
        <v>1140</v>
      </c>
      <c r="AA47" s="914">
        <v>900</v>
      </c>
      <c r="AB47" s="914">
        <v>1200</v>
      </c>
      <c r="AC47" s="914">
        <v>1200</v>
      </c>
      <c r="AD47" s="914">
        <v>1380</v>
      </c>
      <c r="AE47" s="914">
        <v>1590</v>
      </c>
      <c r="AF47" s="914">
        <v>1400</v>
      </c>
      <c r="AG47" s="914">
        <v>1650</v>
      </c>
      <c r="AH47" s="914">
        <v>1650</v>
      </c>
      <c r="AI47" s="914">
        <v>1900</v>
      </c>
      <c r="AJ47" s="914">
        <v>2190</v>
      </c>
      <c r="AK47" s="914">
        <v>1760</v>
      </c>
      <c r="AL47" s="914">
        <v>2000</v>
      </c>
      <c r="AM47" s="914">
        <v>2000</v>
      </c>
      <c r="AN47" s="914">
        <v>2300</v>
      </c>
      <c r="AO47" s="914">
        <v>2650</v>
      </c>
      <c r="AP47" s="914">
        <v>630</v>
      </c>
      <c r="AQ47" s="914">
        <v>740</v>
      </c>
      <c r="AR47" s="914">
        <v>740</v>
      </c>
      <c r="AS47" s="914">
        <v>850</v>
      </c>
      <c r="AT47" s="914">
        <v>980</v>
      </c>
      <c r="AU47" s="914">
        <v>1300</v>
      </c>
      <c r="AV47" s="914">
        <v>1470</v>
      </c>
      <c r="AW47" s="914">
        <v>1470</v>
      </c>
      <c r="AX47" s="914">
        <v>1690</v>
      </c>
      <c r="AY47" s="914">
        <v>1940</v>
      </c>
      <c r="AZ47" s="914">
        <v>550</v>
      </c>
      <c r="BA47" s="914">
        <v>630</v>
      </c>
      <c r="BB47" s="914">
        <v>630</v>
      </c>
      <c r="BC47" s="914">
        <v>720</v>
      </c>
      <c r="BD47" s="914">
        <v>830</v>
      </c>
      <c r="BE47" s="870">
        <f t="shared" si="18"/>
        <v>28000</v>
      </c>
    </row>
    <row r="48" spans="1:57" x14ac:dyDescent="0.3">
      <c r="A48" s="903">
        <v>5</v>
      </c>
      <c r="B48" s="913" t="s">
        <v>1331</v>
      </c>
      <c r="C48" s="914">
        <v>75000.029530285712</v>
      </c>
      <c r="D48" s="914">
        <v>110500</v>
      </c>
      <c r="E48" s="914">
        <v>110500.03307392</v>
      </c>
      <c r="F48" s="941">
        <v>121550</v>
      </c>
      <c r="G48" s="941">
        <f>F48*37.2%</f>
        <v>45216.600000000006</v>
      </c>
      <c r="H48" s="941"/>
      <c r="I48" s="941">
        <v>133710</v>
      </c>
      <c r="J48" s="941">
        <f>I48*37.2%</f>
        <v>49740.12000000001</v>
      </c>
      <c r="K48" s="941"/>
      <c r="L48" s="914">
        <v>75000</v>
      </c>
      <c r="M48" s="914">
        <v>110500</v>
      </c>
      <c r="N48" s="914">
        <v>110500</v>
      </c>
      <c r="O48" s="914">
        <v>121550</v>
      </c>
      <c r="P48" s="914">
        <v>133710</v>
      </c>
      <c r="Q48" s="914">
        <v>0</v>
      </c>
      <c r="R48" s="914">
        <v>0</v>
      </c>
      <c r="S48" s="914">
        <v>0</v>
      </c>
      <c r="T48" s="914">
        <v>0</v>
      </c>
      <c r="U48" s="914">
        <v>0</v>
      </c>
      <c r="V48" s="914">
        <v>0</v>
      </c>
      <c r="W48" s="914">
        <v>0</v>
      </c>
      <c r="X48" s="914">
        <v>0</v>
      </c>
      <c r="Y48" s="914">
        <v>0</v>
      </c>
      <c r="Z48" s="914">
        <v>0</v>
      </c>
      <c r="AA48" s="914">
        <v>0</v>
      </c>
      <c r="AB48" s="914">
        <v>0</v>
      </c>
      <c r="AC48" s="914">
        <v>0</v>
      </c>
      <c r="AD48" s="914">
        <v>0</v>
      </c>
      <c r="AE48" s="914">
        <v>0</v>
      </c>
      <c r="AF48" s="914">
        <v>0</v>
      </c>
      <c r="AG48" s="914">
        <v>0</v>
      </c>
      <c r="AH48" s="914">
        <v>0</v>
      </c>
      <c r="AI48" s="914">
        <v>0</v>
      </c>
      <c r="AJ48" s="914">
        <v>0</v>
      </c>
      <c r="AK48" s="914">
        <v>2.9530285714285717E-2</v>
      </c>
      <c r="AL48" s="914">
        <v>3.3073920000000007E-2</v>
      </c>
      <c r="AM48" s="914">
        <v>3.3073920000000007E-2</v>
      </c>
      <c r="AN48" s="914">
        <v>0</v>
      </c>
      <c r="AO48" s="914">
        <v>0</v>
      </c>
      <c r="AP48" s="914">
        <v>0</v>
      </c>
      <c r="AQ48" s="914">
        <v>0</v>
      </c>
      <c r="AR48" s="914">
        <v>0</v>
      </c>
      <c r="AS48" s="914">
        <v>0</v>
      </c>
      <c r="AT48" s="914">
        <v>0</v>
      </c>
      <c r="AU48" s="914">
        <v>0</v>
      </c>
      <c r="AV48" s="914">
        <v>0</v>
      </c>
      <c r="AW48" s="914">
        <v>0</v>
      </c>
      <c r="AX48" s="914">
        <v>0</v>
      </c>
      <c r="AY48" s="914">
        <v>0</v>
      </c>
      <c r="AZ48" s="914">
        <v>0</v>
      </c>
      <c r="BA48" s="914">
        <v>0</v>
      </c>
      <c r="BB48" s="914">
        <v>0</v>
      </c>
      <c r="BC48" s="914">
        <v>0</v>
      </c>
      <c r="BD48" s="914">
        <v>0</v>
      </c>
      <c r="BE48" s="870">
        <f t="shared" si="18"/>
        <v>110500.03307392</v>
      </c>
    </row>
    <row r="49" spans="1:57" x14ac:dyDescent="0.3">
      <c r="A49" s="903"/>
      <c r="B49" s="915" t="s">
        <v>1547</v>
      </c>
      <c r="C49" s="916">
        <v>47100.018545019426</v>
      </c>
      <c r="D49" s="916">
        <v>69394</v>
      </c>
      <c r="E49" s="916">
        <v>69394.020770421761</v>
      </c>
      <c r="F49" s="942">
        <v>76330</v>
      </c>
      <c r="G49" s="942"/>
      <c r="H49" s="942"/>
      <c r="I49" s="942">
        <v>83960</v>
      </c>
      <c r="J49" s="942"/>
      <c r="K49" s="942"/>
      <c r="L49" s="916">
        <v>47100</v>
      </c>
      <c r="M49" s="916">
        <v>69394</v>
      </c>
      <c r="N49" s="916">
        <v>69394</v>
      </c>
      <c r="O49" s="916">
        <v>76330</v>
      </c>
      <c r="P49" s="916">
        <v>83960</v>
      </c>
      <c r="Q49" s="914"/>
      <c r="R49" s="916">
        <v>0</v>
      </c>
      <c r="S49" s="914"/>
      <c r="T49" s="916">
        <v>0</v>
      </c>
      <c r="U49" s="916">
        <v>0</v>
      </c>
      <c r="V49" s="914"/>
      <c r="W49" s="916">
        <v>0</v>
      </c>
      <c r="X49" s="914"/>
      <c r="Y49" s="916">
        <v>0</v>
      </c>
      <c r="Z49" s="916">
        <v>0</v>
      </c>
      <c r="AA49" s="914"/>
      <c r="AB49" s="916">
        <v>0</v>
      </c>
      <c r="AC49" s="914"/>
      <c r="AD49" s="916">
        <v>0</v>
      </c>
      <c r="AE49" s="916">
        <v>0</v>
      </c>
      <c r="AF49" s="914"/>
      <c r="AG49" s="916">
        <v>0</v>
      </c>
      <c r="AH49" s="914"/>
      <c r="AI49" s="916">
        <v>0</v>
      </c>
      <c r="AJ49" s="916">
        <v>0</v>
      </c>
      <c r="AK49" s="914"/>
      <c r="AL49" s="916">
        <v>0</v>
      </c>
      <c r="AM49" s="914"/>
      <c r="AN49" s="916">
        <v>0</v>
      </c>
      <c r="AO49" s="916">
        <v>0</v>
      </c>
      <c r="AP49" s="914"/>
      <c r="AQ49" s="916">
        <v>0</v>
      </c>
      <c r="AR49" s="914"/>
      <c r="AS49" s="916">
        <v>0</v>
      </c>
      <c r="AT49" s="916">
        <v>0</v>
      </c>
      <c r="AU49" s="914"/>
      <c r="AV49" s="916">
        <v>0</v>
      </c>
      <c r="AW49" s="914"/>
      <c r="AX49" s="916">
        <v>0</v>
      </c>
      <c r="AY49" s="916">
        <v>0</v>
      </c>
      <c r="AZ49" s="914"/>
      <c r="BA49" s="916">
        <v>0</v>
      </c>
      <c r="BB49" s="914"/>
      <c r="BC49" s="916">
        <v>0</v>
      </c>
      <c r="BD49" s="916">
        <v>0</v>
      </c>
      <c r="BE49" s="870">
        <f t="shared" si="18"/>
        <v>69394</v>
      </c>
    </row>
    <row r="50" spans="1:57" ht="33.75" x14ac:dyDescent="0.3">
      <c r="A50" s="903"/>
      <c r="B50" s="915" t="s">
        <v>1548</v>
      </c>
      <c r="C50" s="916">
        <v>27900.010985266286</v>
      </c>
      <c r="D50" s="916">
        <v>41106</v>
      </c>
      <c r="E50" s="916">
        <v>41106.012303498239</v>
      </c>
      <c r="F50" s="942">
        <v>45220</v>
      </c>
      <c r="G50" s="942"/>
      <c r="H50" s="942"/>
      <c r="I50" s="942">
        <v>49750</v>
      </c>
      <c r="J50" s="942"/>
      <c r="K50" s="942"/>
      <c r="L50" s="916">
        <v>27900</v>
      </c>
      <c r="M50" s="916">
        <v>41106</v>
      </c>
      <c r="N50" s="916">
        <v>41106</v>
      </c>
      <c r="O50" s="916">
        <v>45220</v>
      </c>
      <c r="P50" s="916">
        <v>49750</v>
      </c>
      <c r="Q50" s="914"/>
      <c r="R50" s="916">
        <v>0</v>
      </c>
      <c r="S50" s="914"/>
      <c r="T50" s="916">
        <v>0</v>
      </c>
      <c r="U50" s="916">
        <v>0</v>
      </c>
      <c r="V50" s="914"/>
      <c r="W50" s="916">
        <v>0</v>
      </c>
      <c r="X50" s="914"/>
      <c r="Y50" s="916">
        <v>0</v>
      </c>
      <c r="Z50" s="916">
        <v>0</v>
      </c>
      <c r="AA50" s="914"/>
      <c r="AB50" s="916">
        <v>0</v>
      </c>
      <c r="AC50" s="914"/>
      <c r="AD50" s="916">
        <v>0</v>
      </c>
      <c r="AE50" s="916">
        <v>0</v>
      </c>
      <c r="AF50" s="914"/>
      <c r="AG50" s="916">
        <v>0</v>
      </c>
      <c r="AH50" s="914"/>
      <c r="AI50" s="916">
        <v>0</v>
      </c>
      <c r="AJ50" s="916">
        <v>0</v>
      </c>
      <c r="AK50" s="914"/>
      <c r="AL50" s="916">
        <v>0</v>
      </c>
      <c r="AM50" s="914"/>
      <c r="AN50" s="916">
        <v>0</v>
      </c>
      <c r="AO50" s="916">
        <v>0</v>
      </c>
      <c r="AP50" s="914"/>
      <c r="AQ50" s="916">
        <v>0</v>
      </c>
      <c r="AR50" s="914"/>
      <c r="AS50" s="916">
        <v>0</v>
      </c>
      <c r="AT50" s="916">
        <v>0</v>
      </c>
      <c r="AU50" s="914"/>
      <c r="AV50" s="916">
        <v>0</v>
      </c>
      <c r="AW50" s="914"/>
      <c r="AX50" s="916">
        <v>0</v>
      </c>
      <c r="AY50" s="916">
        <v>0</v>
      </c>
      <c r="AZ50" s="914"/>
      <c r="BA50" s="916">
        <v>0</v>
      </c>
      <c r="BB50" s="914"/>
      <c r="BC50" s="916">
        <v>0</v>
      </c>
      <c r="BD50" s="916">
        <v>0</v>
      </c>
      <c r="BE50" s="870">
        <f t="shared" si="18"/>
        <v>41106</v>
      </c>
    </row>
    <row r="51" spans="1:57" x14ac:dyDescent="0.3">
      <c r="A51" s="903">
        <v>6</v>
      </c>
      <c r="B51" s="913" t="s">
        <v>231</v>
      </c>
      <c r="C51" s="917">
        <v>33540</v>
      </c>
      <c r="D51" s="917">
        <v>35000</v>
      </c>
      <c r="E51" s="917">
        <v>35600</v>
      </c>
      <c r="F51" s="943">
        <v>40250</v>
      </c>
      <c r="G51" s="943"/>
      <c r="H51" s="943">
        <f>F51</f>
        <v>40250</v>
      </c>
      <c r="I51" s="943">
        <v>45820</v>
      </c>
      <c r="J51" s="943"/>
      <c r="K51" s="943">
        <f>I51</f>
        <v>45820</v>
      </c>
      <c r="L51" s="917">
        <v>0</v>
      </c>
      <c r="M51" s="900">
        <v>0</v>
      </c>
      <c r="N51" s="917">
        <v>0</v>
      </c>
      <c r="O51" s="917">
        <v>0</v>
      </c>
      <c r="P51" s="917">
        <v>0</v>
      </c>
      <c r="Q51" s="917">
        <v>15500</v>
      </c>
      <c r="R51" s="900">
        <v>16910</v>
      </c>
      <c r="S51" s="917">
        <v>17200</v>
      </c>
      <c r="T51" s="917">
        <v>19440</v>
      </c>
      <c r="U51" s="917">
        <v>22300</v>
      </c>
      <c r="V51" s="914">
        <v>1590</v>
      </c>
      <c r="W51" s="900">
        <v>1570</v>
      </c>
      <c r="X51" s="917">
        <v>1600</v>
      </c>
      <c r="Y51" s="917">
        <v>1810</v>
      </c>
      <c r="Z51" s="917">
        <v>2050</v>
      </c>
      <c r="AA51" s="914">
        <v>2500</v>
      </c>
      <c r="AB51" s="900">
        <v>2560</v>
      </c>
      <c r="AC51" s="914">
        <v>2600</v>
      </c>
      <c r="AD51" s="917">
        <v>2940</v>
      </c>
      <c r="AE51" s="917">
        <v>3320</v>
      </c>
      <c r="AF51" s="914">
        <v>3200</v>
      </c>
      <c r="AG51" s="900">
        <v>3150</v>
      </c>
      <c r="AH51" s="914">
        <v>3200</v>
      </c>
      <c r="AI51" s="917">
        <v>3620</v>
      </c>
      <c r="AJ51" s="917">
        <v>4090</v>
      </c>
      <c r="AK51" s="917">
        <v>3400</v>
      </c>
      <c r="AL51" s="900">
        <v>3540</v>
      </c>
      <c r="AM51" s="917">
        <v>3600</v>
      </c>
      <c r="AN51" s="917">
        <v>4070</v>
      </c>
      <c r="AO51" s="917">
        <v>4600</v>
      </c>
      <c r="AP51" s="917">
        <v>2200</v>
      </c>
      <c r="AQ51" s="900">
        <v>2160</v>
      </c>
      <c r="AR51" s="917">
        <v>2200</v>
      </c>
      <c r="AS51" s="917">
        <v>2490</v>
      </c>
      <c r="AT51" s="917">
        <v>2810</v>
      </c>
      <c r="AU51" s="917">
        <v>4000</v>
      </c>
      <c r="AV51" s="900">
        <v>3930</v>
      </c>
      <c r="AW51" s="917">
        <v>4000</v>
      </c>
      <c r="AX51" s="917">
        <v>4520</v>
      </c>
      <c r="AY51" s="917">
        <v>5110</v>
      </c>
      <c r="AZ51" s="917">
        <v>1150</v>
      </c>
      <c r="BA51" s="900">
        <v>1180</v>
      </c>
      <c r="BB51" s="917">
        <v>1200</v>
      </c>
      <c r="BC51" s="917">
        <v>1360</v>
      </c>
      <c r="BD51" s="917">
        <v>1540</v>
      </c>
      <c r="BE51" s="870">
        <f t="shared" si="18"/>
        <v>35000</v>
      </c>
    </row>
    <row r="52" spans="1:57" x14ac:dyDescent="0.3">
      <c r="A52" s="903">
        <v>7</v>
      </c>
      <c r="B52" s="918" t="s">
        <v>1549</v>
      </c>
      <c r="C52" s="917">
        <v>68457</v>
      </c>
      <c r="D52" s="917">
        <v>73000</v>
      </c>
      <c r="E52" s="917">
        <v>74000</v>
      </c>
      <c r="F52" s="943">
        <v>83620</v>
      </c>
      <c r="G52" s="943">
        <f>O52-O53</f>
        <v>1850</v>
      </c>
      <c r="H52" s="943">
        <f>T52-T53+Y52-Y53+AD52-AD53+AI52-AI53+AN52-AN53+AS52-AS53+AX52-AX53+BC52-BC53</f>
        <v>77360</v>
      </c>
      <c r="I52" s="943">
        <v>94400</v>
      </c>
      <c r="J52" s="943">
        <f>P52-P53</f>
        <v>2190</v>
      </c>
      <c r="K52" s="943">
        <f>U52-U53+Z52-Z53+AE52-AE53+AJ52-AJ53+AO52-AO53+AT52-AT53+AY52-AY53+BD52-BD53</f>
        <v>87360</v>
      </c>
      <c r="L52" s="917">
        <v>4500</v>
      </c>
      <c r="M52" s="908">
        <v>4500</v>
      </c>
      <c r="N52" s="917">
        <v>4560</v>
      </c>
      <c r="O52" s="917">
        <v>5150</v>
      </c>
      <c r="P52" s="917">
        <v>5820</v>
      </c>
      <c r="Q52" s="917">
        <v>2400</v>
      </c>
      <c r="R52" s="908">
        <v>2370</v>
      </c>
      <c r="S52" s="917">
        <v>2400</v>
      </c>
      <c r="T52" s="917">
        <v>2710</v>
      </c>
      <c r="U52" s="917">
        <v>3060</v>
      </c>
      <c r="V52" s="914">
        <v>1000</v>
      </c>
      <c r="W52" s="908">
        <v>1100</v>
      </c>
      <c r="X52" s="917">
        <v>1120</v>
      </c>
      <c r="Y52" s="917">
        <v>1270</v>
      </c>
      <c r="Z52" s="917">
        <v>1340</v>
      </c>
      <c r="AA52" s="914">
        <v>1200</v>
      </c>
      <c r="AB52" s="908">
        <v>1550</v>
      </c>
      <c r="AC52" s="914">
        <v>1570</v>
      </c>
      <c r="AD52" s="917">
        <v>1770</v>
      </c>
      <c r="AE52" s="917">
        <v>2000</v>
      </c>
      <c r="AF52" s="914">
        <v>54000</v>
      </c>
      <c r="AG52" s="908">
        <v>55740</v>
      </c>
      <c r="AH52" s="914">
        <v>56500</v>
      </c>
      <c r="AI52" s="917">
        <v>63850</v>
      </c>
      <c r="AJ52" s="917">
        <v>72150</v>
      </c>
      <c r="AK52" s="917">
        <v>1487</v>
      </c>
      <c r="AL52" s="908">
        <v>1680</v>
      </c>
      <c r="AM52" s="917">
        <v>1700</v>
      </c>
      <c r="AN52" s="917">
        <v>1920</v>
      </c>
      <c r="AO52" s="917">
        <v>2170</v>
      </c>
      <c r="AP52" s="917">
        <v>400</v>
      </c>
      <c r="AQ52" s="908">
        <v>1870</v>
      </c>
      <c r="AR52" s="917">
        <v>1900</v>
      </c>
      <c r="AS52" s="917">
        <v>2150</v>
      </c>
      <c r="AT52" s="917">
        <v>2430</v>
      </c>
      <c r="AU52" s="917">
        <v>3200</v>
      </c>
      <c r="AV52" s="908">
        <v>3750</v>
      </c>
      <c r="AW52" s="917">
        <v>3800</v>
      </c>
      <c r="AX52" s="917">
        <v>4290</v>
      </c>
      <c r="AY52" s="917">
        <v>4850</v>
      </c>
      <c r="AZ52" s="917">
        <v>270</v>
      </c>
      <c r="BA52" s="908">
        <v>440</v>
      </c>
      <c r="BB52" s="917">
        <v>450</v>
      </c>
      <c r="BC52" s="917">
        <v>510</v>
      </c>
      <c r="BD52" s="917">
        <v>580</v>
      </c>
      <c r="BE52" s="870">
        <f t="shared" si="18"/>
        <v>73000</v>
      </c>
    </row>
    <row r="53" spans="1:57" x14ac:dyDescent="0.3">
      <c r="A53" s="903"/>
      <c r="B53" s="919" t="s">
        <v>1550</v>
      </c>
      <c r="C53" s="920">
        <v>3000</v>
      </c>
      <c r="D53" s="920">
        <v>4000</v>
      </c>
      <c r="E53" s="920">
        <v>4000</v>
      </c>
      <c r="F53" s="944">
        <v>4410</v>
      </c>
      <c r="G53" s="944"/>
      <c r="H53" s="944"/>
      <c r="I53" s="944">
        <v>4850</v>
      </c>
      <c r="J53" s="944"/>
      <c r="K53" s="944"/>
      <c r="L53" s="920">
        <v>2500</v>
      </c>
      <c r="M53" s="920">
        <v>3000</v>
      </c>
      <c r="N53" s="920">
        <v>3000</v>
      </c>
      <c r="O53" s="920">
        <v>3300</v>
      </c>
      <c r="P53" s="920">
        <v>3630</v>
      </c>
      <c r="Q53" s="920"/>
      <c r="R53" s="920">
        <v>350</v>
      </c>
      <c r="S53" s="920">
        <v>350</v>
      </c>
      <c r="T53" s="920">
        <v>390</v>
      </c>
      <c r="U53" s="920">
        <v>430</v>
      </c>
      <c r="V53" s="921"/>
      <c r="W53" s="920">
        <v>100</v>
      </c>
      <c r="X53" s="920">
        <v>100</v>
      </c>
      <c r="Y53" s="920">
        <v>110</v>
      </c>
      <c r="Z53" s="920">
        <v>120</v>
      </c>
      <c r="AA53" s="921"/>
      <c r="AB53" s="920">
        <v>100</v>
      </c>
      <c r="AC53" s="921">
        <v>100</v>
      </c>
      <c r="AD53" s="920">
        <v>110</v>
      </c>
      <c r="AE53" s="920">
        <v>120</v>
      </c>
      <c r="AF53" s="921"/>
      <c r="AG53" s="920">
        <v>100</v>
      </c>
      <c r="AH53" s="921">
        <v>100</v>
      </c>
      <c r="AI53" s="920">
        <v>110</v>
      </c>
      <c r="AJ53" s="920">
        <v>120</v>
      </c>
      <c r="AK53" s="920">
        <v>0</v>
      </c>
      <c r="AL53" s="920">
        <v>100</v>
      </c>
      <c r="AM53" s="920">
        <v>100</v>
      </c>
      <c r="AN53" s="920">
        <v>110</v>
      </c>
      <c r="AO53" s="920">
        <v>120</v>
      </c>
      <c r="AP53" s="920">
        <v>0</v>
      </c>
      <c r="AQ53" s="920">
        <v>100</v>
      </c>
      <c r="AR53" s="920">
        <v>100</v>
      </c>
      <c r="AS53" s="920">
        <v>110</v>
      </c>
      <c r="AT53" s="920">
        <v>120</v>
      </c>
      <c r="AU53" s="920">
        <v>0</v>
      </c>
      <c r="AV53" s="920">
        <v>100</v>
      </c>
      <c r="AW53" s="920">
        <v>100</v>
      </c>
      <c r="AX53" s="920">
        <v>110</v>
      </c>
      <c r="AY53" s="920">
        <v>120</v>
      </c>
      <c r="AZ53" s="920">
        <v>0</v>
      </c>
      <c r="BA53" s="920">
        <v>50</v>
      </c>
      <c r="BB53" s="920">
        <v>50</v>
      </c>
      <c r="BC53" s="920">
        <v>60</v>
      </c>
      <c r="BD53" s="920">
        <v>70</v>
      </c>
      <c r="BE53" s="870">
        <f t="shared" si="18"/>
        <v>4000</v>
      </c>
    </row>
    <row r="54" spans="1:57" x14ac:dyDescent="0.3">
      <c r="A54" s="903">
        <v>8</v>
      </c>
      <c r="B54" s="913" t="s">
        <v>236</v>
      </c>
      <c r="C54" s="917">
        <v>3350</v>
      </c>
      <c r="D54" s="917">
        <v>3000</v>
      </c>
      <c r="E54" s="917">
        <v>3300</v>
      </c>
      <c r="F54" s="943">
        <v>3800</v>
      </c>
      <c r="G54" s="943"/>
      <c r="H54" s="943">
        <f>F54</f>
        <v>3800</v>
      </c>
      <c r="I54" s="943">
        <v>4370</v>
      </c>
      <c r="J54" s="943"/>
      <c r="K54" s="943">
        <f>I54</f>
        <v>4370</v>
      </c>
      <c r="L54" s="917">
        <v>0</v>
      </c>
      <c r="M54" s="908">
        <v>0</v>
      </c>
      <c r="N54" s="917">
        <v>0</v>
      </c>
      <c r="O54" s="917">
        <v>0</v>
      </c>
      <c r="P54" s="917">
        <v>0</v>
      </c>
      <c r="Q54" s="917">
        <v>250</v>
      </c>
      <c r="R54" s="908">
        <v>230</v>
      </c>
      <c r="S54" s="917">
        <v>250</v>
      </c>
      <c r="T54" s="917">
        <v>290</v>
      </c>
      <c r="U54" s="917">
        <v>330</v>
      </c>
      <c r="V54" s="914">
        <v>400</v>
      </c>
      <c r="W54" s="908">
        <v>360</v>
      </c>
      <c r="X54" s="917">
        <v>400</v>
      </c>
      <c r="Y54" s="917">
        <v>460</v>
      </c>
      <c r="Z54" s="917">
        <v>530</v>
      </c>
      <c r="AA54" s="914">
        <v>700</v>
      </c>
      <c r="AB54" s="908">
        <v>640</v>
      </c>
      <c r="AC54" s="914">
        <v>700</v>
      </c>
      <c r="AD54" s="917">
        <v>810</v>
      </c>
      <c r="AE54" s="917">
        <v>930</v>
      </c>
      <c r="AF54" s="914">
        <v>600</v>
      </c>
      <c r="AG54" s="908">
        <v>500</v>
      </c>
      <c r="AH54" s="914">
        <v>550</v>
      </c>
      <c r="AI54" s="917">
        <v>630</v>
      </c>
      <c r="AJ54" s="917">
        <v>720</v>
      </c>
      <c r="AK54" s="917">
        <v>400</v>
      </c>
      <c r="AL54" s="908">
        <v>350</v>
      </c>
      <c r="AM54" s="917">
        <v>380</v>
      </c>
      <c r="AN54" s="917">
        <v>440</v>
      </c>
      <c r="AO54" s="917">
        <v>510</v>
      </c>
      <c r="AP54" s="917">
        <v>350</v>
      </c>
      <c r="AQ54" s="908">
        <v>310</v>
      </c>
      <c r="AR54" s="917">
        <v>340</v>
      </c>
      <c r="AS54" s="917">
        <v>390</v>
      </c>
      <c r="AT54" s="917">
        <v>450</v>
      </c>
      <c r="AU54" s="917">
        <v>400</v>
      </c>
      <c r="AV54" s="908">
        <v>360</v>
      </c>
      <c r="AW54" s="917">
        <v>400</v>
      </c>
      <c r="AX54" s="917">
        <v>460</v>
      </c>
      <c r="AY54" s="917">
        <v>530</v>
      </c>
      <c r="AZ54" s="917">
        <v>250</v>
      </c>
      <c r="BA54" s="908">
        <v>250</v>
      </c>
      <c r="BB54" s="917">
        <v>280</v>
      </c>
      <c r="BC54" s="917">
        <v>320</v>
      </c>
      <c r="BD54" s="917">
        <v>370</v>
      </c>
      <c r="BE54" s="870">
        <f t="shared" si="18"/>
        <v>3000</v>
      </c>
    </row>
    <row r="55" spans="1:57" x14ac:dyDescent="0.3">
      <c r="A55" s="903">
        <v>9</v>
      </c>
      <c r="B55" s="913" t="s">
        <v>237</v>
      </c>
      <c r="C55" s="917">
        <v>600</v>
      </c>
      <c r="D55" s="917">
        <v>500</v>
      </c>
      <c r="E55" s="917">
        <v>600</v>
      </c>
      <c r="F55" s="943">
        <v>630</v>
      </c>
      <c r="G55" s="943"/>
      <c r="H55" s="943">
        <f>F55</f>
        <v>630</v>
      </c>
      <c r="I55" s="943">
        <v>660</v>
      </c>
      <c r="J55" s="943"/>
      <c r="K55" s="943">
        <f>I55</f>
        <v>660</v>
      </c>
      <c r="L55" s="917">
        <v>0</v>
      </c>
      <c r="M55" s="908">
        <v>0</v>
      </c>
      <c r="N55" s="917">
        <v>0</v>
      </c>
      <c r="O55" s="917">
        <v>0</v>
      </c>
      <c r="P55" s="917">
        <v>0</v>
      </c>
      <c r="Q55" s="917">
        <v>320</v>
      </c>
      <c r="R55" s="908">
        <v>250</v>
      </c>
      <c r="S55" s="917">
        <v>330</v>
      </c>
      <c r="T55" s="917">
        <v>350</v>
      </c>
      <c r="U55" s="917">
        <v>370</v>
      </c>
      <c r="V55" s="914">
        <v>35</v>
      </c>
      <c r="W55" s="908">
        <v>30</v>
      </c>
      <c r="X55" s="917">
        <v>30</v>
      </c>
      <c r="Y55" s="917">
        <v>30</v>
      </c>
      <c r="Z55" s="917">
        <v>30</v>
      </c>
      <c r="AA55" s="914">
        <v>30</v>
      </c>
      <c r="AB55" s="908">
        <v>30</v>
      </c>
      <c r="AC55" s="914">
        <v>30</v>
      </c>
      <c r="AD55" s="917">
        <v>30</v>
      </c>
      <c r="AE55" s="917">
        <v>30</v>
      </c>
      <c r="AF55" s="914">
        <v>150</v>
      </c>
      <c r="AG55" s="908">
        <v>130</v>
      </c>
      <c r="AH55" s="914">
        <v>150</v>
      </c>
      <c r="AI55" s="917">
        <v>160</v>
      </c>
      <c r="AJ55" s="917">
        <v>170</v>
      </c>
      <c r="AK55" s="917">
        <v>20</v>
      </c>
      <c r="AL55" s="908">
        <v>20</v>
      </c>
      <c r="AM55" s="917">
        <v>20</v>
      </c>
      <c r="AN55" s="917">
        <v>20</v>
      </c>
      <c r="AO55" s="917">
        <v>20</v>
      </c>
      <c r="AP55" s="917">
        <v>17</v>
      </c>
      <c r="AQ55" s="908">
        <v>20</v>
      </c>
      <c r="AR55" s="917">
        <v>20</v>
      </c>
      <c r="AS55" s="917">
        <v>20</v>
      </c>
      <c r="AT55" s="917">
        <v>20</v>
      </c>
      <c r="AU55" s="917">
        <v>20</v>
      </c>
      <c r="AV55" s="908">
        <v>20</v>
      </c>
      <c r="AW55" s="917">
        <v>20</v>
      </c>
      <c r="AX55" s="917">
        <v>20</v>
      </c>
      <c r="AY55" s="917">
        <v>20</v>
      </c>
      <c r="AZ55" s="917">
        <v>8</v>
      </c>
      <c r="BA55" s="908">
        <v>0</v>
      </c>
      <c r="BB55" s="917">
        <v>0</v>
      </c>
      <c r="BC55" s="917">
        <v>0</v>
      </c>
      <c r="BD55" s="917">
        <v>0</v>
      </c>
      <c r="BE55" s="870">
        <f t="shared" si="18"/>
        <v>500</v>
      </c>
    </row>
    <row r="56" spans="1:57" ht="21" customHeight="1" x14ac:dyDescent="0.3">
      <c r="A56" s="903">
        <v>10</v>
      </c>
      <c r="B56" s="913" t="s">
        <v>1551</v>
      </c>
      <c r="C56" s="917">
        <v>12000</v>
      </c>
      <c r="D56" s="917">
        <v>12000</v>
      </c>
      <c r="E56" s="917">
        <v>12000</v>
      </c>
      <c r="F56" s="943">
        <v>13200</v>
      </c>
      <c r="G56" s="943">
        <f>F56</f>
        <v>13200</v>
      </c>
      <c r="H56" s="943"/>
      <c r="I56" s="943">
        <v>14520</v>
      </c>
      <c r="J56" s="943">
        <f>I56</f>
        <v>14520</v>
      </c>
      <c r="K56" s="943"/>
      <c r="L56" s="917">
        <v>12000</v>
      </c>
      <c r="M56" s="914">
        <v>12000</v>
      </c>
      <c r="N56" s="917">
        <v>12000</v>
      </c>
      <c r="O56" s="917">
        <v>13200</v>
      </c>
      <c r="P56" s="917">
        <v>14520</v>
      </c>
      <c r="Q56" s="917">
        <v>0</v>
      </c>
      <c r="R56" s="914">
        <v>0</v>
      </c>
      <c r="S56" s="917">
        <v>0</v>
      </c>
      <c r="T56" s="917">
        <v>0</v>
      </c>
      <c r="U56" s="917">
        <v>0</v>
      </c>
      <c r="V56" s="914">
        <v>0</v>
      </c>
      <c r="W56" s="914">
        <v>0</v>
      </c>
      <c r="X56" s="917">
        <v>0</v>
      </c>
      <c r="Y56" s="917">
        <v>0</v>
      </c>
      <c r="Z56" s="917">
        <v>0</v>
      </c>
      <c r="AA56" s="914">
        <v>0</v>
      </c>
      <c r="AB56" s="914">
        <v>0</v>
      </c>
      <c r="AC56" s="914">
        <v>0</v>
      </c>
      <c r="AD56" s="917">
        <v>0</v>
      </c>
      <c r="AE56" s="917">
        <v>0</v>
      </c>
      <c r="AF56" s="914">
        <v>0</v>
      </c>
      <c r="AG56" s="914">
        <v>0</v>
      </c>
      <c r="AH56" s="914">
        <v>0</v>
      </c>
      <c r="AI56" s="917">
        <v>0</v>
      </c>
      <c r="AJ56" s="917">
        <v>0</v>
      </c>
      <c r="AK56" s="917">
        <v>0</v>
      </c>
      <c r="AL56" s="914">
        <v>0</v>
      </c>
      <c r="AM56" s="917">
        <v>0</v>
      </c>
      <c r="AN56" s="917">
        <v>0</v>
      </c>
      <c r="AO56" s="917">
        <v>0</v>
      </c>
      <c r="AP56" s="917">
        <v>0</v>
      </c>
      <c r="AQ56" s="914">
        <v>0</v>
      </c>
      <c r="AR56" s="917">
        <v>0</v>
      </c>
      <c r="AS56" s="917">
        <v>0</v>
      </c>
      <c r="AT56" s="917">
        <v>0</v>
      </c>
      <c r="AU56" s="917">
        <v>0</v>
      </c>
      <c r="AV56" s="914">
        <v>0</v>
      </c>
      <c r="AW56" s="917">
        <v>0</v>
      </c>
      <c r="AX56" s="917">
        <v>0</v>
      </c>
      <c r="AY56" s="917">
        <v>0</v>
      </c>
      <c r="AZ56" s="917">
        <v>0</v>
      </c>
      <c r="BA56" s="914">
        <v>0</v>
      </c>
      <c r="BB56" s="917">
        <v>0</v>
      </c>
      <c r="BC56" s="917">
        <v>0</v>
      </c>
      <c r="BD56" s="917">
        <v>0</v>
      </c>
      <c r="BE56" s="870">
        <f t="shared" si="18"/>
        <v>12000</v>
      </c>
    </row>
    <row r="57" spans="1:57" x14ac:dyDescent="0.3">
      <c r="A57" s="903">
        <v>11</v>
      </c>
      <c r="B57" s="913" t="s">
        <v>239</v>
      </c>
      <c r="C57" s="914">
        <v>82990</v>
      </c>
      <c r="D57" s="914">
        <v>65000</v>
      </c>
      <c r="E57" s="914">
        <v>79000</v>
      </c>
      <c r="F57" s="941">
        <v>93000</v>
      </c>
      <c r="G57" s="941">
        <f>F57*0.1</f>
        <v>9300</v>
      </c>
      <c r="H57" s="941">
        <f>F57*0.9</f>
        <v>83700</v>
      </c>
      <c r="I57" s="941">
        <v>108000</v>
      </c>
      <c r="J57" s="941">
        <f>I57*0.1</f>
        <v>10800</v>
      </c>
      <c r="K57" s="941">
        <f>I57*0.9</f>
        <v>97200</v>
      </c>
      <c r="L57" s="914">
        <v>0</v>
      </c>
      <c r="M57" s="908">
        <v>0</v>
      </c>
      <c r="N57" s="914">
        <v>0</v>
      </c>
      <c r="O57" s="914">
        <v>0</v>
      </c>
      <c r="P57" s="914">
        <v>0</v>
      </c>
      <c r="Q57" s="917">
        <v>50000</v>
      </c>
      <c r="R57" s="908">
        <v>43200</v>
      </c>
      <c r="S57" s="917">
        <v>52500</v>
      </c>
      <c r="T57" s="914">
        <v>60000</v>
      </c>
      <c r="U57" s="914">
        <v>70000</v>
      </c>
      <c r="V57" s="914">
        <v>3000</v>
      </c>
      <c r="W57" s="908">
        <v>1650</v>
      </c>
      <c r="X57" s="914">
        <v>2000</v>
      </c>
      <c r="Y57" s="914">
        <v>2000</v>
      </c>
      <c r="Z57" s="914">
        <v>2500</v>
      </c>
      <c r="AA57" s="914">
        <v>3600</v>
      </c>
      <c r="AB57" s="908">
        <v>2060</v>
      </c>
      <c r="AC57" s="914">
        <v>2500</v>
      </c>
      <c r="AD57" s="914">
        <v>3000</v>
      </c>
      <c r="AE57" s="914">
        <v>3500</v>
      </c>
      <c r="AF57" s="914">
        <v>3000</v>
      </c>
      <c r="AG57" s="908">
        <v>4110</v>
      </c>
      <c r="AH57" s="914">
        <v>5000</v>
      </c>
      <c r="AI57" s="914">
        <v>10000</v>
      </c>
      <c r="AJ57" s="914">
        <v>12000</v>
      </c>
      <c r="AK57" s="914">
        <v>6000</v>
      </c>
      <c r="AL57" s="908">
        <v>2880</v>
      </c>
      <c r="AM57" s="914">
        <v>3500</v>
      </c>
      <c r="AN57" s="914">
        <v>4000</v>
      </c>
      <c r="AO57" s="914">
        <v>4500</v>
      </c>
      <c r="AP57" s="914">
        <v>1450</v>
      </c>
      <c r="AQ57" s="908">
        <v>410</v>
      </c>
      <c r="AR57" s="914">
        <v>500</v>
      </c>
      <c r="AS57" s="914">
        <v>1000</v>
      </c>
      <c r="AT57" s="914">
        <v>1500</v>
      </c>
      <c r="AU57" s="914">
        <v>10000</v>
      </c>
      <c r="AV57" s="908">
        <v>8230</v>
      </c>
      <c r="AW57" s="914">
        <v>10000</v>
      </c>
      <c r="AX57" s="914">
        <v>10000</v>
      </c>
      <c r="AY57" s="914">
        <v>11000</v>
      </c>
      <c r="AZ57" s="914">
        <v>5940</v>
      </c>
      <c r="BA57" s="908">
        <v>2460</v>
      </c>
      <c r="BB57" s="914">
        <v>3000</v>
      </c>
      <c r="BC57" s="914">
        <v>3000</v>
      </c>
      <c r="BD57" s="914">
        <v>3000</v>
      </c>
      <c r="BE57" s="870">
        <f t="shared" si="18"/>
        <v>65000</v>
      </c>
    </row>
    <row r="58" spans="1:57" ht="33.75" x14ac:dyDescent="0.3">
      <c r="A58" s="903">
        <v>12</v>
      </c>
      <c r="B58" s="913" t="s">
        <v>1552</v>
      </c>
      <c r="C58" s="917">
        <v>0</v>
      </c>
      <c r="D58" s="917">
        <v>0</v>
      </c>
      <c r="E58" s="917">
        <v>0</v>
      </c>
      <c r="F58" s="943">
        <v>0</v>
      </c>
      <c r="G58" s="943"/>
      <c r="H58" s="943"/>
      <c r="I58" s="943">
        <v>0</v>
      </c>
      <c r="J58" s="943"/>
      <c r="K58" s="943"/>
      <c r="L58" s="917">
        <v>0</v>
      </c>
      <c r="M58" s="914">
        <v>0</v>
      </c>
      <c r="N58" s="917">
        <v>0</v>
      </c>
      <c r="O58" s="917">
        <v>0</v>
      </c>
      <c r="P58" s="917">
        <v>0</v>
      </c>
      <c r="Q58" s="917">
        <v>0</v>
      </c>
      <c r="R58" s="914">
        <v>0</v>
      </c>
      <c r="S58" s="917">
        <v>0</v>
      </c>
      <c r="T58" s="917">
        <v>0</v>
      </c>
      <c r="U58" s="917">
        <v>0</v>
      </c>
      <c r="V58" s="914">
        <v>0</v>
      </c>
      <c r="W58" s="914">
        <v>0</v>
      </c>
      <c r="X58" s="917">
        <v>0</v>
      </c>
      <c r="Y58" s="917">
        <v>0</v>
      </c>
      <c r="Z58" s="917">
        <v>0</v>
      </c>
      <c r="AA58" s="914">
        <v>0</v>
      </c>
      <c r="AB58" s="914">
        <v>0</v>
      </c>
      <c r="AC58" s="914">
        <v>0</v>
      </c>
      <c r="AD58" s="917">
        <v>0</v>
      </c>
      <c r="AE58" s="917">
        <v>0</v>
      </c>
      <c r="AF58" s="914">
        <v>0</v>
      </c>
      <c r="AG58" s="914">
        <v>0</v>
      </c>
      <c r="AH58" s="914">
        <v>0</v>
      </c>
      <c r="AI58" s="917">
        <v>0</v>
      </c>
      <c r="AJ58" s="917">
        <v>0</v>
      </c>
      <c r="AK58" s="917">
        <v>0</v>
      </c>
      <c r="AL58" s="914">
        <v>0</v>
      </c>
      <c r="AM58" s="917">
        <v>0</v>
      </c>
      <c r="AN58" s="917">
        <v>0</v>
      </c>
      <c r="AO58" s="917">
        <v>0</v>
      </c>
      <c r="AP58" s="917">
        <v>0</v>
      </c>
      <c r="AQ58" s="914">
        <v>0</v>
      </c>
      <c r="AR58" s="917">
        <v>0</v>
      </c>
      <c r="AS58" s="917">
        <v>0</v>
      </c>
      <c r="AT58" s="917">
        <v>0</v>
      </c>
      <c r="AU58" s="917">
        <v>0</v>
      </c>
      <c r="AV58" s="914">
        <v>0</v>
      </c>
      <c r="AW58" s="917">
        <v>0</v>
      </c>
      <c r="AX58" s="917">
        <v>0</v>
      </c>
      <c r="AY58" s="917">
        <v>0</v>
      </c>
      <c r="AZ58" s="917">
        <v>0</v>
      </c>
      <c r="BA58" s="914">
        <v>0</v>
      </c>
      <c r="BB58" s="917">
        <v>0</v>
      </c>
      <c r="BC58" s="917">
        <v>0</v>
      </c>
      <c r="BD58" s="917">
        <v>0</v>
      </c>
      <c r="BE58" s="870">
        <f t="shared" si="18"/>
        <v>0</v>
      </c>
    </row>
    <row r="59" spans="1:57" x14ac:dyDescent="0.3">
      <c r="A59" s="903">
        <v>13</v>
      </c>
      <c r="B59" s="918" t="s">
        <v>1553</v>
      </c>
      <c r="C59" s="900">
        <v>15000</v>
      </c>
      <c r="D59" s="900">
        <v>15000</v>
      </c>
      <c r="E59" s="900">
        <v>15000</v>
      </c>
      <c r="F59" s="937">
        <v>16000</v>
      </c>
      <c r="G59" s="937">
        <f>F59</f>
        <v>16000</v>
      </c>
      <c r="H59" s="937"/>
      <c r="I59" s="937">
        <v>17000</v>
      </c>
      <c r="J59" s="937">
        <f>I59</f>
        <v>17000</v>
      </c>
      <c r="K59" s="937"/>
      <c r="L59" s="900">
        <v>15000</v>
      </c>
      <c r="M59" s="914">
        <v>15000</v>
      </c>
      <c r="N59" s="900">
        <v>15000</v>
      </c>
      <c r="O59" s="900">
        <v>16000</v>
      </c>
      <c r="P59" s="900">
        <v>17000</v>
      </c>
      <c r="Q59" s="917"/>
      <c r="R59" s="914"/>
      <c r="S59" s="917"/>
      <c r="T59" s="900"/>
      <c r="U59" s="900"/>
      <c r="V59" s="914"/>
      <c r="W59" s="914"/>
      <c r="X59" s="900"/>
      <c r="Y59" s="900"/>
      <c r="Z59" s="900"/>
      <c r="AA59" s="914"/>
      <c r="AB59" s="914"/>
      <c r="AC59" s="914"/>
      <c r="AD59" s="900"/>
      <c r="AE59" s="900"/>
      <c r="AF59" s="914"/>
      <c r="AG59" s="914"/>
      <c r="AH59" s="914"/>
      <c r="AI59" s="900"/>
      <c r="AJ59" s="900"/>
      <c r="AK59" s="900"/>
      <c r="AL59" s="914"/>
      <c r="AM59" s="900"/>
      <c r="AN59" s="900"/>
      <c r="AO59" s="900"/>
      <c r="AP59" s="900"/>
      <c r="AQ59" s="914"/>
      <c r="AR59" s="900"/>
      <c r="AS59" s="900"/>
      <c r="AT59" s="900"/>
      <c r="AU59" s="900"/>
      <c r="AV59" s="914"/>
      <c r="AW59" s="900"/>
      <c r="AX59" s="900"/>
      <c r="AY59" s="900"/>
      <c r="AZ59" s="900"/>
      <c r="BA59" s="914"/>
      <c r="BB59" s="900"/>
      <c r="BC59" s="900"/>
      <c r="BD59" s="900"/>
      <c r="BE59" s="870">
        <f t="shared" si="18"/>
        <v>15000</v>
      </c>
    </row>
    <row r="60" spans="1:57" ht="33.75" x14ac:dyDescent="0.3">
      <c r="A60" s="903">
        <v>14</v>
      </c>
      <c r="B60" s="913" t="s">
        <v>1554</v>
      </c>
      <c r="C60" s="914">
        <v>9000</v>
      </c>
      <c r="D60" s="914">
        <v>9500</v>
      </c>
      <c r="E60" s="914">
        <v>9500</v>
      </c>
      <c r="F60" s="941">
        <v>10000</v>
      </c>
      <c r="G60" s="941">
        <f>F60-F61*0.7</f>
        <v>7900</v>
      </c>
      <c r="H60" s="941"/>
      <c r="I60" s="941">
        <v>11000</v>
      </c>
      <c r="J60" s="941">
        <f>I60-I61*0.7</f>
        <v>8900</v>
      </c>
      <c r="K60" s="941"/>
      <c r="L60" s="914">
        <v>9000</v>
      </c>
      <c r="M60" s="914">
        <v>9500</v>
      </c>
      <c r="N60" s="914">
        <v>9500</v>
      </c>
      <c r="O60" s="914">
        <v>10000</v>
      </c>
      <c r="P60" s="914">
        <v>11000</v>
      </c>
      <c r="Q60" s="917"/>
      <c r="R60" s="914"/>
      <c r="S60" s="917"/>
      <c r="T60" s="914"/>
      <c r="U60" s="914"/>
      <c r="V60" s="914"/>
      <c r="W60" s="914"/>
      <c r="X60" s="914"/>
      <c r="Y60" s="914"/>
      <c r="Z60" s="914"/>
      <c r="AA60" s="914"/>
      <c r="AB60" s="914"/>
      <c r="AC60" s="914"/>
      <c r="AD60" s="914"/>
      <c r="AE60" s="914"/>
      <c r="AF60" s="914"/>
      <c r="AG60" s="914"/>
      <c r="AH60" s="914"/>
      <c r="AI60" s="914"/>
      <c r="AJ60" s="914"/>
      <c r="AK60" s="914"/>
      <c r="AL60" s="914"/>
      <c r="AM60" s="914"/>
      <c r="AN60" s="914"/>
      <c r="AO60" s="914"/>
      <c r="AP60" s="914"/>
      <c r="AQ60" s="914"/>
      <c r="AR60" s="914"/>
      <c r="AS60" s="914"/>
      <c r="AT60" s="914"/>
      <c r="AU60" s="914"/>
      <c r="AV60" s="914"/>
      <c r="AW60" s="914"/>
      <c r="AX60" s="914"/>
      <c r="AY60" s="914"/>
      <c r="AZ60" s="914"/>
      <c r="BA60" s="914"/>
      <c r="BB60" s="914"/>
      <c r="BC60" s="914"/>
      <c r="BD60" s="914"/>
      <c r="BE60" s="870">
        <f t="shared" si="18"/>
        <v>9500</v>
      </c>
    </row>
    <row r="61" spans="1:57" x14ac:dyDescent="0.3">
      <c r="A61" s="903"/>
      <c r="B61" s="922" t="s">
        <v>1555</v>
      </c>
      <c r="C61" s="921">
        <v>3000</v>
      </c>
      <c r="D61" s="921">
        <v>3000</v>
      </c>
      <c r="E61" s="921">
        <v>3000</v>
      </c>
      <c r="F61" s="945">
        <v>3000</v>
      </c>
      <c r="G61" s="945"/>
      <c r="H61" s="945"/>
      <c r="I61" s="945">
        <v>3000</v>
      </c>
      <c r="J61" s="945"/>
      <c r="K61" s="945"/>
      <c r="L61" s="921">
        <v>3000</v>
      </c>
      <c r="M61" s="921">
        <v>3000</v>
      </c>
      <c r="N61" s="921">
        <v>3000</v>
      </c>
      <c r="O61" s="921">
        <v>3000</v>
      </c>
      <c r="P61" s="921">
        <v>3000</v>
      </c>
      <c r="Q61" s="917"/>
      <c r="R61" s="921">
        <v>0</v>
      </c>
      <c r="S61" s="917"/>
      <c r="T61" s="921">
        <v>0</v>
      </c>
      <c r="U61" s="921">
        <v>0</v>
      </c>
      <c r="V61" s="914"/>
      <c r="W61" s="921">
        <v>0</v>
      </c>
      <c r="X61" s="914"/>
      <c r="Y61" s="921">
        <v>0</v>
      </c>
      <c r="Z61" s="921">
        <v>0</v>
      </c>
      <c r="AA61" s="914"/>
      <c r="AB61" s="921">
        <v>0</v>
      </c>
      <c r="AC61" s="914"/>
      <c r="AD61" s="921">
        <v>0</v>
      </c>
      <c r="AE61" s="921">
        <v>0</v>
      </c>
      <c r="AF61" s="914"/>
      <c r="AG61" s="921">
        <v>0</v>
      </c>
      <c r="AH61" s="914"/>
      <c r="AI61" s="921">
        <v>0</v>
      </c>
      <c r="AJ61" s="921">
        <v>0</v>
      </c>
      <c r="AK61" s="914"/>
      <c r="AL61" s="921">
        <v>0</v>
      </c>
      <c r="AM61" s="914"/>
      <c r="AN61" s="921">
        <v>0</v>
      </c>
      <c r="AO61" s="921">
        <v>0</v>
      </c>
      <c r="AP61" s="914"/>
      <c r="AQ61" s="921">
        <v>0</v>
      </c>
      <c r="AR61" s="914"/>
      <c r="AS61" s="921">
        <v>0</v>
      </c>
      <c r="AT61" s="921">
        <v>0</v>
      </c>
      <c r="AU61" s="914"/>
      <c r="AV61" s="921">
        <v>0</v>
      </c>
      <c r="AW61" s="914"/>
      <c r="AX61" s="921">
        <v>0</v>
      </c>
      <c r="AY61" s="921">
        <v>0</v>
      </c>
      <c r="AZ61" s="914"/>
      <c r="BA61" s="921">
        <v>0</v>
      </c>
      <c r="BB61" s="914"/>
      <c r="BC61" s="921">
        <v>0</v>
      </c>
      <c r="BD61" s="921">
        <v>0</v>
      </c>
      <c r="BE61" s="870">
        <f t="shared" si="18"/>
        <v>3000</v>
      </c>
    </row>
    <row r="62" spans="1:57" x14ac:dyDescent="0.3">
      <c r="A62" s="903">
        <v>15</v>
      </c>
      <c r="B62" s="913" t="s">
        <v>1556</v>
      </c>
      <c r="C62" s="914">
        <v>0</v>
      </c>
      <c r="D62" s="914">
        <v>0</v>
      </c>
      <c r="E62" s="914">
        <v>0</v>
      </c>
      <c r="F62" s="941">
        <v>0</v>
      </c>
      <c r="G62" s="941"/>
      <c r="H62" s="941"/>
      <c r="I62" s="941">
        <v>0</v>
      </c>
      <c r="J62" s="941"/>
      <c r="K62" s="941"/>
      <c r="L62" s="914">
        <v>0</v>
      </c>
      <c r="M62" s="914">
        <v>0</v>
      </c>
      <c r="N62" s="914">
        <v>0</v>
      </c>
      <c r="O62" s="914">
        <v>0</v>
      </c>
      <c r="P62" s="914">
        <v>0</v>
      </c>
      <c r="Q62" s="917">
        <v>0</v>
      </c>
      <c r="R62" s="914">
        <v>0</v>
      </c>
      <c r="S62" s="917">
        <v>0</v>
      </c>
      <c r="T62" s="914">
        <v>0</v>
      </c>
      <c r="U62" s="914">
        <v>0</v>
      </c>
      <c r="V62" s="914">
        <v>0</v>
      </c>
      <c r="W62" s="914">
        <v>0</v>
      </c>
      <c r="X62" s="914">
        <v>0</v>
      </c>
      <c r="Y62" s="914">
        <v>0</v>
      </c>
      <c r="Z62" s="914">
        <v>0</v>
      </c>
      <c r="AA62" s="914">
        <v>0</v>
      </c>
      <c r="AB62" s="914">
        <v>0</v>
      </c>
      <c r="AC62" s="914">
        <v>0</v>
      </c>
      <c r="AD62" s="914">
        <v>0</v>
      </c>
      <c r="AE62" s="914">
        <v>0</v>
      </c>
      <c r="AF62" s="914">
        <v>0</v>
      </c>
      <c r="AG62" s="914">
        <v>0</v>
      </c>
      <c r="AH62" s="914">
        <v>0</v>
      </c>
      <c r="AI62" s="914">
        <v>0</v>
      </c>
      <c r="AJ62" s="914">
        <v>0</v>
      </c>
      <c r="AK62" s="914">
        <v>0</v>
      </c>
      <c r="AL62" s="914">
        <v>0</v>
      </c>
      <c r="AM62" s="914">
        <v>0</v>
      </c>
      <c r="AN62" s="914">
        <v>0</v>
      </c>
      <c r="AO62" s="914">
        <v>0</v>
      </c>
      <c r="AP62" s="914">
        <v>0</v>
      </c>
      <c r="AQ62" s="914">
        <v>0</v>
      </c>
      <c r="AR62" s="914">
        <v>0</v>
      </c>
      <c r="AS62" s="914">
        <v>0</v>
      </c>
      <c r="AT62" s="914">
        <v>0</v>
      </c>
      <c r="AU62" s="914">
        <v>0</v>
      </c>
      <c r="AV62" s="914">
        <v>0</v>
      </c>
      <c r="AW62" s="914">
        <v>0</v>
      </c>
      <c r="AX62" s="914">
        <v>0</v>
      </c>
      <c r="AY62" s="914">
        <v>0</v>
      </c>
      <c r="AZ62" s="914">
        <v>0</v>
      </c>
      <c r="BA62" s="914">
        <v>0</v>
      </c>
      <c r="BB62" s="914">
        <v>0</v>
      </c>
      <c r="BC62" s="914">
        <v>0</v>
      </c>
      <c r="BD62" s="914">
        <v>0</v>
      </c>
      <c r="BE62" s="870">
        <f t="shared" si="18"/>
        <v>0</v>
      </c>
    </row>
    <row r="63" spans="1:57" x14ac:dyDescent="0.3">
      <c r="A63" s="903">
        <v>16</v>
      </c>
      <c r="B63" s="918" t="s">
        <v>242</v>
      </c>
      <c r="C63" s="899">
        <v>32718</v>
      </c>
      <c r="D63" s="900">
        <v>38000</v>
      </c>
      <c r="E63" s="900">
        <v>38000</v>
      </c>
      <c r="F63" s="937">
        <v>43710</v>
      </c>
      <c r="G63" s="937">
        <f>O63-O64-2328</f>
        <v>12162</v>
      </c>
      <c r="H63" s="937">
        <f>T63-T64+Y63-Y64+AD63-AD64+AI63-AI64+AN63-AN64+AS63-AS64+AX63-AX64+BC63-BC64</f>
        <v>13110</v>
      </c>
      <c r="I63" s="937">
        <v>45880</v>
      </c>
      <c r="J63" s="937">
        <f>P63-P64-2328</f>
        <v>12422</v>
      </c>
      <c r="K63" s="937">
        <f>U63-U64+Z63-Z64+AE63-AE64+AJ63-AJ64+AO63-AO64+AT63-AT64+AY63-AY64+BD63-BD64</f>
        <v>13410</v>
      </c>
      <c r="L63" s="900">
        <v>18900</v>
      </c>
      <c r="M63" s="914">
        <v>20600</v>
      </c>
      <c r="N63" s="900">
        <v>20600</v>
      </c>
      <c r="O63" s="900">
        <v>23690</v>
      </c>
      <c r="P63" s="900">
        <v>24870</v>
      </c>
      <c r="Q63" s="917">
        <v>2768</v>
      </c>
      <c r="R63" s="914">
        <v>3900</v>
      </c>
      <c r="S63" s="917">
        <v>3900</v>
      </c>
      <c r="T63" s="900">
        <v>4490</v>
      </c>
      <c r="U63" s="900">
        <v>4710</v>
      </c>
      <c r="V63" s="914">
        <v>1600</v>
      </c>
      <c r="W63" s="914">
        <v>1800</v>
      </c>
      <c r="X63" s="900">
        <v>1800</v>
      </c>
      <c r="Y63" s="900">
        <v>2070</v>
      </c>
      <c r="Z63" s="900">
        <v>2170</v>
      </c>
      <c r="AA63" s="914">
        <v>1500</v>
      </c>
      <c r="AB63" s="914">
        <v>1800</v>
      </c>
      <c r="AC63" s="914">
        <v>1800</v>
      </c>
      <c r="AD63" s="900">
        <v>2070</v>
      </c>
      <c r="AE63" s="900">
        <v>2170</v>
      </c>
      <c r="AF63" s="914">
        <v>2000</v>
      </c>
      <c r="AG63" s="914">
        <v>3000</v>
      </c>
      <c r="AH63" s="914">
        <v>3000</v>
      </c>
      <c r="AI63" s="900">
        <v>3450</v>
      </c>
      <c r="AJ63" s="900">
        <v>3620</v>
      </c>
      <c r="AK63" s="900">
        <v>1600</v>
      </c>
      <c r="AL63" s="914">
        <v>1900</v>
      </c>
      <c r="AM63" s="900">
        <v>1900</v>
      </c>
      <c r="AN63" s="900">
        <v>2190</v>
      </c>
      <c r="AO63" s="900">
        <v>2300</v>
      </c>
      <c r="AP63" s="900">
        <v>900</v>
      </c>
      <c r="AQ63" s="914">
        <v>1200</v>
      </c>
      <c r="AR63" s="900">
        <v>1200</v>
      </c>
      <c r="AS63" s="900">
        <v>1380</v>
      </c>
      <c r="AT63" s="900">
        <v>1450</v>
      </c>
      <c r="AU63" s="900">
        <v>1550</v>
      </c>
      <c r="AV63" s="914">
        <v>1800</v>
      </c>
      <c r="AW63" s="900">
        <v>1800</v>
      </c>
      <c r="AX63" s="900">
        <v>2070</v>
      </c>
      <c r="AY63" s="900">
        <v>2170</v>
      </c>
      <c r="AZ63" s="900">
        <v>1900</v>
      </c>
      <c r="BA63" s="914">
        <v>2000</v>
      </c>
      <c r="BB63" s="900">
        <v>2000</v>
      </c>
      <c r="BC63" s="900">
        <v>2300</v>
      </c>
      <c r="BD63" s="900">
        <v>2420</v>
      </c>
      <c r="BE63" s="870">
        <f t="shared" si="18"/>
        <v>38000</v>
      </c>
    </row>
    <row r="64" spans="1:57" x14ac:dyDescent="0.3">
      <c r="A64" s="903"/>
      <c r="B64" s="923" t="s">
        <v>1557</v>
      </c>
      <c r="C64" s="908"/>
      <c r="D64" s="908">
        <v>14000</v>
      </c>
      <c r="E64" s="908">
        <v>14000</v>
      </c>
      <c r="F64" s="940">
        <f>16110+2328</f>
        <v>18438</v>
      </c>
      <c r="G64" s="940"/>
      <c r="H64" s="940"/>
      <c r="I64" s="940">
        <f>17720+2328</f>
        <v>20048</v>
      </c>
      <c r="J64" s="940"/>
      <c r="K64" s="940"/>
      <c r="L64" s="908">
        <v>8000</v>
      </c>
      <c r="M64" s="908">
        <v>8000</v>
      </c>
      <c r="N64" s="908">
        <v>8000</v>
      </c>
      <c r="O64" s="908">
        <v>9200</v>
      </c>
      <c r="P64" s="908">
        <v>10120</v>
      </c>
      <c r="Q64" s="908">
        <v>1000</v>
      </c>
      <c r="R64" s="908">
        <v>1000</v>
      </c>
      <c r="S64" s="908">
        <v>1000</v>
      </c>
      <c r="T64" s="908">
        <v>1150</v>
      </c>
      <c r="U64" s="908">
        <v>1270</v>
      </c>
      <c r="V64" s="908">
        <v>900</v>
      </c>
      <c r="W64" s="908">
        <v>900</v>
      </c>
      <c r="X64" s="908">
        <v>900</v>
      </c>
      <c r="Y64" s="908">
        <v>1040</v>
      </c>
      <c r="Z64" s="908">
        <v>1140</v>
      </c>
      <c r="AA64" s="908">
        <v>720</v>
      </c>
      <c r="AB64" s="908">
        <v>760</v>
      </c>
      <c r="AC64" s="908">
        <v>760</v>
      </c>
      <c r="AD64" s="908">
        <v>870</v>
      </c>
      <c r="AE64" s="908">
        <v>960</v>
      </c>
      <c r="AF64" s="908">
        <v>400</v>
      </c>
      <c r="AG64" s="908">
        <v>440</v>
      </c>
      <c r="AH64" s="908">
        <v>440</v>
      </c>
      <c r="AI64" s="908">
        <v>510</v>
      </c>
      <c r="AJ64" s="908">
        <v>560</v>
      </c>
      <c r="AK64" s="908">
        <v>440</v>
      </c>
      <c r="AL64" s="908">
        <v>500</v>
      </c>
      <c r="AM64" s="908">
        <v>500</v>
      </c>
      <c r="AN64" s="908">
        <v>580</v>
      </c>
      <c r="AO64" s="908">
        <v>640</v>
      </c>
      <c r="AP64" s="908">
        <v>680</v>
      </c>
      <c r="AQ64" s="908">
        <v>720</v>
      </c>
      <c r="AR64" s="908">
        <v>720</v>
      </c>
      <c r="AS64" s="908">
        <v>830</v>
      </c>
      <c r="AT64" s="908">
        <v>910</v>
      </c>
      <c r="AU64" s="908">
        <v>1040</v>
      </c>
      <c r="AV64" s="908">
        <v>1120</v>
      </c>
      <c r="AW64" s="908">
        <v>1120</v>
      </c>
      <c r="AX64" s="908">
        <v>1290</v>
      </c>
      <c r="AY64" s="908">
        <v>1420</v>
      </c>
      <c r="AZ64" s="908">
        <v>520</v>
      </c>
      <c r="BA64" s="908">
        <v>560</v>
      </c>
      <c r="BB64" s="908">
        <v>560</v>
      </c>
      <c r="BC64" s="908">
        <v>640</v>
      </c>
      <c r="BD64" s="908">
        <v>700</v>
      </c>
      <c r="BE64" s="870">
        <f t="shared" si="18"/>
        <v>14000</v>
      </c>
    </row>
    <row r="65" spans="1:57" ht="33.75" x14ac:dyDescent="0.3">
      <c r="A65" s="903"/>
      <c r="B65" s="923" t="s">
        <v>1558</v>
      </c>
      <c r="C65" s="908">
        <v>7000</v>
      </c>
      <c r="D65" s="908">
        <v>7500</v>
      </c>
      <c r="E65" s="908">
        <v>7500</v>
      </c>
      <c r="F65" s="940">
        <v>7880</v>
      </c>
      <c r="G65" s="940"/>
      <c r="H65" s="940"/>
      <c r="I65" s="940">
        <v>8270</v>
      </c>
      <c r="J65" s="940"/>
      <c r="K65" s="940"/>
      <c r="L65" s="908">
        <v>4000</v>
      </c>
      <c r="M65" s="908">
        <v>4300</v>
      </c>
      <c r="N65" s="908">
        <v>4300</v>
      </c>
      <c r="O65" s="908">
        <v>4520</v>
      </c>
      <c r="P65" s="908">
        <v>4750</v>
      </c>
      <c r="Q65" s="924">
        <v>580</v>
      </c>
      <c r="R65" s="908">
        <v>600</v>
      </c>
      <c r="S65" s="924">
        <v>600</v>
      </c>
      <c r="T65" s="908">
        <v>630</v>
      </c>
      <c r="U65" s="908">
        <v>660</v>
      </c>
      <c r="V65" s="916">
        <v>520</v>
      </c>
      <c r="W65" s="908">
        <v>550</v>
      </c>
      <c r="X65" s="908">
        <v>550</v>
      </c>
      <c r="Y65" s="908">
        <v>580</v>
      </c>
      <c r="Z65" s="908">
        <v>610</v>
      </c>
      <c r="AA65" s="916">
        <v>360</v>
      </c>
      <c r="AB65" s="908">
        <v>380</v>
      </c>
      <c r="AC65" s="916">
        <v>380</v>
      </c>
      <c r="AD65" s="908">
        <v>400</v>
      </c>
      <c r="AE65" s="908">
        <v>420</v>
      </c>
      <c r="AF65" s="916">
        <v>200</v>
      </c>
      <c r="AG65" s="908">
        <v>220</v>
      </c>
      <c r="AH65" s="916">
        <v>220</v>
      </c>
      <c r="AI65" s="908">
        <v>230</v>
      </c>
      <c r="AJ65" s="908">
        <v>240</v>
      </c>
      <c r="AK65" s="908">
        <v>220</v>
      </c>
      <c r="AL65" s="908">
        <v>250</v>
      </c>
      <c r="AM65" s="908">
        <v>250</v>
      </c>
      <c r="AN65" s="908">
        <v>260</v>
      </c>
      <c r="AO65" s="908">
        <v>270</v>
      </c>
      <c r="AP65" s="908">
        <v>340</v>
      </c>
      <c r="AQ65" s="908">
        <v>360</v>
      </c>
      <c r="AR65" s="908">
        <v>360</v>
      </c>
      <c r="AS65" s="908">
        <v>380</v>
      </c>
      <c r="AT65" s="908">
        <v>400</v>
      </c>
      <c r="AU65" s="916">
        <v>520</v>
      </c>
      <c r="AV65" s="908">
        <v>560</v>
      </c>
      <c r="AW65" s="908">
        <v>560</v>
      </c>
      <c r="AX65" s="908">
        <v>590</v>
      </c>
      <c r="AY65" s="908">
        <v>620</v>
      </c>
      <c r="AZ65" s="908">
        <v>260</v>
      </c>
      <c r="BA65" s="908">
        <v>280</v>
      </c>
      <c r="BB65" s="908">
        <v>280</v>
      </c>
      <c r="BC65" s="908">
        <v>290</v>
      </c>
      <c r="BD65" s="908">
        <v>300</v>
      </c>
      <c r="BE65" s="870">
        <f t="shared" si="18"/>
        <v>7500</v>
      </c>
    </row>
    <row r="66" spans="1:57" ht="33.75" x14ac:dyDescent="0.3">
      <c r="A66" s="903">
        <v>17</v>
      </c>
      <c r="B66" s="918" t="s">
        <v>1559</v>
      </c>
      <c r="C66" s="900">
        <v>0</v>
      </c>
      <c r="D66" s="900"/>
      <c r="E66" s="900">
        <v>0</v>
      </c>
      <c r="F66" s="937"/>
      <c r="G66" s="937"/>
      <c r="H66" s="937"/>
      <c r="I66" s="937"/>
      <c r="J66" s="937"/>
      <c r="K66" s="937"/>
      <c r="L66" s="900">
        <v>0</v>
      </c>
      <c r="M66" s="900"/>
      <c r="N66" s="900">
        <v>0</v>
      </c>
      <c r="O66" s="900"/>
      <c r="P66" s="900"/>
      <c r="Q66" s="900">
        <v>0</v>
      </c>
      <c r="R66" s="900"/>
      <c r="S66" s="900">
        <v>0</v>
      </c>
      <c r="T66" s="900"/>
      <c r="U66" s="900"/>
      <c r="V66" s="900">
        <v>0</v>
      </c>
      <c r="W66" s="900"/>
      <c r="X66" s="900">
        <v>0</v>
      </c>
      <c r="Y66" s="900"/>
      <c r="Z66" s="900"/>
      <c r="AA66" s="900">
        <v>0</v>
      </c>
      <c r="AB66" s="900"/>
      <c r="AC66" s="900">
        <v>0</v>
      </c>
      <c r="AD66" s="900"/>
      <c r="AE66" s="900"/>
      <c r="AF66" s="900">
        <v>0</v>
      </c>
      <c r="AG66" s="900"/>
      <c r="AH66" s="900">
        <v>0</v>
      </c>
      <c r="AI66" s="900"/>
      <c r="AJ66" s="900"/>
      <c r="AK66" s="900">
        <v>0</v>
      </c>
      <c r="AL66" s="900"/>
      <c r="AM66" s="900">
        <v>0</v>
      </c>
      <c r="AN66" s="900"/>
      <c r="AO66" s="900"/>
      <c r="AP66" s="900">
        <v>0</v>
      </c>
      <c r="AQ66" s="900"/>
      <c r="AR66" s="900">
        <v>0</v>
      </c>
      <c r="AS66" s="900"/>
      <c r="AT66" s="900"/>
      <c r="AU66" s="900">
        <v>0</v>
      </c>
      <c r="AV66" s="900"/>
      <c r="AW66" s="900">
        <v>0</v>
      </c>
      <c r="AX66" s="900"/>
      <c r="AY66" s="900"/>
      <c r="AZ66" s="900">
        <v>0</v>
      </c>
      <c r="BA66" s="900"/>
      <c r="BB66" s="900">
        <v>0</v>
      </c>
      <c r="BC66" s="900"/>
      <c r="BD66" s="900"/>
      <c r="BE66" s="870">
        <f t="shared" si="18"/>
        <v>0</v>
      </c>
    </row>
    <row r="67" spans="1:57" ht="33.75" x14ac:dyDescent="0.3">
      <c r="A67" s="903">
        <v>18</v>
      </c>
      <c r="B67" s="918" t="s">
        <v>1560</v>
      </c>
      <c r="C67" s="914">
        <v>0</v>
      </c>
      <c r="D67" s="914"/>
      <c r="E67" s="914">
        <v>0</v>
      </c>
      <c r="F67" s="941"/>
      <c r="G67" s="941"/>
      <c r="H67" s="941"/>
      <c r="I67" s="941"/>
      <c r="J67" s="941"/>
      <c r="K67" s="941"/>
      <c r="L67" s="914">
        <v>0</v>
      </c>
      <c r="M67" s="914"/>
      <c r="N67" s="914">
        <v>0</v>
      </c>
      <c r="O67" s="914"/>
      <c r="P67" s="914"/>
      <c r="Q67" s="914">
        <v>0</v>
      </c>
      <c r="R67" s="914"/>
      <c r="S67" s="914">
        <v>0</v>
      </c>
      <c r="T67" s="914"/>
      <c r="U67" s="914"/>
      <c r="V67" s="914">
        <v>0</v>
      </c>
      <c r="W67" s="914"/>
      <c r="X67" s="914">
        <v>0</v>
      </c>
      <c r="Y67" s="914"/>
      <c r="Z67" s="914"/>
      <c r="AA67" s="914">
        <v>0</v>
      </c>
      <c r="AB67" s="914"/>
      <c r="AC67" s="914">
        <v>0</v>
      </c>
      <c r="AD67" s="914"/>
      <c r="AE67" s="914"/>
      <c r="AF67" s="914">
        <v>0</v>
      </c>
      <c r="AG67" s="914"/>
      <c r="AH67" s="914">
        <v>0</v>
      </c>
      <c r="AI67" s="914"/>
      <c r="AJ67" s="914"/>
      <c r="AK67" s="914">
        <v>0</v>
      </c>
      <c r="AL67" s="914"/>
      <c r="AM67" s="914">
        <v>0</v>
      </c>
      <c r="AN67" s="914"/>
      <c r="AO67" s="914"/>
      <c r="AP67" s="914">
        <v>0</v>
      </c>
      <c r="AQ67" s="914"/>
      <c r="AR67" s="914">
        <v>0</v>
      </c>
      <c r="AS67" s="914"/>
      <c r="AT67" s="914"/>
      <c r="AU67" s="914">
        <v>0</v>
      </c>
      <c r="AV67" s="914"/>
      <c r="AW67" s="914">
        <v>0</v>
      </c>
      <c r="AX67" s="914"/>
      <c r="AY67" s="914"/>
      <c r="AZ67" s="914">
        <v>0</v>
      </c>
      <c r="BA67" s="914"/>
      <c r="BB67" s="914">
        <v>0</v>
      </c>
      <c r="BC67" s="914"/>
      <c r="BD67" s="914"/>
    </row>
    <row r="68" spans="1:57" ht="33.75" x14ac:dyDescent="0.3">
      <c r="A68" s="903">
        <v>19</v>
      </c>
      <c r="B68" s="918" t="s">
        <v>1561</v>
      </c>
      <c r="C68" s="925">
        <v>0</v>
      </c>
      <c r="D68" s="925"/>
      <c r="E68" s="925">
        <v>0</v>
      </c>
      <c r="F68" s="946"/>
      <c r="G68" s="946"/>
      <c r="H68" s="946"/>
      <c r="I68" s="946"/>
      <c r="J68" s="946"/>
      <c r="K68" s="946"/>
      <c r="L68" s="925">
        <v>0</v>
      </c>
      <c r="M68" s="925"/>
      <c r="N68" s="925">
        <v>0</v>
      </c>
      <c r="O68" s="925"/>
      <c r="P68" s="925"/>
      <c r="Q68" s="925">
        <v>0</v>
      </c>
      <c r="R68" s="925"/>
      <c r="S68" s="925">
        <v>0</v>
      </c>
      <c r="T68" s="925"/>
      <c r="U68" s="925"/>
      <c r="V68" s="925">
        <v>0</v>
      </c>
      <c r="W68" s="925"/>
      <c r="X68" s="925">
        <v>0</v>
      </c>
      <c r="Y68" s="925"/>
      <c r="Z68" s="925"/>
      <c r="AA68" s="925">
        <v>0</v>
      </c>
      <c r="AB68" s="925"/>
      <c r="AC68" s="925">
        <v>0</v>
      </c>
      <c r="AD68" s="925"/>
      <c r="AE68" s="925"/>
      <c r="AF68" s="925">
        <v>0</v>
      </c>
      <c r="AG68" s="925"/>
      <c r="AH68" s="925">
        <v>0</v>
      </c>
      <c r="AI68" s="925"/>
      <c r="AJ68" s="925"/>
      <c r="AK68" s="925">
        <v>0</v>
      </c>
      <c r="AL68" s="925"/>
      <c r="AM68" s="925">
        <v>0</v>
      </c>
      <c r="AN68" s="925"/>
      <c r="AO68" s="925"/>
      <c r="AP68" s="925">
        <v>0</v>
      </c>
      <c r="AQ68" s="925"/>
      <c r="AR68" s="925">
        <v>0</v>
      </c>
      <c r="AS68" s="925"/>
      <c r="AT68" s="925"/>
      <c r="AU68" s="925">
        <v>0</v>
      </c>
      <c r="AV68" s="925"/>
      <c r="AW68" s="925">
        <v>0</v>
      </c>
      <c r="AX68" s="925"/>
      <c r="AY68" s="925"/>
      <c r="AZ68" s="925">
        <v>0</v>
      </c>
      <c r="BA68" s="925"/>
      <c r="BB68" s="925">
        <v>0</v>
      </c>
      <c r="BC68" s="925"/>
      <c r="BD68" s="925"/>
    </row>
    <row r="69" spans="1:57" x14ac:dyDescent="0.3">
      <c r="E69" s="929">
        <f>E11+E23+E28+E47+E48*37.2%+E51+E52-E53+E54+E55+E56+E57+E59+E60-E61*0.7+E63-E64-2328</f>
        <v>606178.07719949819</v>
      </c>
      <c r="F69" s="929">
        <f>F11+F23+F28+F47+F48*37.2%+F51+F52-F53+F54+F55+F56+F57+F59+F60-F61*0.7+F63-F64</f>
        <v>693718.6</v>
      </c>
      <c r="G69" s="929"/>
      <c r="H69" s="929"/>
      <c r="I69" s="929">
        <f>I11+I23+I28+I47+I48*37.2%+I51+I52-I53+I54+I55+I56+I57+I59+I60-I61*0.7+I63-I64</f>
        <v>791032.12</v>
      </c>
      <c r="J69" s="929"/>
      <c r="K69" s="929"/>
    </row>
    <row r="70" spans="1:57" x14ac:dyDescent="0.3">
      <c r="B70" s="927"/>
    </row>
    <row r="71" spans="1:57" s="928" customFormat="1" x14ac:dyDescent="0.3">
      <c r="A71" s="926"/>
      <c r="B71" s="926"/>
      <c r="C71" s="222"/>
      <c r="D71" s="222"/>
      <c r="F71" s="947"/>
      <c r="G71" s="947"/>
      <c r="H71" s="947"/>
      <c r="I71" s="947"/>
      <c r="J71" s="947"/>
      <c r="K71" s="947"/>
    </row>
  </sheetData>
  <mergeCells count="16">
    <mergeCell ref="AZ6:BD6"/>
    <mergeCell ref="A3:BB3"/>
    <mergeCell ref="A4:BB4"/>
    <mergeCell ref="C6:I6"/>
    <mergeCell ref="L6:P6"/>
    <mergeCell ref="Q6:U6"/>
    <mergeCell ref="V6:Z6"/>
    <mergeCell ref="AA6:AE6"/>
    <mergeCell ref="AF6:AJ6"/>
    <mergeCell ref="AK6:AO6"/>
    <mergeCell ref="AP6:AT6"/>
    <mergeCell ref="G7:G8"/>
    <mergeCell ref="H7:H8"/>
    <mergeCell ref="J7:J8"/>
    <mergeCell ref="K7:K8"/>
    <mergeCell ref="AU6:AY6"/>
  </mergeCells>
  <conditionalFormatting sqref="C9:BD68">
    <cfRule type="cellIs" dxfId="32" priority="37" stopIfTrue="1" operator="equal">
      <formula>0</formula>
    </cfRule>
  </conditionalFormatting>
  <conditionalFormatting sqref="R61">
    <cfRule type="cellIs" dxfId="31" priority="32" stopIfTrue="1" operator="equal">
      <formula>0</formula>
    </cfRule>
  </conditionalFormatting>
  <conditionalFormatting sqref="R49:R50">
    <cfRule type="cellIs" dxfId="30" priority="31" stopIfTrue="1" operator="equal">
      <formula>0</formula>
    </cfRule>
  </conditionalFormatting>
  <conditionalFormatting sqref="W61">
    <cfRule type="cellIs" dxfId="29" priority="30" stopIfTrue="1" operator="equal">
      <formula>0</formula>
    </cfRule>
  </conditionalFormatting>
  <conditionalFormatting sqref="W49:W50">
    <cfRule type="cellIs" dxfId="28" priority="29" stopIfTrue="1" operator="equal">
      <formula>0</formula>
    </cfRule>
  </conditionalFormatting>
  <conditionalFormatting sqref="AB61">
    <cfRule type="cellIs" dxfId="27" priority="28" stopIfTrue="1" operator="equal">
      <formula>0</formula>
    </cfRule>
  </conditionalFormatting>
  <conditionalFormatting sqref="AB49:AB50">
    <cfRule type="cellIs" dxfId="26" priority="27" stopIfTrue="1" operator="equal">
      <formula>0</formula>
    </cfRule>
  </conditionalFormatting>
  <conditionalFormatting sqref="AG61">
    <cfRule type="cellIs" dxfId="25" priority="26" stopIfTrue="1" operator="equal">
      <formula>0</formula>
    </cfRule>
  </conditionalFormatting>
  <conditionalFormatting sqref="AG49:AG50">
    <cfRule type="cellIs" dxfId="24" priority="25" stopIfTrue="1" operator="equal">
      <formula>0</formula>
    </cfRule>
  </conditionalFormatting>
  <conditionalFormatting sqref="AL61">
    <cfRule type="cellIs" dxfId="23" priority="24" stopIfTrue="1" operator="equal">
      <formula>0</formula>
    </cfRule>
  </conditionalFormatting>
  <conditionalFormatting sqref="AL49:AL50">
    <cfRule type="cellIs" dxfId="22" priority="23" stopIfTrue="1" operator="equal">
      <formula>0</formula>
    </cfRule>
  </conditionalFormatting>
  <conditionalFormatting sqref="AQ61">
    <cfRule type="cellIs" dxfId="21" priority="22" stopIfTrue="1" operator="equal">
      <formula>0</formula>
    </cfRule>
  </conditionalFormatting>
  <conditionalFormatting sqref="AQ49:AQ50">
    <cfRule type="cellIs" dxfId="20" priority="21" stopIfTrue="1" operator="equal">
      <formula>0</formula>
    </cfRule>
  </conditionalFormatting>
  <conditionalFormatting sqref="AV61">
    <cfRule type="cellIs" dxfId="19" priority="20" stopIfTrue="1" operator="equal">
      <formula>0</formula>
    </cfRule>
  </conditionalFormatting>
  <conditionalFormatting sqref="AV49:AV50">
    <cfRule type="cellIs" dxfId="18" priority="19" stopIfTrue="1" operator="equal">
      <formula>0</formula>
    </cfRule>
  </conditionalFormatting>
  <conditionalFormatting sqref="BA61">
    <cfRule type="cellIs" dxfId="17" priority="18" stopIfTrue="1" operator="equal">
      <formula>0</formula>
    </cfRule>
  </conditionalFormatting>
  <conditionalFormatting sqref="BA49:BA50">
    <cfRule type="cellIs" dxfId="16" priority="17" stopIfTrue="1" operator="equal">
      <formula>0</formula>
    </cfRule>
  </conditionalFormatting>
  <conditionalFormatting sqref="T61:U61">
    <cfRule type="cellIs" dxfId="15" priority="16" stopIfTrue="1" operator="equal">
      <formula>0</formula>
    </cfRule>
  </conditionalFormatting>
  <conditionalFormatting sqref="T49:U50">
    <cfRule type="cellIs" dxfId="14" priority="15" stopIfTrue="1" operator="equal">
      <formula>0</formula>
    </cfRule>
  </conditionalFormatting>
  <conditionalFormatting sqref="Y61:Z61">
    <cfRule type="cellIs" dxfId="13" priority="14" stopIfTrue="1" operator="equal">
      <formula>0</formula>
    </cfRule>
  </conditionalFormatting>
  <conditionalFormatting sqref="Y49:Z50">
    <cfRule type="cellIs" dxfId="12" priority="13" stopIfTrue="1" operator="equal">
      <formula>0</formula>
    </cfRule>
  </conditionalFormatting>
  <conditionalFormatting sqref="AD61:AE61">
    <cfRule type="cellIs" dxfId="11" priority="12" stopIfTrue="1" operator="equal">
      <formula>0</formula>
    </cfRule>
  </conditionalFormatting>
  <conditionalFormatting sqref="AD49:AE50">
    <cfRule type="cellIs" dxfId="10" priority="11" stopIfTrue="1" operator="equal">
      <formula>0</formula>
    </cfRule>
  </conditionalFormatting>
  <conditionalFormatting sqref="AI61:AJ61">
    <cfRule type="cellIs" dxfId="9" priority="10" stopIfTrue="1" operator="equal">
      <formula>0</formula>
    </cfRule>
  </conditionalFormatting>
  <conditionalFormatting sqref="AI49:AJ50">
    <cfRule type="cellIs" dxfId="8" priority="9" stopIfTrue="1" operator="equal">
      <formula>0</formula>
    </cfRule>
  </conditionalFormatting>
  <conditionalFormatting sqref="AN61:AO61">
    <cfRule type="cellIs" dxfId="7" priority="8" stopIfTrue="1" operator="equal">
      <formula>0</formula>
    </cfRule>
  </conditionalFormatting>
  <conditionalFormatting sqref="AN49:AO50">
    <cfRule type="cellIs" dxfId="6" priority="7" stopIfTrue="1" operator="equal">
      <formula>0</formula>
    </cfRule>
  </conditionalFormatting>
  <conditionalFormatting sqref="AS61:AT61">
    <cfRule type="cellIs" dxfId="5" priority="6" stopIfTrue="1" operator="equal">
      <formula>0</formula>
    </cfRule>
  </conditionalFormatting>
  <conditionalFormatting sqref="AS49:AT50">
    <cfRule type="cellIs" dxfId="4" priority="5" stopIfTrue="1" operator="equal">
      <formula>0</formula>
    </cfRule>
  </conditionalFormatting>
  <conditionalFormatting sqref="AX61:AY61">
    <cfRule type="cellIs" dxfId="3" priority="4" stopIfTrue="1" operator="equal">
      <formula>0</formula>
    </cfRule>
  </conditionalFormatting>
  <conditionalFormatting sqref="AX49:AY50">
    <cfRule type="cellIs" dxfId="2" priority="3" stopIfTrue="1" operator="equal">
      <formula>0</formula>
    </cfRule>
  </conditionalFormatting>
  <conditionalFormatting sqref="BC61:BD61">
    <cfRule type="cellIs" dxfId="1" priority="2" stopIfTrue="1" operator="equal">
      <formula>0</formula>
    </cfRule>
  </conditionalFormatting>
  <conditionalFormatting sqref="BC49:BD50">
    <cfRule type="cellIs" dxfId="0" priority="1" stopIfTrue="1" operator="equal">
      <formula>0</formula>
    </cfRule>
  </conditionalFormatting>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37"/>
  <sheetViews>
    <sheetView workbookViewId="0">
      <pane xSplit="2" ySplit="6" topLeftCell="C7" activePane="bottomRight" state="frozen"/>
      <selection pane="topRight" activeCell="C1" sqref="C1"/>
      <selection pane="bottomLeft" activeCell="A8" sqref="A8"/>
      <selection pane="bottomRight" activeCell="I22" sqref="I22"/>
    </sheetView>
  </sheetViews>
  <sheetFormatPr defaultRowHeight="15" x14ac:dyDescent="0.25"/>
  <cols>
    <col min="1" max="1" width="5.125" style="1065" customWidth="1"/>
    <col min="2" max="2" width="39.125" style="1065" customWidth="1"/>
    <col min="3" max="3" width="9.75" style="1065" customWidth="1"/>
    <col min="4" max="4" width="9.375" style="1065" customWidth="1"/>
    <col min="5" max="5" width="9.625" style="1065" customWidth="1"/>
    <col min="6" max="6" width="8" style="1065" customWidth="1"/>
    <col min="7" max="7" width="9.5" style="1065" customWidth="1"/>
    <col min="8" max="16384" width="9" style="1065"/>
  </cols>
  <sheetData>
    <row r="1" spans="1:11" ht="24.75" customHeight="1" x14ac:dyDescent="0.25">
      <c r="A1" s="1960" t="s">
        <v>1254</v>
      </c>
      <c r="B1" s="1960"/>
      <c r="C1" s="1960"/>
      <c r="D1" s="1960"/>
      <c r="E1" s="1960"/>
      <c r="F1" s="1960"/>
    </row>
    <row r="2" spans="1:11" ht="15" customHeight="1" x14ac:dyDescent="0.25">
      <c r="A2" s="1961" t="s">
        <v>1788</v>
      </c>
      <c r="B2" s="1961"/>
      <c r="C2" s="1961"/>
      <c r="D2" s="1961"/>
      <c r="E2" s="1961"/>
      <c r="F2" s="1961"/>
      <c r="G2" s="1073"/>
      <c r="H2" s="1073"/>
      <c r="I2" s="1073"/>
      <c r="J2" s="1073"/>
    </row>
    <row r="3" spans="1:11" ht="19.5" customHeight="1" x14ac:dyDescent="0.25">
      <c r="E3" s="1962" t="s">
        <v>6</v>
      </c>
      <c r="F3" s="1962"/>
    </row>
    <row r="4" spans="1:11" x14ac:dyDescent="0.25">
      <c r="A4" s="1963" t="s">
        <v>0</v>
      </c>
      <c r="B4" s="1963" t="s">
        <v>1231</v>
      </c>
      <c r="C4" s="1963" t="s">
        <v>219</v>
      </c>
      <c r="D4" s="1963" t="s">
        <v>1255</v>
      </c>
      <c r="E4" s="1963" t="s">
        <v>33</v>
      </c>
      <c r="F4" s="1963"/>
    </row>
    <row r="5" spans="1:11" ht="29.25" customHeight="1" x14ac:dyDescent="0.25">
      <c r="A5" s="1963"/>
      <c r="B5" s="1963"/>
      <c r="C5" s="1963"/>
      <c r="D5" s="1963"/>
      <c r="E5" s="1014" t="s">
        <v>34</v>
      </c>
      <c r="F5" s="1014" t="s">
        <v>275</v>
      </c>
    </row>
    <row r="6" spans="1:11" x14ac:dyDescent="0.25">
      <c r="A6" s="1014" t="s">
        <v>2</v>
      </c>
      <c r="B6" s="1014" t="s">
        <v>3</v>
      </c>
      <c r="C6" s="1014">
        <v>1</v>
      </c>
      <c r="D6" s="1014">
        <v>2</v>
      </c>
      <c r="E6" s="1013" t="s">
        <v>36</v>
      </c>
      <c r="F6" s="1014" t="s">
        <v>37</v>
      </c>
    </row>
    <row r="7" spans="1:11" ht="19.5" customHeight="1" x14ac:dyDescent="0.25">
      <c r="A7" s="1066" t="s">
        <v>2</v>
      </c>
      <c r="B7" s="1067" t="s">
        <v>221</v>
      </c>
      <c r="C7" s="1068">
        <f>C8+C11+C17</f>
        <v>5173837</v>
      </c>
      <c r="D7" s="1068">
        <f>D8+D11+D17+D16</f>
        <v>5940993</v>
      </c>
      <c r="E7" s="1068">
        <f>D7-C7</f>
        <v>767156</v>
      </c>
      <c r="F7" s="1068">
        <f>D7/C7*100</f>
        <v>114.82760280233026</v>
      </c>
      <c r="G7" s="1069" t="e">
        <f>D7-D18</f>
        <v>#REF!</v>
      </c>
      <c r="H7" s="1069"/>
    </row>
    <row r="8" spans="1:11" ht="19.5" customHeight="1" x14ac:dyDescent="0.25">
      <c r="A8" s="414" t="s">
        <v>9</v>
      </c>
      <c r="B8" s="402" t="s">
        <v>10</v>
      </c>
      <c r="C8" s="1070">
        <f>SUM(C9:C10)</f>
        <v>545010</v>
      </c>
      <c r="D8" s="1070">
        <f>SUM(D9:D10)</f>
        <v>544315</v>
      </c>
      <c r="E8" s="1070">
        <f t="shared" ref="E8:E36" si="0">D8-C8</f>
        <v>-695</v>
      </c>
      <c r="F8" s="1070">
        <f t="shared" ref="F8:F34" si="1">D8/C8*100</f>
        <v>99.872479404047638</v>
      </c>
      <c r="G8" s="1069">
        <v>147820</v>
      </c>
    </row>
    <row r="9" spans="1:11" ht="19.5" customHeight="1" x14ac:dyDescent="0.25">
      <c r="A9" s="1016">
        <v>1</v>
      </c>
      <c r="B9" s="415" t="s">
        <v>38</v>
      </c>
      <c r="C9" s="1071">
        <v>210730</v>
      </c>
      <c r="D9" s="1071">
        <v>186318</v>
      </c>
      <c r="E9" s="1071">
        <f t="shared" si="0"/>
        <v>-24412</v>
      </c>
      <c r="F9" s="1071">
        <f t="shared" si="1"/>
        <v>88.415507996013858</v>
      </c>
      <c r="G9" s="1069" t="e">
        <f>G7-G8</f>
        <v>#REF!</v>
      </c>
    </row>
    <row r="10" spans="1:11" ht="19.5" customHeight="1" x14ac:dyDescent="0.25">
      <c r="A10" s="1016">
        <v>2</v>
      </c>
      <c r="B10" s="415" t="s">
        <v>222</v>
      </c>
      <c r="C10" s="1071">
        <v>334280</v>
      </c>
      <c r="D10" s="1071">
        <v>357997</v>
      </c>
      <c r="E10" s="1071">
        <f t="shared" si="0"/>
        <v>23717</v>
      </c>
      <c r="F10" s="1071">
        <f t="shared" si="1"/>
        <v>107.09495034103146</v>
      </c>
      <c r="G10" s="1069">
        <v>55250</v>
      </c>
    </row>
    <row r="11" spans="1:11" ht="19.5" customHeight="1" x14ac:dyDescent="0.25">
      <c r="A11" s="414" t="s">
        <v>11</v>
      </c>
      <c r="B11" s="402" t="s">
        <v>276</v>
      </c>
      <c r="C11" s="1070">
        <f>SUM(C12:C14)</f>
        <v>4628827</v>
      </c>
      <c r="D11" s="1070">
        <f>SUM(D12:D14)</f>
        <v>4507091</v>
      </c>
      <c r="E11" s="1070">
        <f t="shared" si="0"/>
        <v>-121736</v>
      </c>
      <c r="F11" s="1070">
        <f t="shared" si="1"/>
        <v>97.370046450212982</v>
      </c>
      <c r="G11" s="1069" t="e">
        <f>G9-G10</f>
        <v>#REF!</v>
      </c>
    </row>
    <row r="12" spans="1:11" ht="19.5" customHeight="1" x14ac:dyDescent="0.25">
      <c r="A12" s="1016">
        <v>1</v>
      </c>
      <c r="B12" s="415" t="s">
        <v>12</v>
      </c>
      <c r="C12" s="1071">
        <v>2802252</v>
      </c>
      <c r="D12" s="1071">
        <f>C12</f>
        <v>2802252</v>
      </c>
      <c r="E12" s="1071">
        <f t="shared" si="0"/>
        <v>0</v>
      </c>
      <c r="F12" s="1071">
        <f t="shared" si="1"/>
        <v>100</v>
      </c>
    </row>
    <row r="13" spans="1:11" ht="33" customHeight="1" x14ac:dyDescent="0.25">
      <c r="A13" s="1016">
        <v>2</v>
      </c>
      <c r="B13" s="415" t="s">
        <v>1256</v>
      </c>
      <c r="C13" s="1071">
        <v>114536</v>
      </c>
      <c r="D13" s="1071">
        <f>C13</f>
        <v>114536</v>
      </c>
      <c r="E13" s="1071">
        <f t="shared" si="0"/>
        <v>0</v>
      </c>
      <c r="F13" s="1071"/>
      <c r="H13" s="1065" t="s">
        <v>1439</v>
      </c>
      <c r="J13" s="1069">
        <v>186318</v>
      </c>
      <c r="K13" s="1069">
        <v>210730</v>
      </c>
    </row>
    <row r="14" spans="1:11" ht="23.25" customHeight="1" x14ac:dyDescent="0.25">
      <c r="A14" s="1016">
        <v>3</v>
      </c>
      <c r="B14" s="415" t="s">
        <v>13</v>
      </c>
      <c r="C14" s="1071">
        <v>1712039</v>
      </c>
      <c r="D14" s="1071">
        <f>'Biểu 19'!D13</f>
        <v>1590303</v>
      </c>
      <c r="E14" s="1071">
        <f t="shared" si="0"/>
        <v>-121736</v>
      </c>
      <c r="F14" s="1071">
        <f t="shared" si="1"/>
        <v>92.889414318248583</v>
      </c>
      <c r="H14" s="1065" t="s">
        <v>127</v>
      </c>
      <c r="J14" s="1069">
        <v>357997</v>
      </c>
      <c r="K14" s="1069">
        <f>C8-K13</f>
        <v>334280</v>
      </c>
    </row>
    <row r="15" spans="1:11" ht="19.5" hidden="1" customHeight="1" x14ac:dyDescent="0.25">
      <c r="A15" s="414" t="s">
        <v>14</v>
      </c>
      <c r="B15" s="402" t="s">
        <v>277</v>
      </c>
      <c r="C15" s="1016"/>
      <c r="D15" s="1016"/>
      <c r="E15" s="1016">
        <f t="shared" si="0"/>
        <v>0</v>
      </c>
      <c r="F15" s="1016"/>
    </row>
    <row r="16" spans="1:11" ht="19.5" customHeight="1" x14ac:dyDescent="0.25">
      <c r="A16" s="414" t="s">
        <v>14</v>
      </c>
      <c r="B16" s="402" t="s">
        <v>16</v>
      </c>
      <c r="C16" s="1016"/>
      <c r="D16" s="1070">
        <f>'Biểu 19'!D15+'Biểu 19'!D32</f>
        <v>218833</v>
      </c>
      <c r="E16" s="1070">
        <f t="shared" si="0"/>
        <v>218833</v>
      </c>
      <c r="F16" s="1016"/>
    </row>
    <row r="17" spans="1:7" ht="19.5" customHeight="1" x14ac:dyDescent="0.25">
      <c r="A17" s="414" t="s">
        <v>15</v>
      </c>
      <c r="B17" s="402" t="s">
        <v>18</v>
      </c>
      <c r="C17" s="1070"/>
      <c r="D17" s="1070">
        <f>'Biểu 19'!D16+'Biểu 19'!D33</f>
        <v>670754</v>
      </c>
      <c r="E17" s="1070">
        <f t="shared" si="0"/>
        <v>670754</v>
      </c>
      <c r="F17" s="1070"/>
    </row>
    <row r="18" spans="1:7" ht="19.5" customHeight="1" x14ac:dyDescent="0.25">
      <c r="A18" s="414" t="s">
        <v>3</v>
      </c>
      <c r="B18" s="402" t="s">
        <v>39</v>
      </c>
      <c r="C18" s="1070">
        <f>C19+C26+C29</f>
        <v>5190937</v>
      </c>
      <c r="D18" s="1070" t="e">
        <f>D19+D26+D29</f>
        <v>#REF!</v>
      </c>
      <c r="E18" s="1070" t="e">
        <f t="shared" si="0"/>
        <v>#REF!</v>
      </c>
      <c r="F18" s="1070" t="e">
        <f t="shared" si="1"/>
        <v>#REF!</v>
      </c>
      <c r="G18" s="1069" t="e">
        <f>D7-D18</f>
        <v>#REF!</v>
      </c>
    </row>
    <row r="19" spans="1:7" ht="19.5" customHeight="1" x14ac:dyDescent="0.25">
      <c r="A19" s="414" t="s">
        <v>9</v>
      </c>
      <c r="B19" s="402" t="s">
        <v>126</v>
      </c>
      <c r="C19" s="1070">
        <f>SUM(C20:C25)</f>
        <v>3478898</v>
      </c>
      <c r="D19" s="1070">
        <f>SUM(D20:D25)</f>
        <v>3527359</v>
      </c>
      <c r="E19" s="1070">
        <f t="shared" si="0"/>
        <v>48461</v>
      </c>
      <c r="F19" s="1070">
        <f t="shared" si="1"/>
        <v>101.39299858748375</v>
      </c>
      <c r="G19" s="1069" t="e">
        <f>D18-D29</f>
        <v>#REF!</v>
      </c>
    </row>
    <row r="20" spans="1:7" ht="19.5" customHeight="1" x14ac:dyDescent="0.25">
      <c r="A20" s="1016">
        <v>1</v>
      </c>
      <c r="B20" s="415" t="s">
        <v>24</v>
      </c>
      <c r="C20" s="1071">
        <v>493390</v>
      </c>
      <c r="D20" s="1071">
        <f>'Biểu 03'!E10</f>
        <v>558773</v>
      </c>
      <c r="E20" s="1071">
        <f t="shared" si="0"/>
        <v>65383</v>
      </c>
      <c r="F20" s="1071">
        <f t="shared" si="1"/>
        <v>113.25178864589877</v>
      </c>
    </row>
    <row r="21" spans="1:7" ht="19.5" customHeight="1" x14ac:dyDescent="0.25">
      <c r="A21" s="1016">
        <v>2</v>
      </c>
      <c r="B21" s="415" t="s">
        <v>19</v>
      </c>
      <c r="C21" s="1071">
        <v>2906780</v>
      </c>
      <c r="D21" s="1071">
        <f>'Biểu 03'!E37</f>
        <v>2967088</v>
      </c>
      <c r="E21" s="1071">
        <f t="shared" si="0"/>
        <v>60308</v>
      </c>
      <c r="F21" s="1071">
        <f t="shared" si="1"/>
        <v>102.07473561810663</v>
      </c>
    </row>
    <row r="22" spans="1:7" ht="29.25" customHeight="1" x14ac:dyDescent="0.25">
      <c r="A22" s="1016">
        <v>3</v>
      </c>
      <c r="B22" s="415" t="s">
        <v>278</v>
      </c>
      <c r="C22" s="1074">
        <v>548</v>
      </c>
      <c r="D22" s="1071">
        <f>'Biểu 03'!E52</f>
        <v>498</v>
      </c>
      <c r="E22" s="1074">
        <f t="shared" si="0"/>
        <v>-50</v>
      </c>
      <c r="F22" s="1016"/>
    </row>
    <row r="23" spans="1:7" ht="19.5" customHeight="1" x14ac:dyDescent="0.25">
      <c r="A23" s="1016">
        <v>4</v>
      </c>
      <c r="B23" s="415" t="s">
        <v>20</v>
      </c>
      <c r="C23" s="1071">
        <v>1000</v>
      </c>
      <c r="D23" s="1071">
        <v>1000</v>
      </c>
      <c r="E23" s="1071">
        <f t="shared" si="0"/>
        <v>0</v>
      </c>
      <c r="F23" s="1071">
        <f t="shared" si="1"/>
        <v>100</v>
      </c>
    </row>
    <row r="24" spans="1:7" ht="19.5" customHeight="1" x14ac:dyDescent="0.25">
      <c r="A24" s="1016">
        <v>5</v>
      </c>
      <c r="B24" s="415" t="s">
        <v>21</v>
      </c>
      <c r="C24" s="1071">
        <v>77180</v>
      </c>
      <c r="D24" s="1071"/>
      <c r="E24" s="1071">
        <f t="shared" si="0"/>
        <v>-77180</v>
      </c>
      <c r="F24" s="1071">
        <f t="shared" si="1"/>
        <v>0</v>
      </c>
    </row>
    <row r="25" spans="1:7" ht="19.5" customHeight="1" x14ac:dyDescent="0.25">
      <c r="A25" s="1016">
        <v>6</v>
      </c>
      <c r="B25" s="415" t="s">
        <v>40</v>
      </c>
      <c r="C25" s="1016"/>
      <c r="D25" s="1016"/>
      <c r="E25" s="1074">
        <f t="shared" si="0"/>
        <v>0</v>
      </c>
      <c r="F25" s="1016"/>
    </row>
    <row r="26" spans="1:7" ht="19.5" customHeight="1" x14ac:dyDescent="0.25">
      <c r="A26" s="414" t="s">
        <v>11</v>
      </c>
      <c r="B26" s="402" t="s">
        <v>279</v>
      </c>
      <c r="C26" s="1070">
        <f>SUM(C27:C28)</f>
        <v>1712039</v>
      </c>
      <c r="D26" s="1070">
        <f>SUM(D27:D28)</f>
        <v>1464456</v>
      </c>
      <c r="E26" s="1070">
        <f t="shared" si="0"/>
        <v>-247583</v>
      </c>
      <c r="F26" s="1070">
        <f t="shared" si="1"/>
        <v>85.538705601916774</v>
      </c>
    </row>
    <row r="27" spans="1:7" ht="19.5" customHeight="1" x14ac:dyDescent="0.25">
      <c r="A27" s="1016">
        <v>1</v>
      </c>
      <c r="B27" s="415" t="s">
        <v>41</v>
      </c>
      <c r="C27" s="1071">
        <v>338109</v>
      </c>
      <c r="D27" s="1071">
        <f>'Biểu 03'!E122</f>
        <v>382225</v>
      </c>
      <c r="E27" s="1071">
        <f t="shared" si="0"/>
        <v>44116</v>
      </c>
      <c r="F27" s="1071">
        <f t="shared" si="1"/>
        <v>113.04786326303056</v>
      </c>
    </row>
    <row r="28" spans="1:7" ht="19.5" customHeight="1" x14ac:dyDescent="0.25">
      <c r="A28" s="1016">
        <v>2</v>
      </c>
      <c r="B28" s="415" t="s">
        <v>42</v>
      </c>
      <c r="C28" s="1071">
        <f>231351+1142579</f>
        <v>1373930</v>
      </c>
      <c r="D28" s="1071">
        <f>'Biểu 03'!E57</f>
        <v>1082231</v>
      </c>
      <c r="E28" s="1071">
        <f t="shared" si="0"/>
        <v>-291699</v>
      </c>
      <c r="F28" s="1071">
        <f t="shared" si="1"/>
        <v>78.769005698980294</v>
      </c>
    </row>
    <row r="29" spans="1:7" ht="19.5" customHeight="1" x14ac:dyDescent="0.25">
      <c r="A29" s="414" t="s">
        <v>14</v>
      </c>
      <c r="B29" s="402" t="s">
        <v>22</v>
      </c>
      <c r="C29" s="1070"/>
      <c r="D29" s="1070" t="e">
        <f>#REF!</f>
        <v>#REF!</v>
      </c>
      <c r="E29" s="1070"/>
      <c r="F29" s="1070"/>
    </row>
    <row r="30" spans="1:7" ht="19.5" customHeight="1" x14ac:dyDescent="0.25">
      <c r="A30" s="414" t="s">
        <v>4</v>
      </c>
      <c r="B30" s="402" t="s">
        <v>1313</v>
      </c>
      <c r="C30" s="1070">
        <v>17100</v>
      </c>
      <c r="D30" s="1070"/>
      <c r="E30" s="1070">
        <f t="shared" si="0"/>
        <v>-17100</v>
      </c>
      <c r="F30" s="1070"/>
    </row>
    <row r="31" spans="1:7" ht="19.5" customHeight="1" x14ac:dyDescent="0.25">
      <c r="A31" s="414" t="s">
        <v>193</v>
      </c>
      <c r="B31" s="402" t="s">
        <v>280</v>
      </c>
      <c r="C31" s="1070">
        <v>36700</v>
      </c>
      <c r="D31" s="1070">
        <f>SUM(D32:D33)</f>
        <v>36700</v>
      </c>
      <c r="E31" s="1070">
        <f t="shared" si="0"/>
        <v>0</v>
      </c>
      <c r="F31" s="1070">
        <f t="shared" si="1"/>
        <v>100</v>
      </c>
    </row>
    <row r="32" spans="1:7" ht="19.5" customHeight="1" x14ac:dyDescent="0.25">
      <c r="A32" s="414" t="s">
        <v>9</v>
      </c>
      <c r="B32" s="402" t="s">
        <v>224</v>
      </c>
      <c r="C32" s="1070">
        <v>36700</v>
      </c>
      <c r="D32" s="1070">
        <v>35500</v>
      </c>
      <c r="E32" s="1070">
        <f t="shared" si="0"/>
        <v>-1200</v>
      </c>
      <c r="F32" s="1070">
        <f t="shared" si="1"/>
        <v>96.730245231607626</v>
      </c>
    </row>
    <row r="33" spans="1:6" ht="20.25" customHeight="1" x14ac:dyDescent="0.25">
      <c r="A33" s="414" t="s">
        <v>11</v>
      </c>
      <c r="B33" s="402" t="s">
        <v>411</v>
      </c>
      <c r="C33" s="1070"/>
      <c r="D33" s="1070">
        <v>1200</v>
      </c>
      <c r="E33" s="1070">
        <f t="shared" si="0"/>
        <v>1200</v>
      </c>
      <c r="F33" s="1070"/>
    </row>
    <row r="34" spans="1:6" ht="19.5" customHeight="1" x14ac:dyDescent="0.25">
      <c r="A34" s="414" t="s">
        <v>207</v>
      </c>
      <c r="B34" s="402" t="s">
        <v>281</v>
      </c>
      <c r="C34" s="1070">
        <v>53800</v>
      </c>
      <c r="D34" s="1070">
        <f>D36</f>
        <v>35500</v>
      </c>
      <c r="E34" s="1070">
        <f t="shared" si="0"/>
        <v>-18300</v>
      </c>
      <c r="F34" s="1070">
        <f t="shared" si="1"/>
        <v>65.985130111524157</v>
      </c>
    </row>
    <row r="35" spans="1:6" ht="19.5" customHeight="1" x14ac:dyDescent="0.25">
      <c r="A35" s="414" t="s">
        <v>9</v>
      </c>
      <c r="B35" s="402" t="s">
        <v>282</v>
      </c>
      <c r="C35" s="1070">
        <v>17100</v>
      </c>
      <c r="D35" s="1071"/>
      <c r="E35" s="1071"/>
      <c r="F35" s="1071"/>
    </row>
    <row r="36" spans="1:6" ht="19.5" customHeight="1" x14ac:dyDescent="0.25">
      <c r="A36" s="1017" t="s">
        <v>11</v>
      </c>
      <c r="B36" s="1018" t="s">
        <v>283</v>
      </c>
      <c r="C36" s="1075">
        <v>36700</v>
      </c>
      <c r="D36" s="1075">
        <v>35500</v>
      </c>
      <c r="E36" s="1072">
        <f t="shared" si="0"/>
        <v>-1200</v>
      </c>
      <c r="F36" s="1075">
        <f>D36/C36*100</f>
        <v>96.730245231607626</v>
      </c>
    </row>
    <row r="37" spans="1:6" x14ac:dyDescent="0.25">
      <c r="A37" s="1959"/>
      <c r="B37" s="1959"/>
      <c r="C37" s="1959"/>
      <c r="D37" s="1959"/>
      <c r="E37" s="1959"/>
      <c r="F37" s="1959"/>
    </row>
  </sheetData>
  <mergeCells count="9">
    <mergeCell ref="A37:F37"/>
    <mergeCell ref="A1:F1"/>
    <mergeCell ref="A2:F2"/>
    <mergeCell ref="E3:F3"/>
    <mergeCell ref="A4:A5"/>
    <mergeCell ref="B4:B5"/>
    <mergeCell ref="C4:C5"/>
    <mergeCell ref="D4:D5"/>
    <mergeCell ref="E4:F4"/>
  </mergeCells>
  <pageMargins left="1.04" right="0.2" top="0.75" bottom="1.17" header="0.53" footer="0.9"/>
  <pageSetup paperSize="9" firstPageNumber="63" orientation="portrait" useFirstPageNumber="1" r:id="rId1"/>
  <headerFooter>
    <oddHeader>&amp;RBiểu mẫu số 12</oddHeader>
    <oddFooter>&amp;C&amp;P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BM68"/>
  <sheetViews>
    <sheetView zoomScale="90" zoomScaleNormal="90" workbookViewId="0">
      <pane xSplit="2" ySplit="8" topLeftCell="AV15" activePane="bottomRight" state="frozen"/>
      <selection pane="topRight" activeCell="C1" sqref="C1"/>
      <selection pane="bottomLeft" activeCell="A9" sqref="A9"/>
      <selection pane="bottomRight" activeCell="I35" sqref="I35"/>
    </sheetView>
  </sheetViews>
  <sheetFormatPr defaultRowHeight="12.75" x14ac:dyDescent="0.2"/>
  <cols>
    <col min="1" max="1" width="3.5" style="279" customWidth="1"/>
    <col min="2" max="2" width="28.875" style="279" customWidth="1"/>
    <col min="3" max="4" width="9" style="687" customWidth="1"/>
    <col min="5" max="14" width="9" style="279" customWidth="1"/>
    <col min="15" max="20" width="9.125" style="279" customWidth="1"/>
    <col min="21" max="26" width="8.875" style="279" customWidth="1"/>
    <col min="27" max="32" width="9.125" style="279" customWidth="1"/>
    <col min="33" max="38" width="9" style="279" customWidth="1"/>
    <col min="39" max="50" width="9.125" style="279" customWidth="1"/>
    <col min="51" max="54" width="9.375" style="279" customWidth="1"/>
    <col min="55" max="56" width="8.375" style="279" customWidth="1"/>
    <col min="57" max="60" width="6.625" style="279" customWidth="1"/>
    <col min="61" max="62" width="6.25" style="279" customWidth="1"/>
    <col min="63" max="63" width="6.125" style="279" customWidth="1"/>
    <col min="64" max="64" width="6" style="279" customWidth="1"/>
    <col min="65" max="65" width="4.875" style="279" customWidth="1"/>
    <col min="66" max="16384" width="9" style="279"/>
  </cols>
  <sheetData>
    <row r="1" spans="1:65" ht="36.75" customHeight="1" x14ac:dyDescent="0.2">
      <c r="A1" s="1973" t="s">
        <v>1440</v>
      </c>
      <c r="B1" s="1973"/>
      <c r="C1" s="1973"/>
      <c r="D1" s="1973"/>
      <c r="E1" s="1973"/>
      <c r="F1" s="1973"/>
      <c r="G1" s="1973"/>
      <c r="H1" s="1973"/>
      <c r="I1" s="1973"/>
      <c r="J1" s="1973"/>
      <c r="K1" s="1973"/>
      <c r="L1" s="1973"/>
      <c r="M1" s="1973"/>
      <c r="N1" s="1973"/>
      <c r="O1" s="1973"/>
      <c r="P1" s="1973"/>
      <c r="Q1" s="1973"/>
      <c r="R1" s="1973"/>
      <c r="S1" s="1973"/>
      <c r="T1" s="1973"/>
      <c r="U1" s="1973"/>
      <c r="V1" s="1973"/>
      <c r="W1" s="1973"/>
      <c r="X1" s="1973"/>
      <c r="Y1" s="1973"/>
      <c r="Z1" s="1973"/>
      <c r="AA1" s="1973"/>
      <c r="AB1" s="1973"/>
      <c r="AC1" s="1973"/>
      <c r="AD1" s="1973"/>
      <c r="AE1" s="1973"/>
      <c r="AF1" s="1973"/>
      <c r="AG1" s="1973"/>
      <c r="AH1" s="1973"/>
      <c r="AI1" s="1973"/>
      <c r="AJ1" s="1973"/>
      <c r="AK1" s="1973"/>
      <c r="AL1" s="1973"/>
      <c r="AM1" s="1973"/>
      <c r="AN1" s="1973"/>
      <c r="AO1" s="1973"/>
      <c r="AP1" s="1973"/>
      <c r="AQ1" s="1973"/>
      <c r="AR1" s="1973"/>
      <c r="AS1" s="1973"/>
      <c r="AT1" s="1973"/>
      <c r="AU1" s="1973"/>
      <c r="AV1" s="1973"/>
      <c r="AW1" s="1973"/>
      <c r="AX1" s="1973"/>
      <c r="AY1" s="1973"/>
      <c r="AZ1" s="1973"/>
      <c r="BA1" s="1973"/>
      <c r="BB1" s="1973"/>
      <c r="BC1" s="1973"/>
      <c r="BD1" s="1973"/>
      <c r="BE1" s="1973"/>
      <c r="BF1" s="1973"/>
      <c r="BG1" s="1973"/>
      <c r="BH1" s="1973"/>
      <c r="BI1" s="1973"/>
      <c r="BJ1" s="1973"/>
      <c r="BK1" s="1973"/>
      <c r="BL1" s="1973"/>
      <c r="BM1" s="1973"/>
    </row>
    <row r="2" spans="1:65" ht="15.75" customHeight="1" x14ac:dyDescent="0.25">
      <c r="A2" s="1974" t="str">
        <f>'Biểu 12'!A2:F2</f>
        <v>(Kèm theo Báo cáo số              /BC-UBND ngày       tháng 11 năm 2018 của UBND tỉnh Bắc Kạn)</v>
      </c>
      <c r="B2" s="1974"/>
      <c r="C2" s="1974"/>
      <c r="D2" s="1974"/>
      <c r="E2" s="1974"/>
      <c r="F2" s="1974"/>
      <c r="G2" s="1974"/>
      <c r="H2" s="1974"/>
      <c r="I2" s="1974"/>
      <c r="J2" s="1974"/>
      <c r="K2" s="1974"/>
      <c r="L2" s="1974"/>
      <c r="M2" s="1974"/>
      <c r="N2" s="1974"/>
      <c r="O2" s="1974"/>
      <c r="P2" s="1974"/>
      <c r="Q2" s="1974"/>
      <c r="R2" s="1974"/>
      <c r="S2" s="1974"/>
      <c r="T2" s="1974"/>
      <c r="U2" s="1974"/>
      <c r="V2" s="1974"/>
      <c r="W2" s="1974"/>
      <c r="X2" s="1974"/>
      <c r="Y2" s="1974"/>
      <c r="Z2" s="1974"/>
      <c r="AA2" s="1974"/>
      <c r="AB2" s="1974"/>
      <c r="AC2" s="1974"/>
      <c r="AD2" s="1974"/>
      <c r="AE2" s="1974"/>
      <c r="AF2" s="1974"/>
      <c r="AG2" s="1974"/>
      <c r="AH2" s="1974"/>
      <c r="AI2" s="1974"/>
      <c r="AJ2" s="1974"/>
      <c r="AK2" s="1974"/>
      <c r="AL2" s="1974"/>
      <c r="AM2" s="1974"/>
      <c r="AN2" s="1974"/>
      <c r="AO2" s="1974"/>
      <c r="AP2" s="1974"/>
      <c r="AQ2" s="1974"/>
      <c r="AR2" s="1974"/>
      <c r="AS2" s="1974"/>
      <c r="AT2" s="1974"/>
      <c r="AU2" s="1974"/>
      <c r="AV2" s="1974"/>
      <c r="AW2" s="1974"/>
      <c r="AX2" s="1974"/>
      <c r="AY2" s="1974"/>
      <c r="AZ2" s="1974"/>
      <c r="BA2" s="1974"/>
      <c r="BB2" s="1974"/>
      <c r="BC2" s="1974"/>
      <c r="BD2" s="1974"/>
      <c r="BE2" s="1974"/>
      <c r="BF2" s="1974"/>
      <c r="BG2" s="1974"/>
      <c r="BH2" s="1974"/>
      <c r="BI2" s="1974"/>
      <c r="BJ2" s="1974"/>
      <c r="BK2" s="1974"/>
      <c r="BL2" s="1974"/>
      <c r="BM2" s="1974"/>
    </row>
    <row r="3" spans="1:65" ht="15.75" customHeight="1" x14ac:dyDescent="0.2">
      <c r="A3" s="280"/>
      <c r="E3" s="281"/>
      <c r="F3" s="1964" t="s">
        <v>6</v>
      </c>
      <c r="G3" s="1964"/>
      <c r="H3" s="1964"/>
      <c r="I3" s="1188"/>
      <c r="J3" s="1188"/>
      <c r="L3" s="1964" t="s">
        <v>6</v>
      </c>
      <c r="M3" s="1964"/>
      <c r="N3" s="1964"/>
      <c r="R3" s="1965" t="s">
        <v>6</v>
      </c>
      <c r="S3" s="1965"/>
      <c r="T3" s="1965"/>
      <c r="Z3" s="1741" t="s">
        <v>6</v>
      </c>
      <c r="AA3" s="1740"/>
      <c r="AE3" s="1742" t="s">
        <v>6</v>
      </c>
      <c r="AG3" s="1740"/>
      <c r="AH3" s="1740"/>
      <c r="AK3" s="1742" t="s">
        <v>6</v>
      </c>
      <c r="AR3" s="1742"/>
      <c r="AS3" s="1742"/>
      <c r="BC3" s="1742" t="s">
        <v>6</v>
      </c>
      <c r="BG3" s="1188"/>
      <c r="BI3" s="1742"/>
      <c r="BJ3" s="1742"/>
      <c r="BK3" s="1742" t="s">
        <v>6</v>
      </c>
    </row>
    <row r="4" spans="1:65" s="359" customFormat="1" ht="16.5" customHeight="1" x14ac:dyDescent="0.2">
      <c r="A4" s="1969" t="s">
        <v>0</v>
      </c>
      <c r="B4" s="1969" t="s">
        <v>1</v>
      </c>
      <c r="C4" s="1966" t="s">
        <v>558</v>
      </c>
      <c r="D4" s="1967"/>
      <c r="E4" s="1967"/>
      <c r="F4" s="1967"/>
      <c r="G4" s="1967"/>
      <c r="H4" s="1968"/>
      <c r="I4" s="1970" t="s">
        <v>148</v>
      </c>
      <c r="J4" s="1971"/>
      <c r="K4" s="1971"/>
      <c r="L4" s="1971"/>
      <c r="M4" s="1971"/>
      <c r="N4" s="1972"/>
      <c r="O4" s="1970" t="s">
        <v>149</v>
      </c>
      <c r="P4" s="1971"/>
      <c r="Q4" s="1971"/>
      <c r="R4" s="1971"/>
      <c r="S4" s="1971"/>
      <c r="T4" s="1972"/>
      <c r="U4" s="1970" t="s">
        <v>385</v>
      </c>
      <c r="V4" s="1971"/>
      <c r="W4" s="1971"/>
      <c r="X4" s="1971"/>
      <c r="Y4" s="1971"/>
      <c r="Z4" s="1972"/>
      <c r="AA4" s="1970" t="s">
        <v>151</v>
      </c>
      <c r="AB4" s="1971"/>
      <c r="AC4" s="1971"/>
      <c r="AD4" s="1971"/>
      <c r="AE4" s="1971"/>
      <c r="AF4" s="1972"/>
      <c r="AG4" s="1970" t="s">
        <v>152</v>
      </c>
      <c r="AH4" s="1971"/>
      <c r="AI4" s="1971"/>
      <c r="AJ4" s="1971"/>
      <c r="AK4" s="1971"/>
      <c r="AL4" s="1972"/>
      <c r="AM4" s="1970" t="s">
        <v>153</v>
      </c>
      <c r="AN4" s="1971"/>
      <c r="AO4" s="1971"/>
      <c r="AP4" s="1971"/>
      <c r="AQ4" s="1971"/>
      <c r="AR4" s="1972"/>
      <c r="AS4" s="1970" t="s">
        <v>154</v>
      </c>
      <c r="AT4" s="1971"/>
      <c r="AU4" s="1971"/>
      <c r="AV4" s="1971"/>
      <c r="AW4" s="1971"/>
      <c r="AX4" s="1972"/>
      <c r="AY4" s="1970" t="s">
        <v>155</v>
      </c>
      <c r="AZ4" s="1971"/>
      <c r="BA4" s="1971"/>
      <c r="BB4" s="1971"/>
      <c r="BC4" s="1971"/>
      <c r="BD4" s="1972"/>
      <c r="BE4" s="1970" t="s">
        <v>559</v>
      </c>
      <c r="BF4" s="1971"/>
      <c r="BG4" s="1971"/>
      <c r="BH4" s="1971"/>
      <c r="BI4" s="1971"/>
      <c r="BJ4" s="1972"/>
      <c r="BK4" s="1975" t="s">
        <v>577</v>
      </c>
      <c r="BL4" s="1975"/>
      <c r="BM4" s="1975"/>
    </row>
    <row r="5" spans="1:65" s="359" customFormat="1" ht="24.75" customHeight="1" x14ac:dyDescent="0.2">
      <c r="A5" s="1969"/>
      <c r="B5" s="1969"/>
      <c r="C5" s="1966" t="s">
        <v>219</v>
      </c>
      <c r="D5" s="1968"/>
      <c r="E5" s="1969" t="s">
        <v>1393</v>
      </c>
      <c r="F5" s="1969"/>
      <c r="G5" s="1969" t="s">
        <v>43</v>
      </c>
      <c r="H5" s="1969"/>
      <c r="I5" s="1966" t="s">
        <v>219</v>
      </c>
      <c r="J5" s="1968"/>
      <c r="K5" s="1969" t="s">
        <v>1393</v>
      </c>
      <c r="L5" s="1969"/>
      <c r="M5" s="1969" t="s">
        <v>43</v>
      </c>
      <c r="N5" s="1969"/>
      <c r="O5" s="1966" t="s">
        <v>219</v>
      </c>
      <c r="P5" s="1968"/>
      <c r="Q5" s="1969" t="s">
        <v>1393</v>
      </c>
      <c r="R5" s="1969"/>
      <c r="S5" s="1969" t="s">
        <v>43</v>
      </c>
      <c r="T5" s="1969"/>
      <c r="U5" s="1966" t="s">
        <v>219</v>
      </c>
      <c r="V5" s="1968"/>
      <c r="W5" s="1969" t="s">
        <v>1393</v>
      </c>
      <c r="X5" s="1969"/>
      <c r="Y5" s="1969" t="s">
        <v>43</v>
      </c>
      <c r="Z5" s="1969"/>
      <c r="AA5" s="1966" t="s">
        <v>219</v>
      </c>
      <c r="AB5" s="1968"/>
      <c r="AC5" s="1969" t="s">
        <v>1393</v>
      </c>
      <c r="AD5" s="1969"/>
      <c r="AE5" s="1969" t="s">
        <v>43</v>
      </c>
      <c r="AF5" s="1969"/>
      <c r="AG5" s="1966" t="s">
        <v>219</v>
      </c>
      <c r="AH5" s="1968"/>
      <c r="AI5" s="1969" t="s">
        <v>1393</v>
      </c>
      <c r="AJ5" s="1969"/>
      <c r="AK5" s="1969" t="s">
        <v>43</v>
      </c>
      <c r="AL5" s="1969"/>
      <c r="AM5" s="1966" t="s">
        <v>219</v>
      </c>
      <c r="AN5" s="1968"/>
      <c r="AO5" s="1969" t="s">
        <v>1393</v>
      </c>
      <c r="AP5" s="1969"/>
      <c r="AQ5" s="1969" t="s">
        <v>43</v>
      </c>
      <c r="AR5" s="1969"/>
      <c r="AS5" s="1966" t="s">
        <v>219</v>
      </c>
      <c r="AT5" s="1968"/>
      <c r="AU5" s="1969" t="s">
        <v>1393</v>
      </c>
      <c r="AV5" s="1969"/>
      <c r="AW5" s="1969" t="s">
        <v>43</v>
      </c>
      <c r="AX5" s="1969"/>
      <c r="AY5" s="1966" t="s">
        <v>219</v>
      </c>
      <c r="AZ5" s="1968"/>
      <c r="BA5" s="1969" t="s">
        <v>1393</v>
      </c>
      <c r="BB5" s="1969"/>
      <c r="BC5" s="1969" t="s">
        <v>43</v>
      </c>
      <c r="BD5" s="1969"/>
      <c r="BE5" s="1966" t="s">
        <v>219</v>
      </c>
      <c r="BF5" s="1968"/>
      <c r="BG5" s="1969" t="s">
        <v>1393</v>
      </c>
      <c r="BH5" s="1969"/>
      <c r="BI5" s="1969" t="s">
        <v>43</v>
      </c>
      <c r="BJ5" s="1969"/>
      <c r="BK5" s="1190" t="s">
        <v>1441</v>
      </c>
      <c r="BL5" s="1190" t="s">
        <v>1442</v>
      </c>
      <c r="BM5" s="1190" t="s">
        <v>1443</v>
      </c>
    </row>
    <row r="6" spans="1:65" s="359" customFormat="1" ht="42.75" customHeight="1" x14ac:dyDescent="0.2">
      <c r="A6" s="1969"/>
      <c r="B6" s="1969"/>
      <c r="C6" s="688" t="s">
        <v>227</v>
      </c>
      <c r="D6" s="688" t="s">
        <v>228</v>
      </c>
      <c r="E6" s="1189" t="s">
        <v>227</v>
      </c>
      <c r="F6" s="1189" t="s">
        <v>228</v>
      </c>
      <c r="G6" s="1189" t="s">
        <v>227</v>
      </c>
      <c r="H6" s="1189" t="s">
        <v>228</v>
      </c>
      <c r="I6" s="1189" t="s">
        <v>227</v>
      </c>
      <c r="J6" s="1189" t="s">
        <v>228</v>
      </c>
      <c r="K6" s="1189" t="s">
        <v>227</v>
      </c>
      <c r="L6" s="1189" t="s">
        <v>228</v>
      </c>
      <c r="M6" s="1189" t="s">
        <v>227</v>
      </c>
      <c r="N6" s="1189" t="s">
        <v>228</v>
      </c>
      <c r="O6" s="1189" t="s">
        <v>227</v>
      </c>
      <c r="P6" s="1189" t="s">
        <v>228</v>
      </c>
      <c r="Q6" s="1189" t="s">
        <v>227</v>
      </c>
      <c r="R6" s="1189" t="s">
        <v>228</v>
      </c>
      <c r="S6" s="1189" t="s">
        <v>227</v>
      </c>
      <c r="T6" s="1189" t="s">
        <v>228</v>
      </c>
      <c r="U6" s="1189" t="s">
        <v>227</v>
      </c>
      <c r="V6" s="1189" t="s">
        <v>228</v>
      </c>
      <c r="W6" s="1189" t="s">
        <v>227</v>
      </c>
      <c r="X6" s="1189" t="s">
        <v>228</v>
      </c>
      <c r="Y6" s="1189" t="s">
        <v>227</v>
      </c>
      <c r="Z6" s="1189" t="s">
        <v>228</v>
      </c>
      <c r="AA6" s="1189" t="s">
        <v>227</v>
      </c>
      <c r="AB6" s="1189" t="s">
        <v>228</v>
      </c>
      <c r="AC6" s="1189" t="s">
        <v>227</v>
      </c>
      <c r="AD6" s="1189" t="s">
        <v>228</v>
      </c>
      <c r="AE6" s="1189" t="s">
        <v>227</v>
      </c>
      <c r="AF6" s="1189" t="s">
        <v>228</v>
      </c>
      <c r="AG6" s="1189" t="s">
        <v>227</v>
      </c>
      <c r="AH6" s="1189" t="s">
        <v>228</v>
      </c>
      <c r="AI6" s="1189" t="s">
        <v>227</v>
      </c>
      <c r="AJ6" s="1189" t="s">
        <v>228</v>
      </c>
      <c r="AK6" s="1189" t="s">
        <v>227</v>
      </c>
      <c r="AL6" s="1189" t="s">
        <v>228</v>
      </c>
      <c r="AM6" s="1189" t="s">
        <v>227</v>
      </c>
      <c r="AN6" s="1189" t="s">
        <v>228</v>
      </c>
      <c r="AO6" s="1189" t="s">
        <v>227</v>
      </c>
      <c r="AP6" s="1189" t="s">
        <v>228</v>
      </c>
      <c r="AQ6" s="1189" t="s">
        <v>227</v>
      </c>
      <c r="AR6" s="1189" t="s">
        <v>228</v>
      </c>
      <c r="AS6" s="1189" t="s">
        <v>227</v>
      </c>
      <c r="AT6" s="1189" t="s">
        <v>228</v>
      </c>
      <c r="AU6" s="1189" t="s">
        <v>227</v>
      </c>
      <c r="AV6" s="1189" t="s">
        <v>228</v>
      </c>
      <c r="AW6" s="1189" t="s">
        <v>227</v>
      </c>
      <c r="AX6" s="1189" t="s">
        <v>228</v>
      </c>
      <c r="AY6" s="1189" t="s">
        <v>227</v>
      </c>
      <c r="AZ6" s="1189" t="s">
        <v>228</v>
      </c>
      <c r="BA6" s="1189" t="s">
        <v>227</v>
      </c>
      <c r="BB6" s="1189" t="s">
        <v>228</v>
      </c>
      <c r="BC6" s="1189" t="s">
        <v>227</v>
      </c>
      <c r="BD6" s="1189" t="s">
        <v>228</v>
      </c>
      <c r="BE6" s="1189" t="s">
        <v>227</v>
      </c>
      <c r="BF6" s="1189" t="s">
        <v>228</v>
      </c>
      <c r="BG6" s="1189" t="s">
        <v>227</v>
      </c>
      <c r="BH6" s="1189" t="s">
        <v>228</v>
      </c>
      <c r="BI6" s="1189" t="s">
        <v>227</v>
      </c>
      <c r="BJ6" s="1189" t="s">
        <v>228</v>
      </c>
      <c r="BK6" s="1189" t="s">
        <v>227</v>
      </c>
      <c r="BL6" s="1189" t="s">
        <v>227</v>
      </c>
      <c r="BM6" s="1189" t="s">
        <v>227</v>
      </c>
    </row>
    <row r="7" spans="1:65" s="359" customFormat="1" ht="15" customHeight="1" x14ac:dyDescent="0.2">
      <c r="A7" s="1189" t="s">
        <v>2</v>
      </c>
      <c r="B7" s="1189" t="s">
        <v>3</v>
      </c>
      <c r="C7" s="688">
        <v>1</v>
      </c>
      <c r="D7" s="688">
        <v>2</v>
      </c>
      <c r="E7" s="688">
        <v>3</v>
      </c>
      <c r="F7" s="688">
        <v>4</v>
      </c>
      <c r="G7" s="688">
        <v>5</v>
      </c>
      <c r="H7" s="688">
        <v>6</v>
      </c>
      <c r="I7" s="688">
        <v>7</v>
      </c>
      <c r="J7" s="688">
        <v>8</v>
      </c>
      <c r="K7" s="688">
        <v>9</v>
      </c>
      <c r="L7" s="688">
        <v>10</v>
      </c>
      <c r="M7" s="688">
        <v>11</v>
      </c>
      <c r="N7" s="688">
        <v>12</v>
      </c>
      <c r="O7" s="688">
        <v>13</v>
      </c>
      <c r="P7" s="688">
        <v>14</v>
      </c>
      <c r="Q7" s="688">
        <v>15</v>
      </c>
      <c r="R7" s="688">
        <v>16</v>
      </c>
      <c r="S7" s="688">
        <v>17</v>
      </c>
      <c r="T7" s="688">
        <v>18</v>
      </c>
      <c r="U7" s="688">
        <v>19</v>
      </c>
      <c r="V7" s="688">
        <v>20</v>
      </c>
      <c r="W7" s="688">
        <v>21</v>
      </c>
      <c r="X7" s="688">
        <v>22</v>
      </c>
      <c r="Y7" s="688">
        <v>23</v>
      </c>
      <c r="Z7" s="688">
        <v>24</v>
      </c>
      <c r="AA7" s="688">
        <v>25</v>
      </c>
      <c r="AB7" s="688">
        <v>26</v>
      </c>
      <c r="AC7" s="688">
        <v>27</v>
      </c>
      <c r="AD7" s="688">
        <v>28</v>
      </c>
      <c r="AE7" s="688">
        <v>29</v>
      </c>
      <c r="AF7" s="688">
        <v>30</v>
      </c>
      <c r="AG7" s="688">
        <v>31</v>
      </c>
      <c r="AH7" s="688">
        <v>32</v>
      </c>
      <c r="AI7" s="688">
        <v>33</v>
      </c>
      <c r="AJ7" s="688">
        <v>34</v>
      </c>
      <c r="AK7" s="688">
        <v>35</v>
      </c>
      <c r="AL7" s="688">
        <v>36</v>
      </c>
      <c r="AM7" s="688">
        <v>37</v>
      </c>
      <c r="AN7" s="688">
        <v>38</v>
      </c>
      <c r="AO7" s="688">
        <v>39</v>
      </c>
      <c r="AP7" s="688">
        <v>40</v>
      </c>
      <c r="AQ7" s="688">
        <v>41</v>
      </c>
      <c r="AR7" s="688">
        <v>42</v>
      </c>
      <c r="AS7" s="688">
        <v>43</v>
      </c>
      <c r="AT7" s="688">
        <v>44</v>
      </c>
      <c r="AU7" s="688">
        <v>45</v>
      </c>
      <c r="AV7" s="688">
        <v>46</v>
      </c>
      <c r="AW7" s="688">
        <v>47</v>
      </c>
      <c r="AX7" s="688">
        <v>48</v>
      </c>
      <c r="AY7" s="688">
        <v>49</v>
      </c>
      <c r="AZ7" s="688">
        <v>50</v>
      </c>
      <c r="BA7" s="688">
        <v>51</v>
      </c>
      <c r="BB7" s="688">
        <v>52</v>
      </c>
      <c r="BC7" s="688">
        <v>53</v>
      </c>
      <c r="BD7" s="688">
        <v>54</v>
      </c>
      <c r="BE7" s="688">
        <v>55</v>
      </c>
      <c r="BF7" s="688">
        <v>56</v>
      </c>
      <c r="BG7" s="688">
        <v>57</v>
      </c>
      <c r="BH7" s="688">
        <v>58</v>
      </c>
      <c r="BI7" s="688">
        <v>59</v>
      </c>
      <c r="BJ7" s="688">
        <v>60</v>
      </c>
      <c r="BK7" s="688">
        <v>61</v>
      </c>
      <c r="BL7" s="688">
        <v>62</v>
      </c>
      <c r="BM7" s="688">
        <v>63</v>
      </c>
    </row>
    <row r="8" spans="1:65" s="363" customFormat="1" ht="16.5" customHeight="1" x14ac:dyDescent="0.15">
      <c r="A8" s="360"/>
      <c r="B8" s="360" t="s">
        <v>229</v>
      </c>
      <c r="C8" s="689">
        <f t="shared" ref="C8:E8" si="0">C9+C52+C53+C60</f>
        <v>610000</v>
      </c>
      <c r="D8" s="689">
        <f t="shared" si="0"/>
        <v>545010</v>
      </c>
      <c r="E8" s="361">
        <f t="shared" si="0"/>
        <v>611466</v>
      </c>
      <c r="F8" s="361">
        <f>F9+F52+F53+F60</f>
        <v>547365</v>
      </c>
      <c r="G8" s="361">
        <f>E8/C8*100</f>
        <v>100.24032786885246</v>
      </c>
      <c r="H8" s="361">
        <f>F8/D8*100</f>
        <v>100.43210216326305</v>
      </c>
      <c r="I8" s="361">
        <f t="shared" ref="I8:J8" si="1">I9+I52+I53+I60</f>
        <v>106350</v>
      </c>
      <c r="J8" s="361">
        <f t="shared" si="1"/>
        <v>101350</v>
      </c>
      <c r="K8" s="361">
        <f>K9+K52+K53+K60</f>
        <v>103205</v>
      </c>
      <c r="L8" s="361">
        <f t="shared" ref="L8:BL8" si="2">L9+L52+L53+L60</f>
        <v>96791</v>
      </c>
      <c r="M8" s="361">
        <f>K8/I8*100</f>
        <v>97.042783262811469</v>
      </c>
      <c r="N8" s="361">
        <f>L8/J8*100</f>
        <v>95.501726689689193</v>
      </c>
      <c r="O8" s="361">
        <f t="shared" si="2"/>
        <v>14230</v>
      </c>
      <c r="P8" s="361">
        <f t="shared" si="2"/>
        <v>13500</v>
      </c>
      <c r="Q8" s="361">
        <f t="shared" si="2"/>
        <v>13516</v>
      </c>
      <c r="R8" s="361">
        <f>R9+R52+R53+R60</f>
        <v>12749</v>
      </c>
      <c r="S8" s="361">
        <f>Q8/O8*100</f>
        <v>94.982431482782857</v>
      </c>
      <c r="T8" s="361">
        <f>R8/P8*100</f>
        <v>94.437037037037044</v>
      </c>
      <c r="U8" s="361">
        <f t="shared" si="2"/>
        <v>16120</v>
      </c>
      <c r="V8" s="361">
        <f t="shared" si="2"/>
        <v>14850</v>
      </c>
      <c r="W8" s="361">
        <f t="shared" si="2"/>
        <v>15615</v>
      </c>
      <c r="X8" s="361">
        <f t="shared" si="2"/>
        <v>14751</v>
      </c>
      <c r="Y8" s="361">
        <f>W8/U8*100</f>
        <v>96.867245657568233</v>
      </c>
      <c r="Z8" s="361">
        <f>X8/V8*100</f>
        <v>99.333333333333329</v>
      </c>
      <c r="AA8" s="361">
        <f t="shared" si="2"/>
        <v>111890</v>
      </c>
      <c r="AB8" s="361">
        <f t="shared" si="2"/>
        <v>111400</v>
      </c>
      <c r="AC8" s="361">
        <f t="shared" si="2"/>
        <v>112800</v>
      </c>
      <c r="AD8" s="361">
        <f t="shared" si="2"/>
        <v>109596</v>
      </c>
      <c r="AE8" s="361">
        <f>AC8/AA8*100</f>
        <v>100.81329877558316</v>
      </c>
      <c r="AF8" s="361">
        <f>AD8/AB8*100</f>
        <v>98.380610412926401</v>
      </c>
      <c r="AG8" s="362">
        <f t="shared" si="2"/>
        <v>20170</v>
      </c>
      <c r="AH8" s="362">
        <f t="shared" si="2"/>
        <v>19270</v>
      </c>
      <c r="AI8" s="362">
        <f t="shared" si="2"/>
        <v>19852</v>
      </c>
      <c r="AJ8" s="362">
        <f t="shared" si="2"/>
        <v>18720</v>
      </c>
      <c r="AK8" s="362">
        <f>AI8/AG8*100</f>
        <v>98.423401090728802</v>
      </c>
      <c r="AL8" s="362">
        <f>AJ8/AH8*100</f>
        <v>97.145822522054999</v>
      </c>
      <c r="AM8" s="361">
        <f t="shared" si="2"/>
        <v>13080</v>
      </c>
      <c r="AN8" s="361">
        <f t="shared" si="2"/>
        <v>12010</v>
      </c>
      <c r="AO8" s="361">
        <f t="shared" si="2"/>
        <v>14085</v>
      </c>
      <c r="AP8" s="361">
        <f t="shared" si="2"/>
        <v>12310</v>
      </c>
      <c r="AQ8" s="361">
        <f>AO8/AM8*100</f>
        <v>107.6834862385321</v>
      </c>
      <c r="AR8" s="361">
        <f>AP8/AN8*100</f>
        <v>102.49791840133223</v>
      </c>
      <c r="AS8" s="361">
        <f t="shared" si="2"/>
        <v>29880</v>
      </c>
      <c r="AT8" s="361">
        <f t="shared" si="2"/>
        <v>27920</v>
      </c>
      <c r="AU8" s="361">
        <f t="shared" si="2"/>
        <v>30150</v>
      </c>
      <c r="AV8" s="361">
        <f t="shared" si="2"/>
        <v>28578</v>
      </c>
      <c r="AW8" s="361">
        <f>AU8/AS8*100</f>
        <v>100.90361445783131</v>
      </c>
      <c r="AX8" s="361">
        <f>AV8/AT8*100</f>
        <v>102.35673352435531</v>
      </c>
      <c r="AY8" s="361">
        <f t="shared" si="2"/>
        <v>9730</v>
      </c>
      <c r="AZ8" s="361">
        <f t="shared" si="2"/>
        <v>9160</v>
      </c>
      <c r="BA8" s="361">
        <f t="shared" si="2"/>
        <v>12028</v>
      </c>
      <c r="BB8" s="361">
        <f t="shared" si="2"/>
        <v>10945</v>
      </c>
      <c r="BC8" s="361">
        <f>BA8/AY8*100</f>
        <v>123.61767728674205</v>
      </c>
      <c r="BD8" s="361">
        <f>BB8/AZ8*100</f>
        <v>119.48689956331877</v>
      </c>
      <c r="BE8" s="361">
        <f t="shared" si="2"/>
        <v>283550</v>
      </c>
      <c r="BF8" s="361">
        <f t="shared" si="2"/>
        <v>235550</v>
      </c>
      <c r="BG8" s="361">
        <f t="shared" si="2"/>
        <v>288415</v>
      </c>
      <c r="BH8" s="361">
        <f t="shared" si="2"/>
        <v>242925</v>
      </c>
      <c r="BI8" s="361">
        <f>BG8/BE8*100</f>
        <v>101.7157467818727</v>
      </c>
      <c r="BJ8" s="361">
        <f>BH8/BF8*100</f>
        <v>103.13097007004883</v>
      </c>
      <c r="BK8" s="361">
        <f t="shared" si="2"/>
        <v>5000</v>
      </c>
      <c r="BL8" s="366">
        <f t="shared" si="2"/>
        <v>1800</v>
      </c>
      <c r="BM8" s="366">
        <f>BL8/BK8*100</f>
        <v>36</v>
      </c>
    </row>
    <row r="9" spans="1:65" s="363" customFormat="1" ht="14.25" customHeight="1" x14ac:dyDescent="0.15">
      <c r="A9" s="364" t="s">
        <v>9</v>
      </c>
      <c r="B9" s="365" t="s">
        <v>7</v>
      </c>
      <c r="C9" s="690">
        <f t="shared" ref="C9:E9" si="3">C10+C15+C21+C25+C31+C32+C33+C34+C35+C36+C37+C40+C43+C48+C49+C50+C51</f>
        <v>605000</v>
      </c>
      <c r="D9" s="690">
        <f t="shared" si="3"/>
        <v>545010</v>
      </c>
      <c r="E9" s="366">
        <f t="shared" si="3"/>
        <v>609666</v>
      </c>
      <c r="F9" s="366">
        <f>F10+F15+F21+F25+F31+F32+F33+F34+F35+F36+F37+F40+F43+F48+F49+F50+F51</f>
        <v>547365</v>
      </c>
      <c r="G9" s="361">
        <f>E9/C9*100</f>
        <v>100.7712396694215</v>
      </c>
      <c r="H9" s="361">
        <f t="shared" ref="H9:H52" si="4">F9/D9*100</f>
        <v>100.43210216326305</v>
      </c>
      <c r="I9" s="366">
        <f t="shared" ref="I9:J9" si="5">I10+I15+I21+I25+I31+I32+I33+I34+I35+I36+I37+I40+I43+I48+I49+I50+I51</f>
        <v>106350</v>
      </c>
      <c r="J9" s="366">
        <f t="shared" si="5"/>
        <v>101350</v>
      </c>
      <c r="K9" s="366">
        <f>K10+K15+K21+K25+K31+K32+K33+K34+K35+K36+K37+K40+K43+K48+K49+K50+K51</f>
        <v>103205</v>
      </c>
      <c r="L9" s="366">
        <f t="shared" ref="L9:BH9" si="6">L10+L15+L21+L25+L31+L32+L33+L34+L35+L36+L37+L40+L43+L48+L49+L50+L51</f>
        <v>96791</v>
      </c>
      <c r="M9" s="361">
        <f t="shared" ref="M9:N49" si="7">K9/I9*100</f>
        <v>97.042783262811469</v>
      </c>
      <c r="N9" s="361">
        <f t="shared" si="7"/>
        <v>95.501726689689193</v>
      </c>
      <c r="O9" s="366">
        <f t="shared" si="6"/>
        <v>14230</v>
      </c>
      <c r="P9" s="366">
        <f t="shared" si="6"/>
        <v>13500</v>
      </c>
      <c r="Q9" s="366">
        <f t="shared" si="6"/>
        <v>13516</v>
      </c>
      <c r="R9" s="366">
        <f>R10+R15+R21+R25+R31+R32+R33+R34+R35+R36+R37+R40+R43+R48+R49+R50+R51</f>
        <v>12749</v>
      </c>
      <c r="S9" s="361">
        <f t="shared" ref="S9:T48" si="8">Q9/O9*100</f>
        <v>94.982431482782857</v>
      </c>
      <c r="T9" s="361">
        <f t="shared" si="8"/>
        <v>94.437037037037044</v>
      </c>
      <c r="U9" s="366">
        <f t="shared" si="6"/>
        <v>16120</v>
      </c>
      <c r="V9" s="366">
        <f t="shared" si="6"/>
        <v>14850</v>
      </c>
      <c r="W9" s="366">
        <f t="shared" si="6"/>
        <v>15615</v>
      </c>
      <c r="X9" s="366">
        <f t="shared" si="6"/>
        <v>14751</v>
      </c>
      <c r="Y9" s="361">
        <f t="shared" ref="Y9:Z48" si="9">W9/U9*100</f>
        <v>96.867245657568233</v>
      </c>
      <c r="Z9" s="361">
        <f t="shared" si="9"/>
        <v>99.333333333333329</v>
      </c>
      <c r="AA9" s="366">
        <f t="shared" si="6"/>
        <v>111890</v>
      </c>
      <c r="AB9" s="366">
        <f t="shared" si="6"/>
        <v>111400</v>
      </c>
      <c r="AC9" s="366">
        <f t="shared" si="6"/>
        <v>112800</v>
      </c>
      <c r="AD9" s="366">
        <f t="shared" si="6"/>
        <v>109596</v>
      </c>
      <c r="AE9" s="361">
        <f t="shared" ref="AE9:AF49" si="10">AC9/AA9*100</f>
        <v>100.81329877558316</v>
      </c>
      <c r="AF9" s="361">
        <f t="shared" si="10"/>
        <v>98.380610412926401</v>
      </c>
      <c r="AG9" s="367">
        <f t="shared" si="6"/>
        <v>20170</v>
      </c>
      <c r="AH9" s="367">
        <f t="shared" si="6"/>
        <v>19270</v>
      </c>
      <c r="AI9" s="367">
        <f t="shared" si="6"/>
        <v>19852</v>
      </c>
      <c r="AJ9" s="367">
        <f t="shared" si="6"/>
        <v>18720</v>
      </c>
      <c r="AK9" s="362">
        <f t="shared" ref="AK9:AL49" si="11">AI9/AG9*100</f>
        <v>98.423401090728802</v>
      </c>
      <c r="AL9" s="362">
        <f t="shared" si="11"/>
        <v>97.145822522054999</v>
      </c>
      <c r="AM9" s="366">
        <f t="shared" si="6"/>
        <v>13080</v>
      </c>
      <c r="AN9" s="366">
        <f t="shared" si="6"/>
        <v>12010</v>
      </c>
      <c r="AO9" s="366">
        <f t="shared" si="6"/>
        <v>14085</v>
      </c>
      <c r="AP9" s="366">
        <f t="shared" si="6"/>
        <v>12310</v>
      </c>
      <c r="AQ9" s="361">
        <f t="shared" ref="AQ9:AR48" si="12">AO9/AM9*100</f>
        <v>107.6834862385321</v>
      </c>
      <c r="AR9" s="361">
        <f t="shared" si="12"/>
        <v>102.49791840133223</v>
      </c>
      <c r="AS9" s="366">
        <f t="shared" si="6"/>
        <v>29880</v>
      </c>
      <c r="AT9" s="366">
        <f t="shared" si="6"/>
        <v>27920</v>
      </c>
      <c r="AU9" s="366">
        <f t="shared" si="6"/>
        <v>30150</v>
      </c>
      <c r="AV9" s="366">
        <f t="shared" si="6"/>
        <v>28578</v>
      </c>
      <c r="AW9" s="361">
        <f t="shared" ref="AW9:AX48" si="13">AU9/AS9*100</f>
        <v>100.90361445783131</v>
      </c>
      <c r="AX9" s="361">
        <f t="shared" si="13"/>
        <v>102.35673352435531</v>
      </c>
      <c r="AY9" s="366">
        <f t="shared" si="6"/>
        <v>9730</v>
      </c>
      <c r="AZ9" s="366">
        <f t="shared" si="6"/>
        <v>9160</v>
      </c>
      <c r="BA9" s="366">
        <f t="shared" si="6"/>
        <v>12028</v>
      </c>
      <c r="BB9" s="366">
        <f t="shared" si="6"/>
        <v>10945</v>
      </c>
      <c r="BC9" s="361">
        <f t="shared" ref="BC9:BD49" si="14">BA9/AY9*100</f>
        <v>123.61767728674205</v>
      </c>
      <c r="BD9" s="361">
        <f t="shared" si="14"/>
        <v>119.48689956331877</v>
      </c>
      <c r="BE9" s="366">
        <f t="shared" si="6"/>
        <v>283550</v>
      </c>
      <c r="BF9" s="366">
        <f t="shared" si="6"/>
        <v>235550</v>
      </c>
      <c r="BG9" s="366">
        <f t="shared" si="6"/>
        <v>288415</v>
      </c>
      <c r="BH9" s="366">
        <f t="shared" si="6"/>
        <v>242925</v>
      </c>
      <c r="BI9" s="361">
        <f t="shared" ref="BI9:BJ51" si="15">BG9/BE9*100</f>
        <v>101.7157467818727</v>
      </c>
      <c r="BJ9" s="361">
        <f t="shared" si="15"/>
        <v>103.13097007004883</v>
      </c>
      <c r="BK9" s="366"/>
      <c r="BL9" s="366"/>
      <c r="BM9" s="366"/>
    </row>
    <row r="10" spans="1:65" s="363" customFormat="1" ht="23.25" customHeight="1" x14ac:dyDescent="0.15">
      <c r="A10" s="364">
        <v>1</v>
      </c>
      <c r="B10" s="365" t="s">
        <v>560</v>
      </c>
      <c r="C10" s="690">
        <f t="shared" ref="C10:E10" si="16">SUM(C11:C14)</f>
        <v>72360</v>
      </c>
      <c r="D10" s="690">
        <f t="shared" si="16"/>
        <v>72360</v>
      </c>
      <c r="E10" s="366">
        <f t="shared" si="16"/>
        <v>88165</v>
      </c>
      <c r="F10" s="366">
        <f t="shared" ref="F10" si="17">SUM(F11:F13)</f>
        <v>88165</v>
      </c>
      <c r="G10" s="361">
        <f t="shared" ref="G10:G53" si="18">E10/C10*100</f>
        <v>121.84217799889441</v>
      </c>
      <c r="H10" s="361">
        <f t="shared" si="4"/>
        <v>121.84217799889441</v>
      </c>
      <c r="I10" s="366">
        <f t="shared" ref="I10:J10" si="19">SUM(I11:I13)</f>
        <v>600</v>
      </c>
      <c r="J10" s="366">
        <f t="shared" si="19"/>
        <v>0</v>
      </c>
      <c r="K10" s="366">
        <f>SUM(K11:K13)</f>
        <v>760</v>
      </c>
      <c r="L10" s="366">
        <f t="shared" ref="L10:BH10" si="20">SUM(L11:L13)</f>
        <v>400</v>
      </c>
      <c r="M10" s="361">
        <f t="shared" si="7"/>
        <v>126.66666666666666</v>
      </c>
      <c r="N10" s="361"/>
      <c r="O10" s="366">
        <f t="shared" si="20"/>
        <v>60</v>
      </c>
      <c r="P10" s="366">
        <f t="shared" si="20"/>
        <v>0</v>
      </c>
      <c r="Q10" s="366">
        <f t="shared" si="20"/>
        <v>66</v>
      </c>
      <c r="R10" s="366">
        <f t="shared" si="20"/>
        <v>0</v>
      </c>
      <c r="S10" s="361">
        <f t="shared" si="8"/>
        <v>110.00000000000001</v>
      </c>
      <c r="T10" s="361"/>
      <c r="U10" s="366">
        <f t="shared" si="20"/>
        <v>790</v>
      </c>
      <c r="V10" s="366">
        <f t="shared" si="20"/>
        <v>0</v>
      </c>
      <c r="W10" s="366">
        <f t="shared" si="20"/>
        <v>100</v>
      </c>
      <c r="X10" s="366">
        <f t="shared" si="20"/>
        <v>0</v>
      </c>
      <c r="Y10" s="361">
        <f t="shared" si="9"/>
        <v>12.658227848101266</v>
      </c>
      <c r="Z10" s="361"/>
      <c r="AA10" s="366">
        <f t="shared" si="20"/>
        <v>21290</v>
      </c>
      <c r="AB10" s="366">
        <f t="shared" si="20"/>
        <v>21160</v>
      </c>
      <c r="AC10" s="366">
        <f t="shared" si="20"/>
        <v>20340</v>
      </c>
      <c r="AD10" s="366">
        <f t="shared" si="20"/>
        <v>20240</v>
      </c>
      <c r="AE10" s="361">
        <f t="shared" si="10"/>
        <v>95.537811178957256</v>
      </c>
      <c r="AF10" s="361">
        <f t="shared" si="10"/>
        <v>95.652173913043484</v>
      </c>
      <c r="AG10" s="367">
        <f t="shared" si="20"/>
        <v>200</v>
      </c>
      <c r="AH10" s="367">
        <f t="shared" si="20"/>
        <v>0</v>
      </c>
      <c r="AI10" s="367">
        <f t="shared" si="20"/>
        <v>110</v>
      </c>
      <c r="AJ10" s="367">
        <f t="shared" si="20"/>
        <v>0</v>
      </c>
      <c r="AK10" s="362">
        <f t="shared" si="11"/>
        <v>55.000000000000007</v>
      </c>
      <c r="AL10" s="362"/>
      <c r="AM10" s="366">
        <f t="shared" si="20"/>
        <v>570</v>
      </c>
      <c r="AN10" s="366">
        <f t="shared" si="20"/>
        <v>0</v>
      </c>
      <c r="AO10" s="366">
        <f t="shared" si="20"/>
        <v>1419</v>
      </c>
      <c r="AP10" s="366">
        <f t="shared" si="20"/>
        <v>0</v>
      </c>
      <c r="AQ10" s="361">
        <f t="shared" si="12"/>
        <v>248.94736842105263</v>
      </c>
      <c r="AR10" s="361"/>
      <c r="AS10" s="366">
        <f t="shared" si="20"/>
        <v>1400</v>
      </c>
      <c r="AT10" s="366">
        <f t="shared" si="20"/>
        <v>1200</v>
      </c>
      <c r="AU10" s="366">
        <f t="shared" si="20"/>
        <v>1300</v>
      </c>
      <c r="AV10" s="366">
        <f t="shared" si="20"/>
        <v>1200</v>
      </c>
      <c r="AW10" s="361">
        <f t="shared" si="13"/>
        <v>92.857142857142861</v>
      </c>
      <c r="AX10" s="361">
        <f t="shared" si="13"/>
        <v>100</v>
      </c>
      <c r="AY10" s="366">
        <f t="shared" si="20"/>
        <v>70</v>
      </c>
      <c r="AZ10" s="366">
        <f t="shared" si="20"/>
        <v>0</v>
      </c>
      <c r="BA10" s="366">
        <f t="shared" si="20"/>
        <v>70</v>
      </c>
      <c r="BB10" s="366">
        <f t="shared" si="20"/>
        <v>0</v>
      </c>
      <c r="BC10" s="361">
        <f t="shared" si="14"/>
        <v>100</v>
      </c>
      <c r="BD10" s="361"/>
      <c r="BE10" s="366">
        <f t="shared" si="20"/>
        <v>47380</v>
      </c>
      <c r="BF10" s="366">
        <f t="shared" si="20"/>
        <v>50000</v>
      </c>
      <c r="BG10" s="366">
        <f t="shared" si="20"/>
        <v>64000</v>
      </c>
      <c r="BH10" s="366">
        <f t="shared" si="20"/>
        <v>66325</v>
      </c>
      <c r="BI10" s="361">
        <f t="shared" si="15"/>
        <v>135.07809202195017</v>
      </c>
      <c r="BJ10" s="361">
        <f t="shared" si="15"/>
        <v>132.65</v>
      </c>
      <c r="BK10" s="366"/>
      <c r="BL10" s="366"/>
      <c r="BM10" s="366"/>
    </row>
    <row r="11" spans="1:65" s="359" customFormat="1" ht="12" customHeight="1" x14ac:dyDescent="0.2">
      <c r="A11" s="369"/>
      <c r="B11" s="370" t="s">
        <v>561</v>
      </c>
      <c r="C11" s="691">
        <f t="shared" ref="C11:D13" si="21">I11+O11+U11+AA11+AG11+AM11+AS11+AY11+BE11</f>
        <v>1000</v>
      </c>
      <c r="D11" s="691">
        <f t="shared" si="21"/>
        <v>1000</v>
      </c>
      <c r="E11" s="371">
        <f>K11+Q11+W11+AC11+AI11+AO11+AU11+BA11+BG11+BL11</f>
        <v>1119</v>
      </c>
      <c r="F11" s="371">
        <f>L11+R11+X11+AD11+AJ11+AP11+AV11+BB11+BH11</f>
        <v>1119</v>
      </c>
      <c r="G11" s="692">
        <f t="shared" si="18"/>
        <v>111.9</v>
      </c>
      <c r="H11" s="692">
        <f t="shared" si="4"/>
        <v>111.9</v>
      </c>
      <c r="I11" s="692"/>
      <c r="J11" s="692"/>
      <c r="K11" s="372">
        <v>10</v>
      </c>
      <c r="L11" s="372"/>
      <c r="M11" s="692"/>
      <c r="N11" s="692"/>
      <c r="O11" s="692"/>
      <c r="P11" s="692"/>
      <c r="Q11" s="372">
        <v>0</v>
      </c>
      <c r="R11" s="372"/>
      <c r="S11" s="692"/>
      <c r="T11" s="692"/>
      <c r="U11" s="372"/>
      <c r="V11" s="372"/>
      <c r="W11" s="372">
        <v>0</v>
      </c>
      <c r="X11" s="372"/>
      <c r="Y11" s="692"/>
      <c r="Z11" s="692"/>
      <c r="AA11" s="372"/>
      <c r="AB11" s="372"/>
      <c r="AC11" s="372">
        <v>0</v>
      </c>
      <c r="AD11" s="372"/>
      <c r="AE11" s="692"/>
      <c r="AF11" s="692"/>
      <c r="AG11" s="372"/>
      <c r="AH11" s="372"/>
      <c r="AI11" s="373">
        <v>0</v>
      </c>
      <c r="AJ11" s="373"/>
      <c r="AK11" s="693"/>
      <c r="AL11" s="693"/>
      <c r="AM11" s="373"/>
      <c r="AN11" s="373"/>
      <c r="AO11" s="372">
        <v>109</v>
      </c>
      <c r="AP11" s="372"/>
      <c r="AQ11" s="692"/>
      <c r="AR11" s="692"/>
      <c r="AS11" s="372"/>
      <c r="AT11" s="372"/>
      <c r="AU11" s="372">
        <v>0</v>
      </c>
      <c r="AV11" s="372"/>
      <c r="AW11" s="692"/>
      <c r="AX11" s="692"/>
      <c r="AY11" s="372"/>
      <c r="AZ11" s="372"/>
      <c r="BA11" s="372">
        <v>0</v>
      </c>
      <c r="BB11" s="372"/>
      <c r="BC11" s="692"/>
      <c r="BD11" s="692"/>
      <c r="BE11" s="372">
        <v>1000</v>
      </c>
      <c r="BF11" s="372">
        <f t="shared" ref="BF11" si="22">C11</f>
        <v>1000</v>
      </c>
      <c r="BG11" s="372">
        <v>1000</v>
      </c>
      <c r="BH11" s="372">
        <f>E11</f>
        <v>1119</v>
      </c>
      <c r="BI11" s="692">
        <f t="shared" si="15"/>
        <v>100</v>
      </c>
      <c r="BJ11" s="692">
        <f t="shared" si="15"/>
        <v>111.9</v>
      </c>
      <c r="BK11" s="372"/>
      <c r="BL11" s="372"/>
      <c r="BM11" s="372"/>
    </row>
    <row r="12" spans="1:65" s="359" customFormat="1" ht="13.5" customHeight="1" x14ac:dyDescent="0.2">
      <c r="A12" s="369"/>
      <c r="B12" s="370" t="s">
        <v>562</v>
      </c>
      <c r="C12" s="691">
        <f t="shared" si="21"/>
        <v>22360</v>
      </c>
      <c r="D12" s="691">
        <f t="shared" si="21"/>
        <v>22360</v>
      </c>
      <c r="E12" s="371">
        <f>K12+Q12+W12+AC12+AI12+AO12+AU12+BA12+BG12+BL12</f>
        <v>21840</v>
      </c>
      <c r="F12" s="371">
        <f>L12+R12+X12+AD12+AJ12+AP12+AV12+BB12+BH12</f>
        <v>21840</v>
      </c>
      <c r="G12" s="692">
        <f t="shared" si="18"/>
        <v>97.674418604651152</v>
      </c>
      <c r="H12" s="692">
        <f t="shared" si="4"/>
        <v>97.674418604651152</v>
      </c>
      <c r="I12" s="692"/>
      <c r="J12" s="692"/>
      <c r="K12" s="372">
        <v>400</v>
      </c>
      <c r="L12" s="372">
        <f>K12</f>
        <v>400</v>
      </c>
      <c r="M12" s="692"/>
      <c r="N12" s="692"/>
      <c r="O12" s="692"/>
      <c r="P12" s="692"/>
      <c r="Q12" s="372">
        <v>0</v>
      </c>
      <c r="R12" s="372">
        <v>0</v>
      </c>
      <c r="S12" s="692"/>
      <c r="T12" s="692"/>
      <c r="U12" s="372"/>
      <c r="V12" s="372"/>
      <c r="W12" s="372">
        <v>0</v>
      </c>
      <c r="X12" s="372">
        <v>0</v>
      </c>
      <c r="Y12" s="692"/>
      <c r="Z12" s="692"/>
      <c r="AA12" s="372">
        <v>21160</v>
      </c>
      <c r="AB12" s="372">
        <f>AA12</f>
        <v>21160</v>
      </c>
      <c r="AC12" s="372">
        <v>20240</v>
      </c>
      <c r="AD12" s="372">
        <f>AC12</f>
        <v>20240</v>
      </c>
      <c r="AE12" s="692">
        <f t="shared" si="10"/>
        <v>95.652173913043484</v>
      </c>
      <c r="AF12" s="692">
        <f t="shared" si="10"/>
        <v>95.652173913043484</v>
      </c>
      <c r="AG12" s="372"/>
      <c r="AH12" s="372"/>
      <c r="AI12" s="373">
        <v>0</v>
      </c>
      <c r="AJ12" s="373">
        <v>0</v>
      </c>
      <c r="AK12" s="693"/>
      <c r="AL12" s="693"/>
      <c r="AM12" s="373"/>
      <c r="AN12" s="373"/>
      <c r="AO12" s="372">
        <v>0</v>
      </c>
      <c r="AP12" s="372">
        <v>0</v>
      </c>
      <c r="AQ12" s="692"/>
      <c r="AR12" s="692"/>
      <c r="AS12" s="372">
        <v>1200</v>
      </c>
      <c r="AT12" s="372">
        <v>1200</v>
      </c>
      <c r="AU12" s="372">
        <v>1200</v>
      </c>
      <c r="AV12" s="372">
        <f>AU12</f>
        <v>1200</v>
      </c>
      <c r="AW12" s="692">
        <f t="shared" si="13"/>
        <v>100</v>
      </c>
      <c r="AX12" s="692">
        <f t="shared" si="13"/>
        <v>100</v>
      </c>
      <c r="AY12" s="372"/>
      <c r="AZ12" s="372"/>
      <c r="BA12" s="372">
        <v>0</v>
      </c>
      <c r="BB12" s="372">
        <v>0</v>
      </c>
      <c r="BC12" s="692"/>
      <c r="BD12" s="692"/>
      <c r="BE12" s="372"/>
      <c r="BF12" s="372"/>
      <c r="BG12" s="372">
        <v>0</v>
      </c>
      <c r="BH12" s="372"/>
      <c r="BI12" s="692"/>
      <c r="BJ12" s="692"/>
      <c r="BK12" s="372"/>
      <c r="BL12" s="372"/>
      <c r="BM12" s="372"/>
    </row>
    <row r="13" spans="1:65" s="359" customFormat="1" ht="13.5" customHeight="1" x14ac:dyDescent="0.2">
      <c r="A13" s="369"/>
      <c r="B13" s="370" t="s">
        <v>563</v>
      </c>
      <c r="C13" s="691">
        <f t="shared" si="21"/>
        <v>49000</v>
      </c>
      <c r="D13" s="691">
        <f t="shared" si="21"/>
        <v>49000</v>
      </c>
      <c r="E13" s="371">
        <f>K13+Q13+W13+AC13+AI13+AO13+AU13+BA13+BG13+BL13</f>
        <v>65206</v>
      </c>
      <c r="F13" s="371">
        <f>L13+R13+X13+AD13+AJ13+AP13+AV13+BB13+BH13</f>
        <v>65206</v>
      </c>
      <c r="G13" s="692">
        <f t="shared" si="18"/>
        <v>133.0734693877551</v>
      </c>
      <c r="H13" s="692">
        <f t="shared" si="4"/>
        <v>133.0734693877551</v>
      </c>
      <c r="I13" s="692">
        <v>600</v>
      </c>
      <c r="J13" s="692"/>
      <c r="K13" s="372">
        <v>350</v>
      </c>
      <c r="L13" s="372"/>
      <c r="M13" s="692">
        <f t="shared" si="7"/>
        <v>58.333333333333336</v>
      </c>
      <c r="N13" s="692"/>
      <c r="O13" s="692">
        <v>60</v>
      </c>
      <c r="P13" s="692"/>
      <c r="Q13" s="372">
        <v>66</v>
      </c>
      <c r="R13" s="372"/>
      <c r="S13" s="692">
        <f t="shared" si="8"/>
        <v>110.00000000000001</v>
      </c>
      <c r="T13" s="692"/>
      <c r="U13" s="372">
        <v>790</v>
      </c>
      <c r="V13" s="372"/>
      <c r="W13" s="372">
        <v>100</v>
      </c>
      <c r="X13" s="372"/>
      <c r="Y13" s="692">
        <f t="shared" si="9"/>
        <v>12.658227848101266</v>
      </c>
      <c r="Z13" s="692"/>
      <c r="AA13" s="372">
        <v>130</v>
      </c>
      <c r="AB13" s="372"/>
      <c r="AC13" s="372">
        <v>100</v>
      </c>
      <c r="AD13" s="372"/>
      <c r="AE13" s="692">
        <f t="shared" si="10"/>
        <v>76.923076923076934</v>
      </c>
      <c r="AF13" s="692"/>
      <c r="AG13" s="372">
        <v>200</v>
      </c>
      <c r="AH13" s="372"/>
      <c r="AI13" s="373">
        <v>110</v>
      </c>
      <c r="AJ13" s="373"/>
      <c r="AK13" s="693">
        <f t="shared" si="11"/>
        <v>55.000000000000007</v>
      </c>
      <c r="AL13" s="693"/>
      <c r="AM13" s="373">
        <v>570</v>
      </c>
      <c r="AN13" s="373"/>
      <c r="AO13" s="372">
        <v>1310</v>
      </c>
      <c r="AP13" s="372"/>
      <c r="AQ13" s="692">
        <f>AO13/AM13*100</f>
        <v>229.82456140350877</v>
      </c>
      <c r="AR13" s="692"/>
      <c r="AS13" s="372">
        <v>200</v>
      </c>
      <c r="AT13" s="372"/>
      <c r="AU13" s="372">
        <v>100</v>
      </c>
      <c r="AV13" s="372"/>
      <c r="AW13" s="692">
        <f t="shared" si="13"/>
        <v>50</v>
      </c>
      <c r="AX13" s="692"/>
      <c r="AY13" s="372">
        <v>70</v>
      </c>
      <c r="AZ13" s="372"/>
      <c r="BA13" s="372">
        <v>70</v>
      </c>
      <c r="BB13" s="372"/>
      <c r="BC13" s="692">
        <f t="shared" si="14"/>
        <v>100</v>
      </c>
      <c r="BD13" s="692"/>
      <c r="BE13" s="372">
        <v>46380</v>
      </c>
      <c r="BF13" s="372">
        <f>C13</f>
        <v>49000</v>
      </c>
      <c r="BG13" s="372">
        <v>63000</v>
      </c>
      <c r="BH13" s="372">
        <f>E13</f>
        <v>65206</v>
      </c>
      <c r="BI13" s="692">
        <f t="shared" si="15"/>
        <v>135.83441138421733</v>
      </c>
      <c r="BJ13" s="692">
        <f t="shared" si="15"/>
        <v>133.0734693877551</v>
      </c>
      <c r="BK13" s="372"/>
      <c r="BL13" s="372"/>
      <c r="BM13" s="372"/>
    </row>
    <row r="14" spans="1:65" s="359" customFormat="1" ht="13.5" customHeight="1" x14ac:dyDescent="0.2">
      <c r="A14" s="369"/>
      <c r="B14" s="370" t="s">
        <v>564</v>
      </c>
      <c r="C14" s="691"/>
      <c r="D14" s="691"/>
      <c r="E14" s="371">
        <f>K14+Q14+W14+AC14+AI14+AO14+AU14+BA14+BG14+BL14</f>
        <v>0</v>
      </c>
      <c r="F14" s="371">
        <f>L14+R14+X14+AD14+AJ14+AP14+AV14+BB14+BH14</f>
        <v>0</v>
      </c>
      <c r="G14" s="692"/>
      <c r="H14" s="692"/>
      <c r="I14" s="692"/>
      <c r="J14" s="692"/>
      <c r="K14" s="372"/>
      <c r="L14" s="372"/>
      <c r="M14" s="692"/>
      <c r="N14" s="692"/>
      <c r="O14" s="692"/>
      <c r="P14" s="692"/>
      <c r="Q14" s="372"/>
      <c r="R14" s="372"/>
      <c r="S14" s="692"/>
      <c r="T14" s="692"/>
      <c r="U14" s="372"/>
      <c r="V14" s="372"/>
      <c r="W14" s="372"/>
      <c r="X14" s="372"/>
      <c r="Y14" s="692"/>
      <c r="Z14" s="692"/>
      <c r="AA14" s="372"/>
      <c r="AB14" s="372"/>
      <c r="AC14" s="372"/>
      <c r="AD14" s="372"/>
      <c r="AE14" s="692"/>
      <c r="AF14" s="692"/>
      <c r="AG14" s="372"/>
      <c r="AH14" s="372"/>
      <c r="AI14" s="373"/>
      <c r="AJ14" s="373"/>
      <c r="AK14" s="693"/>
      <c r="AL14" s="693"/>
      <c r="AM14" s="373"/>
      <c r="AN14" s="373"/>
      <c r="AO14" s="372"/>
      <c r="AP14" s="372"/>
      <c r="AQ14" s="692"/>
      <c r="AR14" s="692"/>
      <c r="AS14" s="372"/>
      <c r="AT14" s="372"/>
      <c r="AU14" s="372"/>
      <c r="AV14" s="372"/>
      <c r="AW14" s="692"/>
      <c r="AX14" s="692"/>
      <c r="AY14" s="372"/>
      <c r="AZ14" s="372"/>
      <c r="BA14" s="372"/>
      <c r="BB14" s="372"/>
      <c r="BC14" s="692"/>
      <c r="BD14" s="692"/>
      <c r="BE14" s="372"/>
      <c r="BF14" s="372"/>
      <c r="BG14" s="372"/>
      <c r="BH14" s="372"/>
      <c r="BI14" s="692"/>
      <c r="BJ14" s="692"/>
      <c r="BK14" s="372"/>
      <c r="BL14" s="372"/>
      <c r="BM14" s="372"/>
    </row>
    <row r="15" spans="1:65" s="363" customFormat="1" ht="24" customHeight="1" x14ac:dyDescent="0.15">
      <c r="A15" s="364">
        <v>2</v>
      </c>
      <c r="B15" s="365" t="s">
        <v>565</v>
      </c>
      <c r="C15" s="690">
        <f t="shared" ref="C15:F15" si="23">SUM(C16:C18)</f>
        <v>7520</v>
      </c>
      <c r="D15" s="690">
        <f t="shared" si="23"/>
        <v>7520</v>
      </c>
      <c r="E15" s="366">
        <f t="shared" si="23"/>
        <v>6817</v>
      </c>
      <c r="F15" s="366">
        <f t="shared" si="23"/>
        <v>6817</v>
      </c>
      <c r="G15" s="361">
        <f t="shared" si="18"/>
        <v>90.651595744680847</v>
      </c>
      <c r="H15" s="361">
        <f t="shared" si="4"/>
        <v>90.651595744680847</v>
      </c>
      <c r="I15" s="366">
        <f t="shared" ref="I15:J15" si="24">SUM(I16:I18)</f>
        <v>640</v>
      </c>
      <c r="J15" s="366">
        <f t="shared" si="24"/>
        <v>640</v>
      </c>
      <c r="K15" s="366">
        <f>SUM(K16:K18)</f>
        <v>400</v>
      </c>
      <c r="L15" s="366">
        <f t="shared" ref="L15:BH15" si="25">SUM(L16:L18)</f>
        <v>400</v>
      </c>
      <c r="M15" s="361">
        <f t="shared" si="7"/>
        <v>62.5</v>
      </c>
      <c r="N15" s="361">
        <f t="shared" si="7"/>
        <v>62.5</v>
      </c>
      <c r="O15" s="366">
        <f t="shared" si="25"/>
        <v>15</v>
      </c>
      <c r="P15" s="366">
        <f t="shared" si="25"/>
        <v>15</v>
      </c>
      <c r="Q15" s="366">
        <f t="shared" si="25"/>
        <v>15</v>
      </c>
      <c r="R15" s="366">
        <f t="shared" si="25"/>
        <v>15</v>
      </c>
      <c r="S15" s="361">
        <f t="shared" si="8"/>
        <v>100</v>
      </c>
      <c r="T15" s="361">
        <f t="shared" si="8"/>
        <v>100</v>
      </c>
      <c r="U15" s="366"/>
      <c r="V15" s="366"/>
      <c r="W15" s="366">
        <f t="shared" si="25"/>
        <v>15</v>
      </c>
      <c r="X15" s="366">
        <f t="shared" si="25"/>
        <v>15</v>
      </c>
      <c r="Y15" s="361"/>
      <c r="Z15" s="361"/>
      <c r="AA15" s="366">
        <f t="shared" si="25"/>
        <v>40</v>
      </c>
      <c r="AB15" s="366">
        <f t="shared" si="25"/>
        <v>40</v>
      </c>
      <c r="AC15" s="366">
        <f t="shared" si="25"/>
        <v>100</v>
      </c>
      <c r="AD15" s="366">
        <f t="shared" si="25"/>
        <v>100</v>
      </c>
      <c r="AE15" s="361">
        <f t="shared" si="10"/>
        <v>250</v>
      </c>
      <c r="AF15" s="361">
        <f t="shared" si="10"/>
        <v>250</v>
      </c>
      <c r="AG15" s="367">
        <f t="shared" si="25"/>
        <v>100</v>
      </c>
      <c r="AH15" s="367">
        <f t="shared" si="25"/>
        <v>100</v>
      </c>
      <c r="AI15" s="367">
        <f t="shared" si="25"/>
        <v>230</v>
      </c>
      <c r="AJ15" s="367">
        <f t="shared" si="25"/>
        <v>230</v>
      </c>
      <c r="AK15" s="362">
        <f t="shared" si="11"/>
        <v>229.99999999999997</v>
      </c>
      <c r="AL15" s="362">
        <f t="shared" si="11"/>
        <v>229.99999999999997</v>
      </c>
      <c r="AM15" s="366">
        <f t="shared" si="25"/>
        <v>10</v>
      </c>
      <c r="AN15" s="366">
        <f t="shared" si="25"/>
        <v>10</v>
      </c>
      <c r="AO15" s="366">
        <f t="shared" si="25"/>
        <v>32</v>
      </c>
      <c r="AP15" s="366">
        <f t="shared" si="25"/>
        <v>32</v>
      </c>
      <c r="AQ15" s="361">
        <f t="shared" si="12"/>
        <v>320</v>
      </c>
      <c r="AR15" s="361">
        <f t="shared" si="12"/>
        <v>320</v>
      </c>
      <c r="AS15" s="366">
        <f t="shared" si="25"/>
        <v>160</v>
      </c>
      <c r="AT15" s="366">
        <f t="shared" si="25"/>
        <v>160</v>
      </c>
      <c r="AU15" s="366">
        <f t="shared" si="25"/>
        <v>160</v>
      </c>
      <c r="AV15" s="366">
        <f t="shared" si="25"/>
        <v>160</v>
      </c>
      <c r="AW15" s="361">
        <f t="shared" si="13"/>
        <v>100</v>
      </c>
      <c r="AX15" s="361">
        <f t="shared" si="13"/>
        <v>100</v>
      </c>
      <c r="AY15" s="366"/>
      <c r="AZ15" s="366"/>
      <c r="BA15" s="366">
        <f t="shared" si="25"/>
        <v>0</v>
      </c>
      <c r="BB15" s="366">
        <f t="shared" si="25"/>
        <v>0</v>
      </c>
      <c r="BC15" s="361"/>
      <c r="BD15" s="361"/>
      <c r="BE15" s="366">
        <f t="shared" si="25"/>
        <v>6555</v>
      </c>
      <c r="BF15" s="366">
        <f t="shared" si="25"/>
        <v>6555</v>
      </c>
      <c r="BG15" s="366">
        <f t="shared" si="25"/>
        <v>5865</v>
      </c>
      <c r="BH15" s="366">
        <f t="shared" si="25"/>
        <v>5865</v>
      </c>
      <c r="BI15" s="361">
        <f t="shared" si="15"/>
        <v>89.473684210526315</v>
      </c>
      <c r="BJ15" s="361">
        <f t="shared" si="15"/>
        <v>89.473684210526315</v>
      </c>
      <c r="BK15" s="366"/>
      <c r="BL15" s="366"/>
      <c r="BM15" s="366"/>
    </row>
    <row r="16" spans="1:65" s="359" customFormat="1" ht="12.75" customHeight="1" x14ac:dyDescent="0.2">
      <c r="A16" s="369"/>
      <c r="B16" s="370" t="s">
        <v>561</v>
      </c>
      <c r="C16" s="691">
        <f>I16+O16+U16+AA16+AG16+AM16+AS16+AY16+BE16</f>
        <v>1750</v>
      </c>
      <c r="D16" s="691">
        <f>J16+P16+V16+AB16+AH16+AN16+AT16+AZ16+BF16</f>
        <v>1750</v>
      </c>
      <c r="E16" s="371">
        <f>K16+Q16+W16+AC16+AI16+AO16+AU16+BA16+BG16+BL16</f>
        <v>1596</v>
      </c>
      <c r="F16" s="371">
        <f>L16+R16+X16+AD16+AJ16+AP16+AV16+BB16+BH16</f>
        <v>1596</v>
      </c>
      <c r="G16" s="692">
        <f t="shared" si="18"/>
        <v>91.2</v>
      </c>
      <c r="H16" s="692">
        <f t="shared" si="4"/>
        <v>91.2</v>
      </c>
      <c r="I16" s="692">
        <v>320</v>
      </c>
      <c r="J16" s="692">
        <f>I16</f>
        <v>320</v>
      </c>
      <c r="K16" s="372">
        <v>150</v>
      </c>
      <c r="L16" s="372">
        <f>K16</f>
        <v>150</v>
      </c>
      <c r="M16" s="692">
        <f t="shared" si="7"/>
        <v>46.875</v>
      </c>
      <c r="N16" s="692">
        <f t="shared" si="7"/>
        <v>46.875</v>
      </c>
      <c r="O16" s="692"/>
      <c r="P16" s="692"/>
      <c r="Q16" s="372">
        <v>0</v>
      </c>
      <c r="R16" s="372">
        <v>0</v>
      </c>
      <c r="S16" s="692"/>
      <c r="T16" s="692"/>
      <c r="U16" s="372"/>
      <c r="V16" s="372"/>
      <c r="W16" s="372">
        <v>0</v>
      </c>
      <c r="X16" s="372">
        <v>0</v>
      </c>
      <c r="Y16" s="692"/>
      <c r="Z16" s="692"/>
      <c r="AA16" s="372">
        <v>10</v>
      </c>
      <c r="AB16" s="372">
        <f>AA16</f>
        <v>10</v>
      </c>
      <c r="AC16" s="372">
        <v>40</v>
      </c>
      <c r="AD16" s="372">
        <f>AC16</f>
        <v>40</v>
      </c>
      <c r="AE16" s="692">
        <f t="shared" si="10"/>
        <v>400</v>
      </c>
      <c r="AF16" s="692">
        <f t="shared" si="10"/>
        <v>400</v>
      </c>
      <c r="AG16" s="372">
        <v>50</v>
      </c>
      <c r="AH16" s="372">
        <f>AG16</f>
        <v>50</v>
      </c>
      <c r="AI16" s="373">
        <v>170</v>
      </c>
      <c r="AJ16" s="373">
        <f>AI16</f>
        <v>170</v>
      </c>
      <c r="AK16" s="693">
        <f t="shared" si="11"/>
        <v>340</v>
      </c>
      <c r="AL16" s="693">
        <f t="shared" si="11"/>
        <v>340</v>
      </c>
      <c r="AM16" s="373"/>
      <c r="AN16" s="373"/>
      <c r="AO16" s="372">
        <v>6</v>
      </c>
      <c r="AP16" s="372">
        <f>AO16</f>
        <v>6</v>
      </c>
      <c r="AQ16" s="692"/>
      <c r="AR16" s="692"/>
      <c r="AS16" s="372"/>
      <c r="AT16" s="372"/>
      <c r="AU16" s="372">
        <v>30</v>
      </c>
      <c r="AV16" s="372">
        <f>AU16</f>
        <v>30</v>
      </c>
      <c r="AW16" s="692"/>
      <c r="AX16" s="692"/>
      <c r="AY16" s="372"/>
      <c r="AZ16" s="372"/>
      <c r="BA16" s="372">
        <v>0</v>
      </c>
      <c r="BB16" s="372">
        <v>0</v>
      </c>
      <c r="BC16" s="692"/>
      <c r="BD16" s="692"/>
      <c r="BE16" s="372">
        <v>1370</v>
      </c>
      <c r="BF16" s="372">
        <f>BE16</f>
        <v>1370</v>
      </c>
      <c r="BG16" s="372">
        <v>1200</v>
      </c>
      <c r="BH16" s="372">
        <f>BG16</f>
        <v>1200</v>
      </c>
      <c r="BI16" s="692">
        <f t="shared" si="15"/>
        <v>87.591240875912419</v>
      </c>
      <c r="BJ16" s="692">
        <f t="shared" si="15"/>
        <v>87.591240875912419</v>
      </c>
      <c r="BK16" s="372"/>
      <c r="BL16" s="372"/>
      <c r="BM16" s="372"/>
    </row>
    <row r="17" spans="1:65" s="359" customFormat="1" ht="12.75" customHeight="1" x14ac:dyDescent="0.2">
      <c r="A17" s="369"/>
      <c r="B17" s="370" t="s">
        <v>562</v>
      </c>
      <c r="C17" s="691">
        <f t="shared" ref="C17:D18" si="26">I17+O17+U17+AA17+AG17+AM17+AS17+AY17+BE17</f>
        <v>170</v>
      </c>
      <c r="D17" s="691">
        <f t="shared" si="26"/>
        <v>170</v>
      </c>
      <c r="E17" s="371">
        <f>K17+Q17+W17+AC17+AI17+AO17+AU17+BA17+BG17+BL17</f>
        <v>200</v>
      </c>
      <c r="F17" s="371">
        <f>L17+R17+X17+AD17+AJ17+AP17+AV17+BB17+BH17</f>
        <v>200</v>
      </c>
      <c r="G17" s="692">
        <f t="shared" si="18"/>
        <v>117.64705882352942</v>
      </c>
      <c r="H17" s="692">
        <f t="shared" si="4"/>
        <v>117.64705882352942</v>
      </c>
      <c r="I17" s="692">
        <v>100</v>
      </c>
      <c r="J17" s="692">
        <f t="shared" ref="J17:J18" si="27">I17</f>
        <v>100</v>
      </c>
      <c r="K17" s="372">
        <v>100</v>
      </c>
      <c r="L17" s="372">
        <f>K17</f>
        <v>100</v>
      </c>
      <c r="M17" s="692">
        <f t="shared" si="7"/>
        <v>100</v>
      </c>
      <c r="N17" s="692">
        <f t="shared" si="7"/>
        <v>100</v>
      </c>
      <c r="O17" s="692">
        <v>15</v>
      </c>
      <c r="P17" s="692">
        <f>O17</f>
        <v>15</v>
      </c>
      <c r="Q17" s="372">
        <v>10</v>
      </c>
      <c r="R17" s="372">
        <f>Q17</f>
        <v>10</v>
      </c>
      <c r="S17" s="692">
        <f t="shared" si="8"/>
        <v>66.666666666666657</v>
      </c>
      <c r="T17" s="692">
        <f t="shared" si="8"/>
        <v>66.666666666666657</v>
      </c>
      <c r="U17" s="372"/>
      <c r="V17" s="372"/>
      <c r="W17" s="372">
        <v>15</v>
      </c>
      <c r="X17" s="372">
        <f>W17</f>
        <v>15</v>
      </c>
      <c r="Y17" s="692"/>
      <c r="Z17" s="692"/>
      <c r="AA17" s="372">
        <v>15</v>
      </c>
      <c r="AB17" s="372">
        <f t="shared" ref="AB17:AB18" si="28">AA17</f>
        <v>15</v>
      </c>
      <c r="AC17" s="372">
        <v>20</v>
      </c>
      <c r="AD17" s="372">
        <f t="shared" ref="AD17:AD18" si="29">AC17</f>
        <v>20</v>
      </c>
      <c r="AE17" s="692">
        <f t="shared" si="10"/>
        <v>133.33333333333331</v>
      </c>
      <c r="AF17" s="692">
        <f t="shared" si="10"/>
        <v>133.33333333333331</v>
      </c>
      <c r="AG17" s="372"/>
      <c r="AH17" s="372"/>
      <c r="AI17" s="373">
        <v>0</v>
      </c>
      <c r="AJ17" s="373">
        <v>0</v>
      </c>
      <c r="AK17" s="693"/>
      <c r="AL17" s="693"/>
      <c r="AM17" s="373">
        <v>10</v>
      </c>
      <c r="AN17" s="373">
        <f>AM17</f>
        <v>10</v>
      </c>
      <c r="AO17" s="372">
        <v>25</v>
      </c>
      <c r="AP17" s="372">
        <f>AO17</f>
        <v>25</v>
      </c>
      <c r="AQ17" s="692">
        <f t="shared" si="12"/>
        <v>250</v>
      </c>
      <c r="AR17" s="692">
        <f t="shared" si="12"/>
        <v>250</v>
      </c>
      <c r="AS17" s="372">
        <v>30</v>
      </c>
      <c r="AT17" s="372">
        <f>AS17</f>
        <v>30</v>
      </c>
      <c r="AU17" s="372">
        <v>30</v>
      </c>
      <c r="AV17" s="372">
        <f t="shared" ref="AV17:AV18" si="30">AU17</f>
        <v>30</v>
      </c>
      <c r="AW17" s="692">
        <f t="shared" si="13"/>
        <v>100</v>
      </c>
      <c r="AX17" s="692">
        <f t="shared" si="13"/>
        <v>100</v>
      </c>
      <c r="AY17" s="372"/>
      <c r="AZ17" s="372"/>
      <c r="BA17" s="372">
        <v>0</v>
      </c>
      <c r="BB17" s="372">
        <v>0</v>
      </c>
      <c r="BC17" s="692"/>
      <c r="BD17" s="692"/>
      <c r="BE17" s="372"/>
      <c r="BF17" s="372"/>
      <c r="BG17" s="372">
        <v>0</v>
      </c>
      <c r="BH17" s="372">
        <f t="shared" ref="BH17:BH18" si="31">BG17</f>
        <v>0</v>
      </c>
      <c r="BI17" s="692"/>
      <c r="BJ17" s="692"/>
      <c r="BK17" s="372"/>
      <c r="BL17" s="372"/>
      <c r="BM17" s="372"/>
    </row>
    <row r="18" spans="1:65" s="359" customFormat="1" ht="12.75" customHeight="1" x14ac:dyDescent="0.2">
      <c r="A18" s="369"/>
      <c r="B18" s="370" t="s">
        <v>563</v>
      </c>
      <c r="C18" s="691">
        <f t="shared" si="26"/>
        <v>5600</v>
      </c>
      <c r="D18" s="691">
        <f t="shared" si="26"/>
        <v>5600</v>
      </c>
      <c r="E18" s="371">
        <f>K18+Q18+W18+AC18+AI18+AO18+AU18+BA18+BG18+BL18</f>
        <v>5021</v>
      </c>
      <c r="F18" s="371">
        <f>L18+R18+X18+AD18+AJ18+AP18+AV18+BB18+BH18</f>
        <v>5021</v>
      </c>
      <c r="G18" s="692">
        <f t="shared" si="18"/>
        <v>89.660714285714278</v>
      </c>
      <c r="H18" s="692">
        <f t="shared" si="4"/>
        <v>89.660714285714278</v>
      </c>
      <c r="I18" s="692">
        <v>220</v>
      </c>
      <c r="J18" s="692">
        <f t="shared" si="27"/>
        <v>220</v>
      </c>
      <c r="K18" s="372">
        <v>150</v>
      </c>
      <c r="L18" s="372">
        <f>K18</f>
        <v>150</v>
      </c>
      <c r="M18" s="692">
        <f t="shared" si="7"/>
        <v>68.181818181818173</v>
      </c>
      <c r="N18" s="692">
        <f t="shared" si="7"/>
        <v>68.181818181818173</v>
      </c>
      <c r="O18" s="692"/>
      <c r="P18" s="692"/>
      <c r="Q18" s="372">
        <v>5</v>
      </c>
      <c r="R18" s="372">
        <f>Q18</f>
        <v>5</v>
      </c>
      <c r="S18" s="692"/>
      <c r="T18" s="692"/>
      <c r="U18" s="372"/>
      <c r="V18" s="372"/>
      <c r="W18" s="372">
        <v>0</v>
      </c>
      <c r="X18" s="372">
        <v>0</v>
      </c>
      <c r="Y18" s="692"/>
      <c r="Z18" s="692"/>
      <c r="AA18" s="372">
        <v>15</v>
      </c>
      <c r="AB18" s="372">
        <f t="shared" si="28"/>
        <v>15</v>
      </c>
      <c r="AC18" s="372">
        <v>40</v>
      </c>
      <c r="AD18" s="372">
        <f t="shared" si="29"/>
        <v>40</v>
      </c>
      <c r="AE18" s="692">
        <f t="shared" si="10"/>
        <v>266.66666666666663</v>
      </c>
      <c r="AF18" s="692">
        <f t="shared" si="10"/>
        <v>266.66666666666663</v>
      </c>
      <c r="AG18" s="372">
        <v>50</v>
      </c>
      <c r="AH18" s="372">
        <f t="shared" ref="AH18" si="32">AG18</f>
        <v>50</v>
      </c>
      <c r="AI18" s="373">
        <v>60</v>
      </c>
      <c r="AJ18" s="373">
        <f>AI18</f>
        <v>60</v>
      </c>
      <c r="AK18" s="693">
        <f t="shared" si="11"/>
        <v>120</v>
      </c>
      <c r="AL18" s="693">
        <f t="shared" si="11"/>
        <v>120</v>
      </c>
      <c r="AM18" s="373"/>
      <c r="AN18" s="373"/>
      <c r="AO18" s="372">
        <v>1</v>
      </c>
      <c r="AP18" s="372">
        <f>AO18</f>
        <v>1</v>
      </c>
      <c r="AQ18" s="692"/>
      <c r="AR18" s="692"/>
      <c r="AS18" s="372">
        <v>130</v>
      </c>
      <c r="AT18" s="372">
        <f>AS18</f>
        <v>130</v>
      </c>
      <c r="AU18" s="372">
        <v>100</v>
      </c>
      <c r="AV18" s="372">
        <f t="shared" si="30"/>
        <v>100</v>
      </c>
      <c r="AW18" s="692">
        <f t="shared" si="13"/>
        <v>76.923076923076934</v>
      </c>
      <c r="AX18" s="692">
        <f t="shared" si="13"/>
        <v>76.923076923076934</v>
      </c>
      <c r="AY18" s="372"/>
      <c r="AZ18" s="372"/>
      <c r="BA18" s="372">
        <v>0</v>
      </c>
      <c r="BB18" s="372">
        <v>0</v>
      </c>
      <c r="BC18" s="692"/>
      <c r="BD18" s="692"/>
      <c r="BE18" s="372">
        <v>5185</v>
      </c>
      <c r="BF18" s="372">
        <f t="shared" ref="BF18" si="33">BE18</f>
        <v>5185</v>
      </c>
      <c r="BG18" s="372">
        <v>4665</v>
      </c>
      <c r="BH18" s="372">
        <f t="shared" si="31"/>
        <v>4665</v>
      </c>
      <c r="BI18" s="692">
        <f t="shared" si="15"/>
        <v>89.971070395371271</v>
      </c>
      <c r="BJ18" s="692">
        <f t="shared" si="15"/>
        <v>89.971070395371271</v>
      </c>
      <c r="BK18" s="372"/>
      <c r="BL18" s="372"/>
      <c r="BM18" s="372"/>
    </row>
    <row r="19" spans="1:65" s="359" customFormat="1" ht="12.75" customHeight="1" x14ac:dyDescent="0.2">
      <c r="A19" s="369"/>
      <c r="B19" s="370" t="s">
        <v>566</v>
      </c>
      <c r="C19" s="691"/>
      <c r="D19" s="691"/>
      <c r="E19" s="371">
        <f>K19+Q19+W19+AC19+AI19+AO19+AU19+BA19+BG19+BL19</f>
        <v>0</v>
      </c>
      <c r="F19" s="371">
        <f>L19+R19+X19+AD19+AJ19+AP19+AV19+BB19+BH19</f>
        <v>0</v>
      </c>
      <c r="G19" s="692"/>
      <c r="H19" s="692"/>
      <c r="I19" s="692"/>
      <c r="J19" s="692"/>
      <c r="K19" s="372"/>
      <c r="L19" s="372"/>
      <c r="M19" s="692"/>
      <c r="N19" s="692"/>
      <c r="O19" s="692"/>
      <c r="P19" s="692"/>
      <c r="Q19" s="372"/>
      <c r="R19" s="372"/>
      <c r="S19" s="692"/>
      <c r="T19" s="692"/>
      <c r="U19" s="372"/>
      <c r="V19" s="372"/>
      <c r="W19" s="372"/>
      <c r="X19" s="372"/>
      <c r="Y19" s="692"/>
      <c r="Z19" s="692"/>
      <c r="AA19" s="372"/>
      <c r="AB19" s="372"/>
      <c r="AC19" s="372"/>
      <c r="AD19" s="372"/>
      <c r="AE19" s="692"/>
      <c r="AF19" s="692"/>
      <c r="AG19" s="372"/>
      <c r="AH19" s="372"/>
      <c r="AI19" s="373"/>
      <c r="AJ19" s="373"/>
      <c r="AK19" s="693"/>
      <c r="AL19" s="693"/>
      <c r="AM19" s="373"/>
      <c r="AN19" s="373"/>
      <c r="AO19" s="372"/>
      <c r="AP19" s="372"/>
      <c r="AQ19" s="692"/>
      <c r="AR19" s="692"/>
      <c r="AS19" s="372"/>
      <c r="AT19" s="372"/>
      <c r="AU19" s="372"/>
      <c r="AV19" s="372"/>
      <c r="AW19" s="692"/>
      <c r="AX19" s="692"/>
      <c r="AY19" s="372"/>
      <c r="AZ19" s="372"/>
      <c r="BA19" s="372"/>
      <c r="BB19" s="372"/>
      <c r="BC19" s="692"/>
      <c r="BD19" s="692"/>
      <c r="BE19" s="372"/>
      <c r="BF19" s="372"/>
      <c r="BG19" s="372"/>
      <c r="BH19" s="372"/>
      <c r="BI19" s="692"/>
      <c r="BJ19" s="692"/>
      <c r="BK19" s="372"/>
      <c r="BL19" s="372"/>
      <c r="BM19" s="372"/>
    </row>
    <row r="20" spans="1:65" s="359" customFormat="1" ht="12.75" customHeight="1" x14ac:dyDescent="0.2">
      <c r="A20" s="369"/>
      <c r="B20" s="370" t="s">
        <v>564</v>
      </c>
      <c r="C20" s="691"/>
      <c r="D20" s="691"/>
      <c r="E20" s="371">
        <f>K20+Q20+W20+AC20+AI20+AO20+AU20+BA20+BG20+BL20</f>
        <v>0</v>
      </c>
      <c r="F20" s="371">
        <f>L20+R20+X20+AD20+AJ20+AP20+AV20+BB20+BH20</f>
        <v>0</v>
      </c>
      <c r="G20" s="692"/>
      <c r="H20" s="692"/>
      <c r="I20" s="692"/>
      <c r="J20" s="692"/>
      <c r="K20" s="372"/>
      <c r="L20" s="372"/>
      <c r="M20" s="692"/>
      <c r="N20" s="692"/>
      <c r="O20" s="692"/>
      <c r="P20" s="692"/>
      <c r="Q20" s="372"/>
      <c r="R20" s="372"/>
      <c r="S20" s="692"/>
      <c r="T20" s="692"/>
      <c r="U20" s="372"/>
      <c r="V20" s="372"/>
      <c r="W20" s="372"/>
      <c r="X20" s="372"/>
      <c r="Y20" s="692"/>
      <c r="Z20" s="692"/>
      <c r="AA20" s="372"/>
      <c r="AB20" s="372"/>
      <c r="AC20" s="372"/>
      <c r="AD20" s="372"/>
      <c r="AE20" s="692"/>
      <c r="AF20" s="692"/>
      <c r="AG20" s="372"/>
      <c r="AH20" s="372"/>
      <c r="AI20" s="373"/>
      <c r="AJ20" s="373"/>
      <c r="AK20" s="693"/>
      <c r="AL20" s="693"/>
      <c r="AM20" s="373"/>
      <c r="AN20" s="373"/>
      <c r="AO20" s="372"/>
      <c r="AP20" s="372"/>
      <c r="AQ20" s="692"/>
      <c r="AR20" s="692"/>
      <c r="AS20" s="372"/>
      <c r="AT20" s="372"/>
      <c r="AU20" s="372"/>
      <c r="AV20" s="372"/>
      <c r="AW20" s="692"/>
      <c r="AX20" s="692"/>
      <c r="AY20" s="372"/>
      <c r="AZ20" s="372"/>
      <c r="BA20" s="372"/>
      <c r="BB20" s="372"/>
      <c r="BC20" s="692"/>
      <c r="BD20" s="692"/>
      <c r="BE20" s="372"/>
      <c r="BF20" s="372"/>
      <c r="BG20" s="372"/>
      <c r="BH20" s="372"/>
      <c r="BI20" s="692"/>
      <c r="BJ20" s="692"/>
      <c r="BK20" s="372"/>
      <c r="BL20" s="372"/>
      <c r="BM20" s="372"/>
    </row>
    <row r="21" spans="1:65" s="363" customFormat="1" ht="24.75" customHeight="1" x14ac:dyDescent="0.15">
      <c r="A21" s="364">
        <v>3</v>
      </c>
      <c r="B21" s="365" t="s">
        <v>567</v>
      </c>
      <c r="C21" s="690">
        <f t="shared" ref="C21:D21" si="34">C22+C23+C24</f>
        <v>100</v>
      </c>
      <c r="D21" s="690">
        <f t="shared" si="34"/>
        <v>100</v>
      </c>
      <c r="E21" s="366">
        <f>E22+E23+E24</f>
        <v>5150</v>
      </c>
      <c r="F21" s="366">
        <f t="shared" ref="F21" si="35">F22+F23+F24</f>
        <v>5150</v>
      </c>
      <c r="G21" s="361">
        <f t="shared" si="18"/>
        <v>5150</v>
      </c>
      <c r="H21" s="361">
        <f t="shared" si="4"/>
        <v>5150</v>
      </c>
      <c r="I21" s="361"/>
      <c r="J21" s="361"/>
      <c r="K21" s="366">
        <f>K22+K23</f>
        <v>0</v>
      </c>
      <c r="L21" s="366">
        <f t="shared" ref="L21:BB21" si="36">L22+L23</f>
        <v>0</v>
      </c>
      <c r="M21" s="361"/>
      <c r="N21" s="361"/>
      <c r="O21" s="361"/>
      <c r="P21" s="361"/>
      <c r="Q21" s="366">
        <f t="shared" si="36"/>
        <v>0</v>
      </c>
      <c r="R21" s="366">
        <f t="shared" si="36"/>
        <v>0</v>
      </c>
      <c r="S21" s="361"/>
      <c r="T21" s="361"/>
      <c r="U21" s="366"/>
      <c r="V21" s="366"/>
      <c r="W21" s="366">
        <f t="shared" si="36"/>
        <v>0</v>
      </c>
      <c r="X21" s="366">
        <f t="shared" si="36"/>
        <v>0</v>
      </c>
      <c r="Y21" s="361"/>
      <c r="Z21" s="361"/>
      <c r="AA21" s="366"/>
      <c r="AB21" s="366"/>
      <c r="AC21" s="366">
        <f t="shared" si="36"/>
        <v>0</v>
      </c>
      <c r="AD21" s="366">
        <f t="shared" si="36"/>
        <v>0</v>
      </c>
      <c r="AE21" s="361"/>
      <c r="AF21" s="361"/>
      <c r="AG21" s="366"/>
      <c r="AH21" s="366"/>
      <c r="AI21" s="367">
        <f t="shared" si="36"/>
        <v>0</v>
      </c>
      <c r="AJ21" s="367">
        <f t="shared" si="36"/>
        <v>0</v>
      </c>
      <c r="AK21" s="362"/>
      <c r="AL21" s="362"/>
      <c r="AM21" s="367"/>
      <c r="AN21" s="367"/>
      <c r="AO21" s="366">
        <f t="shared" si="36"/>
        <v>0</v>
      </c>
      <c r="AP21" s="366">
        <f t="shared" si="36"/>
        <v>0</v>
      </c>
      <c r="AQ21" s="361"/>
      <c r="AR21" s="361"/>
      <c r="AS21" s="366"/>
      <c r="AT21" s="366"/>
      <c r="AU21" s="366">
        <f t="shared" si="36"/>
        <v>0</v>
      </c>
      <c r="AV21" s="366">
        <f t="shared" si="36"/>
        <v>0</v>
      </c>
      <c r="AW21" s="361"/>
      <c r="AX21" s="361"/>
      <c r="AY21" s="366"/>
      <c r="AZ21" s="366"/>
      <c r="BA21" s="366">
        <f t="shared" si="36"/>
        <v>0</v>
      </c>
      <c r="BB21" s="366">
        <f t="shared" si="36"/>
        <v>0</v>
      </c>
      <c r="BC21" s="361"/>
      <c r="BD21" s="361"/>
      <c r="BE21" s="366">
        <f t="shared" ref="BE21:BF21" si="37">BE22+BE23+BE24</f>
        <v>100</v>
      </c>
      <c r="BF21" s="366">
        <f t="shared" si="37"/>
        <v>100</v>
      </c>
      <c r="BG21" s="366">
        <f>BG22+BG23+BG24</f>
        <v>5150</v>
      </c>
      <c r="BH21" s="366">
        <f>BH22+BH23+BH24</f>
        <v>5150</v>
      </c>
      <c r="BI21" s="361">
        <f t="shared" si="15"/>
        <v>5150</v>
      </c>
      <c r="BJ21" s="361">
        <f t="shared" si="15"/>
        <v>5150</v>
      </c>
      <c r="BK21" s="366"/>
      <c r="BL21" s="366"/>
      <c r="BM21" s="366"/>
    </row>
    <row r="22" spans="1:65" s="359" customFormat="1" ht="13.5" customHeight="1" x14ac:dyDescent="0.2">
      <c r="A22" s="369"/>
      <c r="B22" s="370" t="s">
        <v>561</v>
      </c>
      <c r="C22" s="691">
        <f t="shared" ref="C22:D23" si="38">I22+O22+U22+AA22+AG22+AM22+AS22+AY22+BE22</f>
        <v>20</v>
      </c>
      <c r="D22" s="691">
        <f t="shared" si="38"/>
        <v>20</v>
      </c>
      <c r="E22" s="371">
        <f>K22+Q22+W22+AC22+AI22+AO22+AU22+BA22+BG22+BL22</f>
        <v>1780</v>
      </c>
      <c r="F22" s="371">
        <f>L22+R22+X22+AD22+AJ22+AP22+AV22+BB22+BH22</f>
        <v>1780</v>
      </c>
      <c r="G22" s="692">
        <f t="shared" si="18"/>
        <v>8900</v>
      </c>
      <c r="H22" s="692">
        <f t="shared" si="4"/>
        <v>8900</v>
      </c>
      <c r="I22" s="692"/>
      <c r="J22" s="692"/>
      <c r="K22" s="372"/>
      <c r="L22" s="372"/>
      <c r="M22" s="361"/>
      <c r="N22" s="692"/>
      <c r="O22" s="692"/>
      <c r="P22" s="692"/>
      <c r="Q22" s="372"/>
      <c r="R22" s="372"/>
      <c r="S22" s="692"/>
      <c r="T22" s="361"/>
      <c r="U22" s="372"/>
      <c r="V22" s="372"/>
      <c r="W22" s="372"/>
      <c r="X22" s="372"/>
      <c r="Y22" s="361"/>
      <c r="Z22" s="361"/>
      <c r="AA22" s="372"/>
      <c r="AB22" s="372"/>
      <c r="AC22" s="372"/>
      <c r="AD22" s="372"/>
      <c r="AE22" s="361"/>
      <c r="AF22" s="361"/>
      <c r="AG22" s="372"/>
      <c r="AH22" s="372"/>
      <c r="AI22" s="373"/>
      <c r="AJ22" s="373"/>
      <c r="AK22" s="362"/>
      <c r="AL22" s="362"/>
      <c r="AM22" s="373"/>
      <c r="AN22" s="373"/>
      <c r="AO22" s="372"/>
      <c r="AP22" s="372"/>
      <c r="AQ22" s="361"/>
      <c r="AR22" s="361"/>
      <c r="AS22" s="372"/>
      <c r="AT22" s="372"/>
      <c r="AU22" s="372"/>
      <c r="AV22" s="372"/>
      <c r="AW22" s="361"/>
      <c r="AX22" s="361"/>
      <c r="AY22" s="372"/>
      <c r="AZ22" s="372"/>
      <c r="BA22" s="372"/>
      <c r="BB22" s="372"/>
      <c r="BC22" s="361"/>
      <c r="BD22" s="361"/>
      <c r="BE22" s="372">
        <v>20</v>
      </c>
      <c r="BF22" s="372">
        <f>BE22</f>
        <v>20</v>
      </c>
      <c r="BG22" s="372">
        <v>1780</v>
      </c>
      <c r="BH22" s="372">
        <f>BG22</f>
        <v>1780</v>
      </c>
      <c r="BI22" s="692">
        <f t="shared" si="15"/>
        <v>8900</v>
      </c>
      <c r="BJ22" s="692">
        <f t="shared" si="15"/>
        <v>8900</v>
      </c>
      <c r="BK22" s="372"/>
      <c r="BL22" s="372"/>
      <c r="BM22" s="372"/>
    </row>
    <row r="23" spans="1:65" s="359" customFormat="1" ht="13.5" customHeight="1" x14ac:dyDescent="0.2">
      <c r="A23" s="369"/>
      <c r="B23" s="370" t="s">
        <v>563</v>
      </c>
      <c r="C23" s="691">
        <f t="shared" si="38"/>
        <v>80</v>
      </c>
      <c r="D23" s="691">
        <f t="shared" si="38"/>
        <v>80</v>
      </c>
      <c r="E23" s="371">
        <f>K23+Q23+W23+AC23+AI23+AO23+AU23+BA23+BG23+BL23</f>
        <v>3200</v>
      </c>
      <c r="F23" s="371">
        <f>L23+R23+X23+AD23+AJ23+AP23+AV23+BB23+BH23</f>
        <v>3200</v>
      </c>
      <c r="G23" s="692">
        <f t="shared" si="18"/>
        <v>4000</v>
      </c>
      <c r="H23" s="692">
        <f t="shared" si="4"/>
        <v>4000</v>
      </c>
      <c r="I23" s="692"/>
      <c r="J23" s="692"/>
      <c r="K23" s="372"/>
      <c r="L23" s="372"/>
      <c r="M23" s="361"/>
      <c r="N23" s="692"/>
      <c r="O23" s="692"/>
      <c r="P23" s="692"/>
      <c r="Q23" s="372"/>
      <c r="R23" s="372"/>
      <c r="S23" s="692"/>
      <c r="T23" s="361"/>
      <c r="U23" s="372"/>
      <c r="V23" s="372"/>
      <c r="W23" s="372"/>
      <c r="X23" s="372"/>
      <c r="Y23" s="361"/>
      <c r="Z23" s="361"/>
      <c r="AA23" s="372"/>
      <c r="AB23" s="372"/>
      <c r="AC23" s="372"/>
      <c r="AD23" s="372"/>
      <c r="AE23" s="361"/>
      <c r="AF23" s="361"/>
      <c r="AG23" s="372"/>
      <c r="AH23" s="372"/>
      <c r="AI23" s="373"/>
      <c r="AJ23" s="373"/>
      <c r="AK23" s="362"/>
      <c r="AL23" s="362"/>
      <c r="AM23" s="373"/>
      <c r="AN23" s="373"/>
      <c r="AO23" s="372"/>
      <c r="AP23" s="372"/>
      <c r="AQ23" s="361"/>
      <c r="AR23" s="361"/>
      <c r="AS23" s="372"/>
      <c r="AT23" s="372"/>
      <c r="AU23" s="372"/>
      <c r="AV23" s="372"/>
      <c r="AW23" s="361"/>
      <c r="AX23" s="361"/>
      <c r="AY23" s="372"/>
      <c r="AZ23" s="372"/>
      <c r="BA23" s="372"/>
      <c r="BB23" s="372"/>
      <c r="BC23" s="361"/>
      <c r="BD23" s="361"/>
      <c r="BE23" s="372">
        <v>80</v>
      </c>
      <c r="BF23" s="372">
        <f>BE23</f>
        <v>80</v>
      </c>
      <c r="BG23" s="372">
        <v>3200</v>
      </c>
      <c r="BH23" s="372">
        <f>BG23</f>
        <v>3200</v>
      </c>
      <c r="BI23" s="692">
        <f t="shared" si="15"/>
        <v>4000</v>
      </c>
      <c r="BJ23" s="692">
        <f t="shared" si="15"/>
        <v>4000</v>
      </c>
      <c r="BK23" s="372"/>
      <c r="BL23" s="372"/>
      <c r="BM23" s="372"/>
    </row>
    <row r="24" spans="1:65" s="359" customFormat="1" ht="13.5" customHeight="1" x14ac:dyDescent="0.2">
      <c r="A24" s="369"/>
      <c r="B24" s="370" t="s">
        <v>562</v>
      </c>
      <c r="C24" s="691"/>
      <c r="D24" s="691"/>
      <c r="E24" s="371">
        <f>K24+Q24+W24+AC24+AI24+AO24+AU24+BA24+BG24+BL24</f>
        <v>170</v>
      </c>
      <c r="F24" s="371">
        <f>L24+R24+X24+AD24+AJ24+AP24+AV24+BB24+BH24</f>
        <v>170</v>
      </c>
      <c r="G24" s="692"/>
      <c r="H24" s="692"/>
      <c r="I24" s="692"/>
      <c r="J24" s="692"/>
      <c r="K24" s="372"/>
      <c r="L24" s="372"/>
      <c r="M24" s="361"/>
      <c r="N24" s="692"/>
      <c r="O24" s="692"/>
      <c r="P24" s="692"/>
      <c r="Q24" s="372"/>
      <c r="R24" s="372"/>
      <c r="S24" s="692"/>
      <c r="T24" s="361"/>
      <c r="U24" s="372"/>
      <c r="V24" s="372"/>
      <c r="W24" s="372"/>
      <c r="X24" s="372"/>
      <c r="Y24" s="361"/>
      <c r="Z24" s="361"/>
      <c r="AA24" s="372"/>
      <c r="AB24" s="372"/>
      <c r="AC24" s="372"/>
      <c r="AD24" s="372"/>
      <c r="AE24" s="361"/>
      <c r="AF24" s="361"/>
      <c r="AG24" s="372"/>
      <c r="AH24" s="372"/>
      <c r="AI24" s="373"/>
      <c r="AJ24" s="373"/>
      <c r="AK24" s="362"/>
      <c r="AL24" s="362"/>
      <c r="AM24" s="373"/>
      <c r="AN24" s="373"/>
      <c r="AO24" s="372"/>
      <c r="AP24" s="372"/>
      <c r="AQ24" s="361"/>
      <c r="AR24" s="361"/>
      <c r="AS24" s="372"/>
      <c r="AT24" s="372"/>
      <c r="AU24" s="372"/>
      <c r="AV24" s="372"/>
      <c r="AW24" s="361"/>
      <c r="AX24" s="361"/>
      <c r="AY24" s="372"/>
      <c r="AZ24" s="372"/>
      <c r="BA24" s="372"/>
      <c r="BB24" s="372"/>
      <c r="BC24" s="361"/>
      <c r="BD24" s="361"/>
      <c r="BE24" s="372"/>
      <c r="BF24" s="372"/>
      <c r="BG24" s="372">
        <v>170</v>
      </c>
      <c r="BH24" s="372">
        <f>BG24</f>
        <v>170</v>
      </c>
      <c r="BI24" s="692"/>
      <c r="BJ24" s="692"/>
      <c r="BK24" s="372"/>
      <c r="BL24" s="372"/>
      <c r="BM24" s="372"/>
    </row>
    <row r="25" spans="1:65" s="363" customFormat="1" ht="24" customHeight="1" x14ac:dyDescent="0.2">
      <c r="A25" s="364">
        <v>4</v>
      </c>
      <c r="B25" s="365" t="s">
        <v>568</v>
      </c>
      <c r="C25" s="690">
        <f t="shared" ref="C25:D25" si="39">SUM(C26:C30)</f>
        <v>173870</v>
      </c>
      <c r="D25" s="690">
        <f t="shared" si="39"/>
        <v>173870</v>
      </c>
      <c r="E25" s="366">
        <f>SUM(E26:E30)</f>
        <v>153389</v>
      </c>
      <c r="F25" s="366">
        <f t="shared" ref="F25" si="40">SUM(F26:F29)</f>
        <v>153389</v>
      </c>
      <c r="G25" s="692">
        <f t="shared" si="18"/>
        <v>88.220509576120094</v>
      </c>
      <c r="H25" s="692">
        <f t="shared" si="4"/>
        <v>88.220509576120094</v>
      </c>
      <c r="I25" s="366">
        <f t="shared" ref="I25:J25" si="41">SUM(I26:I29)</f>
        <v>30800</v>
      </c>
      <c r="J25" s="366">
        <f t="shared" si="41"/>
        <v>30550</v>
      </c>
      <c r="K25" s="366">
        <f>SUM(K26:K29)</f>
        <v>21407</v>
      </c>
      <c r="L25" s="366">
        <f>SUM(L26:L29)</f>
        <v>21050</v>
      </c>
      <c r="M25" s="361">
        <f t="shared" si="7"/>
        <v>69.503246753246756</v>
      </c>
      <c r="N25" s="361">
        <f t="shared" si="7"/>
        <v>68.903436988543376</v>
      </c>
      <c r="O25" s="366">
        <f t="shared" ref="O25:BG25" si="42">SUM(O26:O29)</f>
        <v>5985</v>
      </c>
      <c r="P25" s="366">
        <f t="shared" si="42"/>
        <v>5975</v>
      </c>
      <c r="Q25" s="366">
        <f t="shared" si="42"/>
        <v>5060</v>
      </c>
      <c r="R25" s="366">
        <f t="shared" si="42"/>
        <v>5045</v>
      </c>
      <c r="S25" s="361">
        <f t="shared" si="8"/>
        <v>84.54469507101085</v>
      </c>
      <c r="T25" s="361">
        <f t="shared" si="8"/>
        <v>84.43514644351464</v>
      </c>
      <c r="U25" s="366">
        <f t="shared" si="42"/>
        <v>5555</v>
      </c>
      <c r="V25" s="366">
        <f t="shared" si="42"/>
        <v>5545</v>
      </c>
      <c r="W25" s="366">
        <f t="shared" si="42"/>
        <v>5070</v>
      </c>
      <c r="X25" s="366">
        <f t="shared" si="42"/>
        <v>5040</v>
      </c>
      <c r="Y25" s="361">
        <f t="shared" si="9"/>
        <v>91.269126912691263</v>
      </c>
      <c r="Z25" s="361">
        <f t="shared" si="9"/>
        <v>90.892696122632998</v>
      </c>
      <c r="AA25" s="366">
        <f t="shared" si="42"/>
        <v>32680</v>
      </c>
      <c r="AB25" s="366">
        <f t="shared" si="42"/>
        <v>32680</v>
      </c>
      <c r="AC25" s="366">
        <f t="shared" si="42"/>
        <v>28010</v>
      </c>
      <c r="AD25" s="366">
        <f t="shared" si="42"/>
        <v>28000</v>
      </c>
      <c r="AE25" s="361">
        <f t="shared" si="10"/>
        <v>85.709914320685428</v>
      </c>
      <c r="AF25" s="361">
        <f t="shared" si="10"/>
        <v>85.67931456548348</v>
      </c>
      <c r="AG25" s="367">
        <f t="shared" si="42"/>
        <v>5680</v>
      </c>
      <c r="AH25" s="367">
        <f t="shared" si="42"/>
        <v>5680</v>
      </c>
      <c r="AI25" s="367">
        <f t="shared" si="42"/>
        <v>4845</v>
      </c>
      <c r="AJ25" s="367">
        <f t="shared" si="42"/>
        <v>4830</v>
      </c>
      <c r="AK25" s="362">
        <f t="shared" si="11"/>
        <v>85.299295774647888</v>
      </c>
      <c r="AL25" s="362">
        <f t="shared" si="11"/>
        <v>85.035211267605632</v>
      </c>
      <c r="AM25" s="366">
        <f t="shared" si="42"/>
        <v>6630</v>
      </c>
      <c r="AN25" s="366">
        <f t="shared" si="42"/>
        <v>6630</v>
      </c>
      <c r="AO25" s="366">
        <f t="shared" si="42"/>
        <v>6687</v>
      </c>
      <c r="AP25" s="366">
        <f t="shared" si="42"/>
        <v>6687</v>
      </c>
      <c r="AQ25" s="361">
        <f t="shared" si="12"/>
        <v>100.85972850678732</v>
      </c>
      <c r="AR25" s="361">
        <f t="shared" si="12"/>
        <v>100.85972850678732</v>
      </c>
      <c r="AS25" s="366">
        <f t="shared" si="42"/>
        <v>11160</v>
      </c>
      <c r="AT25" s="366">
        <f t="shared" si="42"/>
        <v>11160</v>
      </c>
      <c r="AU25" s="366">
        <f t="shared" si="42"/>
        <v>8220</v>
      </c>
      <c r="AV25" s="366">
        <f t="shared" si="42"/>
        <v>8220</v>
      </c>
      <c r="AW25" s="361">
        <f t="shared" si="13"/>
        <v>73.655913978494624</v>
      </c>
      <c r="AX25" s="361">
        <f t="shared" si="13"/>
        <v>73.655913978494624</v>
      </c>
      <c r="AY25" s="366">
        <f t="shared" si="42"/>
        <v>2560</v>
      </c>
      <c r="AZ25" s="366">
        <f t="shared" si="42"/>
        <v>2560</v>
      </c>
      <c r="BA25" s="366">
        <f t="shared" si="42"/>
        <v>1890</v>
      </c>
      <c r="BB25" s="366">
        <f t="shared" si="42"/>
        <v>1890</v>
      </c>
      <c r="BC25" s="361">
        <f t="shared" si="14"/>
        <v>73.828125</v>
      </c>
      <c r="BD25" s="361">
        <f t="shared" si="14"/>
        <v>73.828125</v>
      </c>
      <c r="BE25" s="366">
        <f t="shared" si="42"/>
        <v>72820</v>
      </c>
      <c r="BF25" s="366">
        <f t="shared" si="42"/>
        <v>73090</v>
      </c>
      <c r="BG25" s="366">
        <f t="shared" si="42"/>
        <v>72200</v>
      </c>
      <c r="BH25" s="366">
        <f>SUM(BH26:BH29)</f>
        <v>72627</v>
      </c>
      <c r="BI25" s="361">
        <f t="shared" si="15"/>
        <v>99.148585553419395</v>
      </c>
      <c r="BJ25" s="361">
        <f t="shared" si="15"/>
        <v>99.366534409631953</v>
      </c>
      <c r="BK25" s="366"/>
      <c r="BL25" s="366"/>
      <c r="BM25" s="366"/>
    </row>
    <row r="26" spans="1:65" s="359" customFormat="1" ht="17.25" customHeight="1" x14ac:dyDescent="0.2">
      <c r="A26" s="369"/>
      <c r="B26" s="1248" t="s">
        <v>561</v>
      </c>
      <c r="C26" s="691">
        <f>I26+O26+U26+AA26+AG26+AM26+AS26+AY26+BE26</f>
        <v>12000</v>
      </c>
      <c r="D26" s="691">
        <f>J26+P26+V26+AB26+AH26+AN26+AT26+AZ26+BF26</f>
        <v>12000</v>
      </c>
      <c r="E26" s="371">
        <f>K26+Q26+W26+AC26+AI26+AO26+AU26+BA26+BG26+BL26</f>
        <v>9445</v>
      </c>
      <c r="F26" s="371">
        <f t="shared" ref="F26:F48" si="43">L26+R26+X26+AD26+AJ26+AP26+AV26+BB26+BH26</f>
        <v>9445</v>
      </c>
      <c r="G26" s="692">
        <f t="shared" si="18"/>
        <v>78.708333333333343</v>
      </c>
      <c r="H26" s="692">
        <f t="shared" si="4"/>
        <v>78.708333333333343</v>
      </c>
      <c r="I26" s="692">
        <v>1200</v>
      </c>
      <c r="J26" s="692">
        <f>I26</f>
        <v>1200</v>
      </c>
      <c r="K26" s="372">
        <v>800</v>
      </c>
      <c r="L26" s="372">
        <f>K26</f>
        <v>800</v>
      </c>
      <c r="M26" s="692">
        <f t="shared" si="7"/>
        <v>66.666666666666657</v>
      </c>
      <c r="N26" s="692">
        <f t="shared" si="7"/>
        <v>66.666666666666657</v>
      </c>
      <c r="O26" s="692">
        <v>45</v>
      </c>
      <c r="P26" s="692">
        <f>O26</f>
        <v>45</v>
      </c>
      <c r="Q26" s="372">
        <v>15</v>
      </c>
      <c r="R26" s="372">
        <f>Q26</f>
        <v>15</v>
      </c>
      <c r="S26" s="692">
        <f t="shared" si="8"/>
        <v>33.333333333333329</v>
      </c>
      <c r="T26" s="692">
        <f t="shared" si="8"/>
        <v>33.333333333333329</v>
      </c>
      <c r="U26" s="372">
        <v>175</v>
      </c>
      <c r="V26" s="372">
        <f>U26</f>
        <v>175</v>
      </c>
      <c r="W26" s="372">
        <v>70</v>
      </c>
      <c r="X26" s="372">
        <f>W26</f>
        <v>70</v>
      </c>
      <c r="Y26" s="692">
        <f t="shared" si="9"/>
        <v>40</v>
      </c>
      <c r="Z26" s="692">
        <f t="shared" si="9"/>
        <v>40</v>
      </c>
      <c r="AA26" s="372">
        <v>800</v>
      </c>
      <c r="AB26" s="372">
        <f>AA26</f>
        <v>800</v>
      </c>
      <c r="AC26" s="372">
        <v>200</v>
      </c>
      <c r="AD26" s="372">
        <f>AC26</f>
        <v>200</v>
      </c>
      <c r="AE26" s="692">
        <f t="shared" si="10"/>
        <v>25</v>
      </c>
      <c r="AF26" s="692">
        <f t="shared" si="10"/>
        <v>25</v>
      </c>
      <c r="AG26" s="372">
        <v>300</v>
      </c>
      <c r="AH26" s="372">
        <f>AG26</f>
        <v>300</v>
      </c>
      <c r="AI26" s="373">
        <v>140</v>
      </c>
      <c r="AJ26" s="373">
        <f>AI26</f>
        <v>140</v>
      </c>
      <c r="AK26" s="362">
        <f t="shared" si="11"/>
        <v>46.666666666666664</v>
      </c>
      <c r="AL26" s="362">
        <f t="shared" si="11"/>
        <v>46.666666666666664</v>
      </c>
      <c r="AM26" s="373">
        <v>360</v>
      </c>
      <c r="AN26" s="373">
        <f>AM26</f>
        <v>360</v>
      </c>
      <c r="AO26" s="372">
        <v>860</v>
      </c>
      <c r="AP26" s="372">
        <f>AO26</f>
        <v>860</v>
      </c>
      <c r="AQ26" s="692">
        <f t="shared" si="12"/>
        <v>238.88888888888889</v>
      </c>
      <c r="AR26" s="692">
        <f t="shared" si="12"/>
        <v>238.88888888888889</v>
      </c>
      <c r="AS26" s="372">
        <v>330</v>
      </c>
      <c r="AT26" s="372">
        <f>AS26</f>
        <v>330</v>
      </c>
      <c r="AU26" s="372">
        <v>120</v>
      </c>
      <c r="AV26" s="372">
        <f>AU26</f>
        <v>120</v>
      </c>
      <c r="AW26" s="692">
        <f t="shared" si="13"/>
        <v>36.363636363636367</v>
      </c>
      <c r="AX26" s="692">
        <f t="shared" si="13"/>
        <v>36.363636363636367</v>
      </c>
      <c r="AY26" s="372">
        <v>30</v>
      </c>
      <c r="AZ26" s="372">
        <f>AY26</f>
        <v>30</v>
      </c>
      <c r="BA26" s="372">
        <v>40</v>
      </c>
      <c r="BB26" s="372">
        <f>BA26</f>
        <v>40</v>
      </c>
      <c r="BC26" s="692">
        <f t="shared" si="14"/>
        <v>133.33333333333331</v>
      </c>
      <c r="BD26" s="692">
        <f t="shared" si="14"/>
        <v>133.33333333333331</v>
      </c>
      <c r="BE26" s="372">
        <v>8760</v>
      </c>
      <c r="BF26" s="372">
        <f>BE26</f>
        <v>8760</v>
      </c>
      <c r="BG26" s="372">
        <v>7200</v>
      </c>
      <c r="BH26" s="372">
        <f>BG26</f>
        <v>7200</v>
      </c>
      <c r="BI26" s="692">
        <f t="shared" si="15"/>
        <v>82.191780821917803</v>
      </c>
      <c r="BJ26" s="692">
        <f t="shared" si="15"/>
        <v>82.191780821917803</v>
      </c>
      <c r="BK26" s="372"/>
      <c r="BL26" s="372"/>
      <c r="BM26" s="372"/>
    </row>
    <row r="27" spans="1:65" s="359" customFormat="1" ht="15.75" customHeight="1" x14ac:dyDescent="0.2">
      <c r="A27" s="369"/>
      <c r="B27" s="370" t="s">
        <v>562</v>
      </c>
      <c r="C27" s="691">
        <f>I27+O27+U27+AA27+AG27+AM27+AS27+AY27+BE27</f>
        <v>25520</v>
      </c>
      <c r="D27" s="691">
        <f t="shared" ref="D27:D29" si="44">J27+P27+V27+AB27+AH27+AN27+AT27+AZ27+BF27</f>
        <v>25520</v>
      </c>
      <c r="E27" s="371">
        <f>K27+Q27+W27+AC27+AI27+AO27+AU27+BA27+BG27+BL27</f>
        <v>25797</v>
      </c>
      <c r="F27" s="371">
        <f t="shared" si="43"/>
        <v>25797</v>
      </c>
      <c r="G27" s="692">
        <f t="shared" si="18"/>
        <v>101.08542319749216</v>
      </c>
      <c r="H27" s="692">
        <f t="shared" si="4"/>
        <v>101.08542319749216</v>
      </c>
      <c r="I27" s="692">
        <v>1150</v>
      </c>
      <c r="J27" s="692">
        <f t="shared" ref="J27:J28" si="45">I27</f>
        <v>1150</v>
      </c>
      <c r="K27" s="372">
        <v>1250</v>
      </c>
      <c r="L27" s="372">
        <f t="shared" ref="L27:L28" si="46">K27</f>
        <v>1250</v>
      </c>
      <c r="M27" s="692">
        <f t="shared" si="7"/>
        <v>108.69565217391303</v>
      </c>
      <c r="N27" s="692">
        <f t="shared" si="7"/>
        <v>108.69565217391303</v>
      </c>
      <c r="O27" s="692">
        <v>1580</v>
      </c>
      <c r="P27" s="692">
        <f t="shared" ref="P27:P28" si="47">O27</f>
        <v>1580</v>
      </c>
      <c r="Q27" s="372">
        <v>1822</v>
      </c>
      <c r="R27" s="372">
        <f t="shared" ref="R27:R28" si="48">Q27</f>
        <v>1822</v>
      </c>
      <c r="S27" s="692">
        <f t="shared" si="8"/>
        <v>115.31645569620252</v>
      </c>
      <c r="T27" s="692">
        <f t="shared" si="8"/>
        <v>115.31645569620252</v>
      </c>
      <c r="U27" s="372">
        <v>420</v>
      </c>
      <c r="V27" s="372">
        <f t="shared" ref="V27:V28" si="49">U27</f>
        <v>420</v>
      </c>
      <c r="W27" s="372">
        <v>540</v>
      </c>
      <c r="X27" s="372">
        <f t="shared" ref="X27:X28" si="50">W27</f>
        <v>540</v>
      </c>
      <c r="Y27" s="692">
        <f t="shared" si="9"/>
        <v>128.57142857142858</v>
      </c>
      <c r="Z27" s="692">
        <f t="shared" si="9"/>
        <v>128.57142857142858</v>
      </c>
      <c r="AA27" s="372">
        <v>17500</v>
      </c>
      <c r="AB27" s="372">
        <f t="shared" ref="AB27:AB28" si="51">AA27</f>
        <v>17500</v>
      </c>
      <c r="AC27" s="372">
        <v>16300</v>
      </c>
      <c r="AD27" s="372">
        <f t="shared" ref="AD27:AD28" si="52">AC27</f>
        <v>16300</v>
      </c>
      <c r="AE27" s="692">
        <f t="shared" si="10"/>
        <v>93.142857142857139</v>
      </c>
      <c r="AF27" s="692">
        <f t="shared" si="10"/>
        <v>93.142857142857139</v>
      </c>
      <c r="AG27" s="372">
        <v>430</v>
      </c>
      <c r="AH27" s="372">
        <f t="shared" ref="AH27:AH28" si="53">AG27</f>
        <v>430</v>
      </c>
      <c r="AI27" s="373">
        <v>1290</v>
      </c>
      <c r="AJ27" s="373">
        <f t="shared" ref="AJ27:AJ28" si="54">AI27</f>
        <v>1290</v>
      </c>
      <c r="AK27" s="362">
        <f t="shared" si="11"/>
        <v>300</v>
      </c>
      <c r="AL27" s="362">
        <f t="shared" si="11"/>
        <v>300</v>
      </c>
      <c r="AM27" s="373">
        <v>1220</v>
      </c>
      <c r="AN27" s="373">
        <f t="shared" ref="AN27:AN28" si="55">AM27</f>
        <v>1220</v>
      </c>
      <c r="AO27" s="372">
        <v>1395</v>
      </c>
      <c r="AP27" s="372">
        <f t="shared" ref="AP27:AP28" si="56">AO27</f>
        <v>1395</v>
      </c>
      <c r="AQ27" s="692">
        <f t="shared" si="12"/>
        <v>114.34426229508196</v>
      </c>
      <c r="AR27" s="692">
        <f t="shared" si="12"/>
        <v>114.34426229508196</v>
      </c>
      <c r="AS27" s="372">
        <v>3130</v>
      </c>
      <c r="AT27" s="372">
        <f t="shared" ref="AT27:AT28" si="57">AS27</f>
        <v>3130</v>
      </c>
      <c r="AU27" s="372">
        <v>3100</v>
      </c>
      <c r="AV27" s="372">
        <f t="shared" ref="AV27:AV28" si="58">AU27</f>
        <v>3100</v>
      </c>
      <c r="AW27" s="692">
        <f t="shared" si="13"/>
        <v>99.04153354632588</v>
      </c>
      <c r="AX27" s="692">
        <f t="shared" si="13"/>
        <v>99.04153354632588</v>
      </c>
      <c r="AY27" s="372">
        <v>90</v>
      </c>
      <c r="AZ27" s="372">
        <f t="shared" ref="AZ27:AZ28" si="59">AY27</f>
        <v>90</v>
      </c>
      <c r="BA27" s="372">
        <v>100</v>
      </c>
      <c r="BB27" s="372">
        <f t="shared" ref="BB27:BB28" si="60">BA27</f>
        <v>100</v>
      </c>
      <c r="BC27" s="692">
        <f t="shared" si="14"/>
        <v>111.11111111111111</v>
      </c>
      <c r="BD27" s="692">
        <f t="shared" si="14"/>
        <v>111.11111111111111</v>
      </c>
      <c r="BE27" s="372"/>
      <c r="BF27" s="372">
        <f t="shared" ref="BF27:BF28" si="61">BE27</f>
        <v>0</v>
      </c>
      <c r="BG27" s="372">
        <v>0</v>
      </c>
      <c r="BH27" s="372">
        <f t="shared" ref="BH27:BH28" si="62">BG27</f>
        <v>0</v>
      </c>
      <c r="BI27" s="692"/>
      <c r="BJ27" s="692"/>
      <c r="BK27" s="372"/>
      <c r="BL27" s="372"/>
      <c r="BM27" s="372"/>
    </row>
    <row r="28" spans="1:65" s="359" customFormat="1" ht="15.75" customHeight="1" x14ac:dyDescent="0.2">
      <c r="A28" s="369"/>
      <c r="B28" s="370" t="s">
        <v>563</v>
      </c>
      <c r="C28" s="691">
        <f>I28+O28+U28+AA28+AG28+AM28+AS28+AY28+BE28</f>
        <v>136070</v>
      </c>
      <c r="D28" s="691">
        <f t="shared" si="44"/>
        <v>136070</v>
      </c>
      <c r="E28" s="371">
        <f>K28+Q28+W28+AC28+AI28+AO28+AU28+BA28+BG28+BL28</f>
        <v>117710</v>
      </c>
      <c r="F28" s="371">
        <f t="shared" si="43"/>
        <v>117710</v>
      </c>
      <c r="G28" s="692">
        <f t="shared" si="18"/>
        <v>86.506944954802677</v>
      </c>
      <c r="H28" s="692">
        <f t="shared" si="4"/>
        <v>86.506944954802677</v>
      </c>
      <c r="I28" s="692">
        <v>28200</v>
      </c>
      <c r="J28" s="692">
        <f t="shared" si="45"/>
        <v>28200</v>
      </c>
      <c r="K28" s="372">
        <v>19000</v>
      </c>
      <c r="L28" s="372">
        <f t="shared" si="46"/>
        <v>19000</v>
      </c>
      <c r="M28" s="692">
        <f t="shared" si="7"/>
        <v>67.37588652482269</v>
      </c>
      <c r="N28" s="692">
        <f t="shared" si="7"/>
        <v>67.37588652482269</v>
      </c>
      <c r="O28" s="692">
        <v>4350</v>
      </c>
      <c r="P28" s="692">
        <f t="shared" si="47"/>
        <v>4350</v>
      </c>
      <c r="Q28" s="372">
        <v>3208</v>
      </c>
      <c r="R28" s="372">
        <f t="shared" si="48"/>
        <v>3208</v>
      </c>
      <c r="S28" s="692">
        <f t="shared" si="8"/>
        <v>73.747126436781613</v>
      </c>
      <c r="T28" s="692">
        <f t="shared" si="8"/>
        <v>73.747126436781613</v>
      </c>
      <c r="U28" s="372">
        <v>4950</v>
      </c>
      <c r="V28" s="372">
        <f t="shared" si="49"/>
        <v>4950</v>
      </c>
      <c r="W28" s="372">
        <v>4430</v>
      </c>
      <c r="X28" s="372">
        <f t="shared" si="50"/>
        <v>4430</v>
      </c>
      <c r="Y28" s="692">
        <f t="shared" si="9"/>
        <v>89.494949494949495</v>
      </c>
      <c r="Z28" s="692">
        <f t="shared" si="9"/>
        <v>89.494949494949495</v>
      </c>
      <c r="AA28" s="372">
        <v>14380</v>
      </c>
      <c r="AB28" s="372">
        <f t="shared" si="51"/>
        <v>14380</v>
      </c>
      <c r="AC28" s="372">
        <v>11500</v>
      </c>
      <c r="AD28" s="372">
        <f t="shared" si="52"/>
        <v>11500</v>
      </c>
      <c r="AE28" s="692">
        <f t="shared" si="10"/>
        <v>79.972183588317108</v>
      </c>
      <c r="AF28" s="692">
        <f t="shared" si="10"/>
        <v>79.972183588317108</v>
      </c>
      <c r="AG28" s="372">
        <v>4950</v>
      </c>
      <c r="AH28" s="372">
        <f t="shared" si="53"/>
        <v>4950</v>
      </c>
      <c r="AI28" s="373">
        <v>3400</v>
      </c>
      <c r="AJ28" s="373">
        <f t="shared" si="54"/>
        <v>3400</v>
      </c>
      <c r="AK28" s="362">
        <f t="shared" si="11"/>
        <v>68.686868686868678</v>
      </c>
      <c r="AL28" s="362">
        <f t="shared" si="11"/>
        <v>68.686868686868678</v>
      </c>
      <c r="AM28" s="373">
        <v>5050</v>
      </c>
      <c r="AN28" s="373">
        <f t="shared" si="55"/>
        <v>5050</v>
      </c>
      <c r="AO28" s="372">
        <v>4432</v>
      </c>
      <c r="AP28" s="372">
        <f t="shared" si="56"/>
        <v>4432</v>
      </c>
      <c r="AQ28" s="692">
        <f t="shared" si="12"/>
        <v>87.762376237623769</v>
      </c>
      <c r="AR28" s="692">
        <f t="shared" si="12"/>
        <v>87.762376237623769</v>
      </c>
      <c r="AS28" s="372">
        <v>7700</v>
      </c>
      <c r="AT28" s="372">
        <f t="shared" si="57"/>
        <v>7700</v>
      </c>
      <c r="AU28" s="372">
        <v>5000</v>
      </c>
      <c r="AV28" s="372">
        <f t="shared" si="58"/>
        <v>5000</v>
      </c>
      <c r="AW28" s="692">
        <f t="shared" si="13"/>
        <v>64.935064935064929</v>
      </c>
      <c r="AX28" s="692">
        <f t="shared" si="13"/>
        <v>64.935064935064929</v>
      </c>
      <c r="AY28" s="372">
        <v>2440</v>
      </c>
      <c r="AZ28" s="372">
        <f t="shared" si="59"/>
        <v>2440</v>
      </c>
      <c r="BA28" s="372">
        <v>1750</v>
      </c>
      <c r="BB28" s="372">
        <f t="shared" si="60"/>
        <v>1750</v>
      </c>
      <c r="BC28" s="692">
        <f t="shared" si="14"/>
        <v>71.721311475409834</v>
      </c>
      <c r="BD28" s="692">
        <f t="shared" si="14"/>
        <v>71.721311475409834</v>
      </c>
      <c r="BE28" s="372">
        <v>64050</v>
      </c>
      <c r="BF28" s="372">
        <f t="shared" si="61"/>
        <v>64050</v>
      </c>
      <c r="BG28" s="372">
        <v>64990</v>
      </c>
      <c r="BH28" s="372">
        <f t="shared" si="62"/>
        <v>64990</v>
      </c>
      <c r="BI28" s="692">
        <f t="shared" si="15"/>
        <v>101.46760343481655</v>
      </c>
      <c r="BJ28" s="692">
        <f t="shared" si="15"/>
        <v>101.46760343481655</v>
      </c>
      <c r="BK28" s="372"/>
      <c r="BL28" s="372"/>
      <c r="BM28" s="372"/>
    </row>
    <row r="29" spans="1:65" s="359" customFormat="1" ht="15.75" customHeight="1" x14ac:dyDescent="0.2">
      <c r="A29" s="369"/>
      <c r="B29" s="370" t="s">
        <v>566</v>
      </c>
      <c r="C29" s="691">
        <f>I29+O29+U29+AA29+AG29+AM29+AS29+AY29+BE29</f>
        <v>280</v>
      </c>
      <c r="D29" s="691">
        <f t="shared" si="44"/>
        <v>280</v>
      </c>
      <c r="E29" s="371">
        <f>K29+Q29+W29+AC29+AI29+AO29+AU29+BA29+BG29+BL29</f>
        <v>437</v>
      </c>
      <c r="F29" s="371">
        <f t="shared" si="43"/>
        <v>437</v>
      </c>
      <c r="G29" s="692">
        <f t="shared" si="18"/>
        <v>156.07142857142858</v>
      </c>
      <c r="H29" s="692">
        <f t="shared" si="4"/>
        <v>156.07142857142858</v>
      </c>
      <c r="I29" s="692">
        <v>250</v>
      </c>
      <c r="J29" s="692"/>
      <c r="K29" s="372">
        <v>357</v>
      </c>
      <c r="L29" s="372"/>
      <c r="M29" s="692">
        <f t="shared" si="7"/>
        <v>142.79999999999998</v>
      </c>
      <c r="N29" s="692"/>
      <c r="O29" s="692">
        <v>10</v>
      </c>
      <c r="P29" s="692"/>
      <c r="Q29" s="372">
        <v>15</v>
      </c>
      <c r="R29" s="372"/>
      <c r="S29" s="692">
        <f t="shared" si="8"/>
        <v>150</v>
      </c>
      <c r="T29" s="361"/>
      <c r="U29" s="372">
        <v>10</v>
      </c>
      <c r="V29" s="372"/>
      <c r="W29" s="372">
        <v>30</v>
      </c>
      <c r="X29" s="372"/>
      <c r="Y29" s="692">
        <f>W29/U29*100</f>
        <v>300</v>
      </c>
      <c r="Z29" s="692"/>
      <c r="AA29" s="372"/>
      <c r="AB29" s="372"/>
      <c r="AC29" s="372">
        <v>10</v>
      </c>
      <c r="AD29" s="372">
        <v>0</v>
      </c>
      <c r="AE29" s="361"/>
      <c r="AF29" s="361"/>
      <c r="AG29" s="372"/>
      <c r="AH29" s="372"/>
      <c r="AI29" s="373">
        <v>15</v>
      </c>
      <c r="AJ29" s="373">
        <v>0</v>
      </c>
      <c r="AK29" s="362"/>
      <c r="AL29" s="362"/>
      <c r="AM29" s="373"/>
      <c r="AN29" s="373"/>
      <c r="AO29" s="372">
        <v>0</v>
      </c>
      <c r="AP29" s="372">
        <v>0</v>
      </c>
      <c r="AQ29" s="361"/>
      <c r="AR29" s="361"/>
      <c r="AS29" s="372"/>
      <c r="AT29" s="372"/>
      <c r="AU29" s="372">
        <v>0</v>
      </c>
      <c r="AV29" s="372">
        <v>0</v>
      </c>
      <c r="AW29" s="361"/>
      <c r="AX29" s="361"/>
      <c r="AY29" s="372"/>
      <c r="AZ29" s="372"/>
      <c r="BA29" s="372">
        <v>0</v>
      </c>
      <c r="BB29" s="372">
        <v>0</v>
      </c>
      <c r="BC29" s="361"/>
      <c r="BD29" s="361"/>
      <c r="BE29" s="372">
        <v>10</v>
      </c>
      <c r="BF29" s="372">
        <f>C29</f>
        <v>280</v>
      </c>
      <c r="BG29" s="372">
        <v>10</v>
      </c>
      <c r="BH29" s="372">
        <f>E29</f>
        <v>437</v>
      </c>
      <c r="BI29" s="692">
        <f t="shared" si="15"/>
        <v>100</v>
      </c>
      <c r="BJ29" s="692">
        <f t="shared" si="15"/>
        <v>156.07142857142858</v>
      </c>
      <c r="BK29" s="372"/>
      <c r="BL29" s="372"/>
      <c r="BM29" s="372"/>
    </row>
    <row r="30" spans="1:65" s="359" customFormat="1" ht="15.75" customHeight="1" x14ac:dyDescent="0.2">
      <c r="A30" s="369"/>
      <c r="B30" s="370" t="s">
        <v>564</v>
      </c>
      <c r="C30" s="691"/>
      <c r="D30" s="691"/>
      <c r="E30" s="371"/>
      <c r="F30" s="371">
        <f t="shared" si="43"/>
        <v>0</v>
      </c>
      <c r="G30" s="692"/>
      <c r="H30" s="692"/>
      <c r="I30" s="692"/>
      <c r="J30" s="692"/>
      <c r="K30" s="372"/>
      <c r="L30" s="372"/>
      <c r="M30" s="361"/>
      <c r="N30" s="692"/>
      <c r="O30" s="692"/>
      <c r="P30" s="692"/>
      <c r="Q30" s="372"/>
      <c r="R30" s="372"/>
      <c r="S30" s="692"/>
      <c r="T30" s="361"/>
      <c r="U30" s="372"/>
      <c r="V30" s="372"/>
      <c r="W30" s="372"/>
      <c r="X30" s="372"/>
      <c r="Y30" s="361"/>
      <c r="Z30" s="361"/>
      <c r="AA30" s="372"/>
      <c r="AB30" s="372"/>
      <c r="AC30" s="372"/>
      <c r="AD30" s="372"/>
      <c r="AE30" s="361"/>
      <c r="AF30" s="361"/>
      <c r="AG30" s="372"/>
      <c r="AH30" s="372"/>
      <c r="AI30" s="373"/>
      <c r="AJ30" s="373"/>
      <c r="AK30" s="362"/>
      <c r="AL30" s="362"/>
      <c r="AM30" s="373"/>
      <c r="AN30" s="373"/>
      <c r="AO30" s="372"/>
      <c r="AP30" s="372"/>
      <c r="AQ30" s="361"/>
      <c r="AR30" s="361"/>
      <c r="AS30" s="372"/>
      <c r="AT30" s="372"/>
      <c r="AU30" s="372"/>
      <c r="AV30" s="372"/>
      <c r="AW30" s="361"/>
      <c r="AX30" s="361"/>
      <c r="AY30" s="372"/>
      <c r="AZ30" s="372"/>
      <c r="BA30" s="372"/>
      <c r="BB30" s="372"/>
      <c r="BC30" s="361"/>
      <c r="BD30" s="361"/>
      <c r="BE30" s="372"/>
      <c r="BF30" s="372"/>
      <c r="BG30" s="372"/>
      <c r="BH30" s="372"/>
      <c r="BI30" s="692"/>
      <c r="BJ30" s="692"/>
      <c r="BK30" s="372"/>
      <c r="BL30" s="372"/>
      <c r="BM30" s="372"/>
    </row>
    <row r="31" spans="1:65" s="363" customFormat="1" ht="16.5" customHeight="1" x14ac:dyDescent="0.15">
      <c r="A31" s="364">
        <v>5</v>
      </c>
      <c r="B31" s="365" t="s">
        <v>230</v>
      </c>
      <c r="C31" s="694">
        <f>I31+O31+U31+AA31+AG31+AM31+AS31+AY31+BE31</f>
        <v>25000</v>
      </c>
      <c r="D31" s="694">
        <f>J31+P31+V31+AB31+AH31+AN31+AT31+AZ31+BF31</f>
        <v>25000</v>
      </c>
      <c r="E31" s="376">
        <f t="shared" ref="E31:E51" si="63">K31+Q31+W31+AC31+AI31+AO31+AU31+BA31+BG31+BL31</f>
        <v>23490</v>
      </c>
      <c r="F31" s="376">
        <f t="shared" si="43"/>
        <v>23490</v>
      </c>
      <c r="G31" s="361">
        <f t="shared" si="18"/>
        <v>93.96</v>
      </c>
      <c r="H31" s="361">
        <f t="shared" si="4"/>
        <v>93.96</v>
      </c>
      <c r="I31" s="361">
        <v>10800</v>
      </c>
      <c r="J31" s="361">
        <f>I31</f>
        <v>10800</v>
      </c>
      <c r="K31" s="366">
        <v>9400</v>
      </c>
      <c r="L31" s="366">
        <f>K31</f>
        <v>9400</v>
      </c>
      <c r="M31" s="361">
        <f t="shared" si="7"/>
        <v>87.037037037037038</v>
      </c>
      <c r="N31" s="361">
        <f t="shared" si="7"/>
        <v>87.037037037037038</v>
      </c>
      <c r="O31" s="361">
        <v>830</v>
      </c>
      <c r="P31" s="361">
        <f>O31</f>
        <v>830</v>
      </c>
      <c r="Q31" s="366">
        <v>750</v>
      </c>
      <c r="R31" s="366">
        <f>Q31</f>
        <v>750</v>
      </c>
      <c r="S31" s="361">
        <f t="shared" si="8"/>
        <v>90.361445783132538</v>
      </c>
      <c r="T31" s="361">
        <f t="shared" si="8"/>
        <v>90.361445783132538</v>
      </c>
      <c r="U31" s="366">
        <v>1455</v>
      </c>
      <c r="V31" s="366">
        <f t="shared" ref="V31:V42" si="64">U31</f>
        <v>1455</v>
      </c>
      <c r="W31" s="366">
        <v>900</v>
      </c>
      <c r="X31" s="366">
        <f>W31</f>
        <v>900</v>
      </c>
      <c r="Y31" s="361">
        <f t="shared" si="9"/>
        <v>61.855670103092784</v>
      </c>
      <c r="Z31" s="361">
        <f t="shared" si="9"/>
        <v>61.855670103092784</v>
      </c>
      <c r="AA31" s="366">
        <v>1920</v>
      </c>
      <c r="AB31" s="366">
        <f>AA31</f>
        <v>1920</v>
      </c>
      <c r="AC31" s="366">
        <v>1400</v>
      </c>
      <c r="AD31" s="366">
        <f>AC31</f>
        <v>1400</v>
      </c>
      <c r="AE31" s="361">
        <f t="shared" si="10"/>
        <v>72.916666666666657</v>
      </c>
      <c r="AF31" s="361">
        <f t="shared" si="10"/>
        <v>72.916666666666657</v>
      </c>
      <c r="AG31" s="366">
        <v>2050</v>
      </c>
      <c r="AH31" s="366">
        <f>AG31</f>
        <v>2050</v>
      </c>
      <c r="AI31" s="367">
        <v>1760</v>
      </c>
      <c r="AJ31" s="367">
        <f>AI31</f>
        <v>1760</v>
      </c>
      <c r="AK31" s="362">
        <f t="shared" si="11"/>
        <v>85.853658536585371</v>
      </c>
      <c r="AL31" s="362">
        <f t="shared" si="11"/>
        <v>85.853658536585371</v>
      </c>
      <c r="AM31" s="367">
        <v>720</v>
      </c>
      <c r="AN31" s="367">
        <f>AM31</f>
        <v>720</v>
      </c>
      <c r="AO31" s="366">
        <v>630</v>
      </c>
      <c r="AP31" s="366">
        <f>AO31</f>
        <v>630</v>
      </c>
      <c r="AQ31" s="361">
        <f t="shared" si="12"/>
        <v>87.5</v>
      </c>
      <c r="AR31" s="361">
        <f t="shared" si="12"/>
        <v>87.5</v>
      </c>
      <c r="AS31" s="366">
        <v>1600</v>
      </c>
      <c r="AT31" s="366">
        <f>AS31</f>
        <v>1600</v>
      </c>
      <c r="AU31" s="366">
        <v>1300</v>
      </c>
      <c r="AV31" s="366">
        <f>AU31</f>
        <v>1300</v>
      </c>
      <c r="AW31" s="361">
        <f t="shared" si="13"/>
        <v>81.25</v>
      </c>
      <c r="AX31" s="361">
        <f t="shared" si="13"/>
        <v>81.25</v>
      </c>
      <c r="AY31" s="366">
        <v>550</v>
      </c>
      <c r="AZ31" s="366">
        <f>AY31</f>
        <v>550</v>
      </c>
      <c r="BA31" s="366">
        <v>550</v>
      </c>
      <c r="BB31" s="366">
        <f>BA31</f>
        <v>550</v>
      </c>
      <c r="BC31" s="361">
        <f t="shared" si="14"/>
        <v>100</v>
      </c>
      <c r="BD31" s="361">
        <f t="shared" si="14"/>
        <v>100</v>
      </c>
      <c r="BE31" s="366">
        <v>5075</v>
      </c>
      <c r="BF31" s="366">
        <f>BE31</f>
        <v>5075</v>
      </c>
      <c r="BG31" s="366">
        <v>6800</v>
      </c>
      <c r="BH31" s="366">
        <f>BG31</f>
        <v>6800</v>
      </c>
      <c r="BI31" s="361">
        <f t="shared" si="15"/>
        <v>133.99014778325122</v>
      </c>
      <c r="BJ31" s="361">
        <f t="shared" si="15"/>
        <v>133.99014778325122</v>
      </c>
      <c r="BK31" s="366"/>
      <c r="BL31" s="366"/>
      <c r="BM31" s="366"/>
    </row>
    <row r="32" spans="1:65" s="363" customFormat="1" ht="16.5" customHeight="1" x14ac:dyDescent="0.15">
      <c r="A32" s="364">
        <v>6</v>
      </c>
      <c r="B32" s="365" t="s">
        <v>236</v>
      </c>
      <c r="C32" s="694">
        <f>I32+O32+U32+AA32+AG32+AM32+AS32+AY32+BE32</f>
        <v>2130</v>
      </c>
      <c r="D32" s="694">
        <f>J32+P32+V32+AB32+AH32+AN32+AT32+AZ32+BF32</f>
        <v>2130</v>
      </c>
      <c r="E32" s="376">
        <f t="shared" si="63"/>
        <v>3350</v>
      </c>
      <c r="F32" s="376">
        <f t="shared" si="43"/>
        <v>3350</v>
      </c>
      <c r="G32" s="361">
        <f t="shared" si="18"/>
        <v>157.27699530516432</v>
      </c>
      <c r="H32" s="361">
        <f t="shared" si="4"/>
        <v>157.27699530516432</v>
      </c>
      <c r="I32" s="361">
        <v>200</v>
      </c>
      <c r="J32" s="361">
        <f>I32</f>
        <v>200</v>
      </c>
      <c r="K32" s="366">
        <v>250</v>
      </c>
      <c r="L32" s="366">
        <f>K32</f>
        <v>250</v>
      </c>
      <c r="M32" s="361">
        <f t="shared" si="7"/>
        <v>125</v>
      </c>
      <c r="N32" s="361">
        <f t="shared" si="7"/>
        <v>125</v>
      </c>
      <c r="O32" s="361">
        <v>200</v>
      </c>
      <c r="P32" s="361">
        <f t="shared" ref="P32:P34" si="65">O32</f>
        <v>200</v>
      </c>
      <c r="Q32" s="366">
        <v>400</v>
      </c>
      <c r="R32" s="366">
        <f>Q32</f>
        <v>400</v>
      </c>
      <c r="S32" s="361">
        <f t="shared" si="8"/>
        <v>200</v>
      </c>
      <c r="T32" s="361">
        <f t="shared" si="8"/>
        <v>200</v>
      </c>
      <c r="U32" s="366">
        <v>400</v>
      </c>
      <c r="V32" s="366">
        <f t="shared" si="64"/>
        <v>400</v>
      </c>
      <c r="W32" s="366">
        <v>700</v>
      </c>
      <c r="X32" s="366">
        <f>W32</f>
        <v>700</v>
      </c>
      <c r="Y32" s="361">
        <f t="shared" si="9"/>
        <v>175</v>
      </c>
      <c r="Z32" s="361">
        <f t="shared" si="9"/>
        <v>175</v>
      </c>
      <c r="AA32" s="366">
        <v>280</v>
      </c>
      <c r="AB32" s="366">
        <f t="shared" ref="AB32:AB34" si="66">AA32</f>
        <v>280</v>
      </c>
      <c r="AC32" s="366">
        <v>600</v>
      </c>
      <c r="AD32" s="366">
        <f>AC32</f>
        <v>600</v>
      </c>
      <c r="AE32" s="361">
        <f t="shared" si="10"/>
        <v>214.28571428571428</v>
      </c>
      <c r="AF32" s="361">
        <f t="shared" si="10"/>
        <v>214.28571428571428</v>
      </c>
      <c r="AG32" s="366">
        <v>380</v>
      </c>
      <c r="AH32" s="366">
        <f t="shared" ref="AH32:AH34" si="67">AG32</f>
        <v>380</v>
      </c>
      <c r="AI32" s="367">
        <v>400</v>
      </c>
      <c r="AJ32" s="367">
        <f t="shared" ref="AJ32:AJ34" si="68">AI32</f>
        <v>400</v>
      </c>
      <c r="AK32" s="362">
        <f t="shared" si="11"/>
        <v>105.26315789473684</v>
      </c>
      <c r="AL32" s="362">
        <f t="shared" si="11"/>
        <v>105.26315789473684</v>
      </c>
      <c r="AM32" s="367">
        <v>170</v>
      </c>
      <c r="AN32" s="367">
        <f t="shared" ref="AN32:AN34" si="69">AM32</f>
        <v>170</v>
      </c>
      <c r="AO32" s="366">
        <v>350</v>
      </c>
      <c r="AP32" s="366">
        <f t="shared" ref="AP32:AP34" si="70">AO32</f>
        <v>350</v>
      </c>
      <c r="AQ32" s="361">
        <f t="shared" si="12"/>
        <v>205.88235294117646</v>
      </c>
      <c r="AR32" s="361">
        <f t="shared" si="12"/>
        <v>205.88235294117646</v>
      </c>
      <c r="AS32" s="366">
        <v>250</v>
      </c>
      <c r="AT32" s="366">
        <f t="shared" ref="AT32:AT34" si="71">AS32</f>
        <v>250</v>
      </c>
      <c r="AU32" s="366">
        <v>400</v>
      </c>
      <c r="AV32" s="366">
        <f>AU32</f>
        <v>400</v>
      </c>
      <c r="AW32" s="361">
        <f t="shared" si="13"/>
        <v>160</v>
      </c>
      <c r="AX32" s="361">
        <f t="shared" si="13"/>
        <v>160</v>
      </c>
      <c r="AY32" s="366">
        <v>250</v>
      </c>
      <c r="AZ32" s="366">
        <f t="shared" ref="AZ32" si="72">AY32</f>
        <v>250</v>
      </c>
      <c r="BA32" s="366">
        <v>250</v>
      </c>
      <c r="BB32" s="366">
        <f t="shared" ref="BB32" si="73">BA32</f>
        <v>250</v>
      </c>
      <c r="BC32" s="361">
        <f t="shared" si="14"/>
        <v>100</v>
      </c>
      <c r="BD32" s="361">
        <f t="shared" si="14"/>
        <v>100</v>
      </c>
      <c r="BE32" s="366"/>
      <c r="BF32" s="366"/>
      <c r="BG32" s="366">
        <v>0</v>
      </c>
      <c r="BH32" s="366">
        <f t="shared" ref="BH32:BH51" si="74">BG32</f>
        <v>0</v>
      </c>
      <c r="BI32" s="361"/>
      <c r="BJ32" s="361"/>
      <c r="BK32" s="366"/>
      <c r="BL32" s="366"/>
      <c r="BM32" s="366"/>
    </row>
    <row r="33" spans="1:65" s="366" customFormat="1" ht="16.5" customHeight="1" x14ac:dyDescent="0.15">
      <c r="A33" s="366">
        <v>7</v>
      </c>
      <c r="B33" s="366" t="s">
        <v>239</v>
      </c>
      <c r="C33" s="694">
        <f t="shared" ref="C33:D49" si="75">I33+O33+U33+AA33+AG33+AM33+AS33+AY33+BE33</f>
        <v>55000</v>
      </c>
      <c r="D33" s="694">
        <f t="shared" si="75"/>
        <v>55000</v>
      </c>
      <c r="E33" s="366">
        <f t="shared" si="63"/>
        <v>82990</v>
      </c>
      <c r="F33" s="366">
        <f t="shared" si="43"/>
        <v>82990</v>
      </c>
      <c r="G33" s="361">
        <f t="shared" si="18"/>
        <v>150.8909090909091</v>
      </c>
      <c r="H33" s="361">
        <f t="shared" si="4"/>
        <v>150.8909090909091</v>
      </c>
      <c r="I33" s="361">
        <v>35000</v>
      </c>
      <c r="J33" s="361">
        <f>I33*0.9</f>
        <v>31500</v>
      </c>
      <c r="K33" s="366">
        <v>50000</v>
      </c>
      <c r="L33" s="366">
        <f>K33*0.9</f>
        <v>45000</v>
      </c>
      <c r="M33" s="361">
        <f t="shared" si="7"/>
        <v>142.85714285714286</v>
      </c>
      <c r="N33" s="361">
        <f t="shared" si="7"/>
        <v>142.85714285714286</v>
      </c>
      <c r="O33" s="361">
        <v>1800</v>
      </c>
      <c r="P33" s="361">
        <f>O33*0.9</f>
        <v>1620</v>
      </c>
      <c r="Q33" s="366">
        <v>3000</v>
      </c>
      <c r="R33" s="366">
        <f>Q33*0.9</f>
        <v>2700</v>
      </c>
      <c r="S33" s="361">
        <f t="shared" si="8"/>
        <v>166.66666666666669</v>
      </c>
      <c r="T33" s="361">
        <f t="shared" si="8"/>
        <v>166.66666666666669</v>
      </c>
      <c r="U33" s="366">
        <v>1200</v>
      </c>
      <c r="V33" s="366">
        <f>U33*0.9</f>
        <v>1080</v>
      </c>
      <c r="W33" s="366">
        <v>3600</v>
      </c>
      <c r="X33" s="366">
        <f>W33*0.9</f>
        <v>3240</v>
      </c>
      <c r="Y33" s="361">
        <f t="shared" si="9"/>
        <v>300</v>
      </c>
      <c r="Z33" s="361">
        <f t="shared" si="9"/>
        <v>300</v>
      </c>
      <c r="AA33" s="366">
        <v>1800</v>
      </c>
      <c r="AB33" s="366">
        <f>AA33*0.9</f>
        <v>1620</v>
      </c>
      <c r="AC33" s="366">
        <v>3000</v>
      </c>
      <c r="AD33" s="366">
        <f>AC33*0.9</f>
        <v>2700</v>
      </c>
      <c r="AE33" s="361">
        <f t="shared" si="10"/>
        <v>166.66666666666669</v>
      </c>
      <c r="AF33" s="361">
        <f t="shared" si="10"/>
        <v>166.66666666666669</v>
      </c>
      <c r="AG33" s="366">
        <v>5000</v>
      </c>
      <c r="AH33" s="366">
        <f>AG33*0.9</f>
        <v>4500</v>
      </c>
      <c r="AI33" s="366">
        <v>6000</v>
      </c>
      <c r="AJ33" s="366">
        <f>AI33*0.9</f>
        <v>5400</v>
      </c>
      <c r="AK33" s="362">
        <f t="shared" si="11"/>
        <v>120</v>
      </c>
      <c r="AL33" s="362">
        <f t="shared" si="11"/>
        <v>120</v>
      </c>
      <c r="AM33" s="366">
        <v>1000</v>
      </c>
      <c r="AN33" s="367">
        <f>AM33*0.9</f>
        <v>900</v>
      </c>
      <c r="AO33" s="366">
        <v>1450</v>
      </c>
      <c r="AP33" s="366">
        <f>AO33*0.9</f>
        <v>1305</v>
      </c>
      <c r="AQ33" s="361">
        <f t="shared" si="12"/>
        <v>145</v>
      </c>
      <c r="AR33" s="361">
        <f t="shared" si="12"/>
        <v>145</v>
      </c>
      <c r="AS33" s="366">
        <v>6600</v>
      </c>
      <c r="AT33" s="366">
        <f>AS33*0.9</f>
        <v>5940</v>
      </c>
      <c r="AU33" s="366">
        <v>10000</v>
      </c>
      <c r="AV33" s="366">
        <f>AU33*0.9</f>
        <v>9000</v>
      </c>
      <c r="AW33" s="361">
        <f t="shared" si="13"/>
        <v>151.5151515151515</v>
      </c>
      <c r="AX33" s="361">
        <f t="shared" si="13"/>
        <v>151.5151515151515</v>
      </c>
      <c r="AY33" s="366">
        <v>2600</v>
      </c>
      <c r="AZ33" s="366">
        <f>AY33*0.9</f>
        <v>2340</v>
      </c>
      <c r="BA33" s="366">
        <v>5940</v>
      </c>
      <c r="BB33" s="366">
        <f>BA33*0.9</f>
        <v>5346</v>
      </c>
      <c r="BC33" s="361">
        <f t="shared" si="14"/>
        <v>228.46153846153845</v>
      </c>
      <c r="BD33" s="361">
        <f t="shared" si="14"/>
        <v>228.46153846153845</v>
      </c>
      <c r="BF33" s="366">
        <v>5500</v>
      </c>
      <c r="BG33" s="366">
        <v>0</v>
      </c>
      <c r="BH33" s="366">
        <v>8299</v>
      </c>
      <c r="BI33" s="361"/>
      <c r="BJ33" s="361">
        <f t="shared" si="15"/>
        <v>150.8909090909091</v>
      </c>
    </row>
    <row r="34" spans="1:65" s="363" customFormat="1" ht="16.5" customHeight="1" x14ac:dyDescent="0.15">
      <c r="A34" s="364">
        <v>8</v>
      </c>
      <c r="B34" s="365" t="s">
        <v>237</v>
      </c>
      <c r="C34" s="694">
        <f t="shared" si="75"/>
        <v>630</v>
      </c>
      <c r="D34" s="694">
        <f t="shared" si="75"/>
        <v>630</v>
      </c>
      <c r="E34" s="376">
        <f t="shared" si="63"/>
        <v>600</v>
      </c>
      <c r="F34" s="376">
        <f t="shared" si="43"/>
        <v>600</v>
      </c>
      <c r="G34" s="361">
        <f t="shared" si="18"/>
        <v>95.238095238095227</v>
      </c>
      <c r="H34" s="361">
        <f t="shared" si="4"/>
        <v>95.238095238095227</v>
      </c>
      <c r="I34" s="361">
        <v>370</v>
      </c>
      <c r="J34" s="361">
        <f>I34</f>
        <v>370</v>
      </c>
      <c r="K34" s="366">
        <v>320</v>
      </c>
      <c r="L34" s="366">
        <f>K34</f>
        <v>320</v>
      </c>
      <c r="M34" s="361">
        <f t="shared" si="7"/>
        <v>86.486486486486484</v>
      </c>
      <c r="N34" s="361">
        <f t="shared" si="7"/>
        <v>86.486486486486484</v>
      </c>
      <c r="O34" s="361">
        <v>20</v>
      </c>
      <c r="P34" s="361">
        <f t="shared" si="65"/>
        <v>20</v>
      </c>
      <c r="Q34" s="366">
        <v>35</v>
      </c>
      <c r="R34" s="366">
        <f>Q34</f>
        <v>35</v>
      </c>
      <c r="S34" s="361">
        <f t="shared" si="8"/>
        <v>175</v>
      </c>
      <c r="T34" s="361">
        <f t="shared" si="8"/>
        <v>175</v>
      </c>
      <c r="U34" s="366">
        <v>30</v>
      </c>
      <c r="V34" s="366">
        <f t="shared" si="64"/>
        <v>30</v>
      </c>
      <c r="W34" s="366">
        <v>30</v>
      </c>
      <c r="X34" s="366">
        <f>W34</f>
        <v>30</v>
      </c>
      <c r="Y34" s="361">
        <f t="shared" si="9"/>
        <v>100</v>
      </c>
      <c r="Z34" s="361">
        <f t="shared" si="9"/>
        <v>100</v>
      </c>
      <c r="AA34" s="366">
        <v>150</v>
      </c>
      <c r="AB34" s="366">
        <f t="shared" si="66"/>
        <v>150</v>
      </c>
      <c r="AC34" s="366">
        <v>150</v>
      </c>
      <c r="AD34" s="366">
        <f>AC34</f>
        <v>150</v>
      </c>
      <c r="AE34" s="361">
        <f t="shared" si="10"/>
        <v>100</v>
      </c>
      <c r="AF34" s="361">
        <f t="shared" si="10"/>
        <v>100</v>
      </c>
      <c r="AG34" s="366">
        <v>20</v>
      </c>
      <c r="AH34" s="366">
        <f t="shared" si="67"/>
        <v>20</v>
      </c>
      <c r="AI34" s="367">
        <v>20</v>
      </c>
      <c r="AJ34" s="367">
        <f t="shared" si="68"/>
        <v>20</v>
      </c>
      <c r="AK34" s="362">
        <f t="shared" si="11"/>
        <v>100</v>
      </c>
      <c r="AL34" s="362">
        <f t="shared" si="11"/>
        <v>100</v>
      </c>
      <c r="AM34" s="367">
        <v>20</v>
      </c>
      <c r="AN34" s="367">
        <f t="shared" si="69"/>
        <v>20</v>
      </c>
      <c r="AO34" s="366">
        <v>17</v>
      </c>
      <c r="AP34" s="366">
        <f t="shared" si="70"/>
        <v>17</v>
      </c>
      <c r="AQ34" s="361">
        <f t="shared" si="12"/>
        <v>85</v>
      </c>
      <c r="AR34" s="361">
        <f t="shared" si="12"/>
        <v>85</v>
      </c>
      <c r="AS34" s="366">
        <v>20</v>
      </c>
      <c r="AT34" s="366">
        <f t="shared" si="71"/>
        <v>20</v>
      </c>
      <c r="AU34" s="366">
        <v>20</v>
      </c>
      <c r="AV34" s="366">
        <f>AU34</f>
        <v>20</v>
      </c>
      <c r="AW34" s="361">
        <f t="shared" si="13"/>
        <v>100</v>
      </c>
      <c r="AX34" s="361">
        <f t="shared" si="13"/>
        <v>100</v>
      </c>
      <c r="AY34" s="366"/>
      <c r="AZ34" s="366"/>
      <c r="BA34" s="366">
        <v>8</v>
      </c>
      <c r="BB34" s="366">
        <f>BA34</f>
        <v>8</v>
      </c>
      <c r="BC34" s="361"/>
      <c r="BD34" s="361"/>
      <c r="BE34" s="366"/>
      <c r="BF34" s="366"/>
      <c r="BG34" s="366">
        <v>0</v>
      </c>
      <c r="BH34" s="366">
        <f t="shared" si="74"/>
        <v>0</v>
      </c>
      <c r="BI34" s="361"/>
      <c r="BJ34" s="361"/>
      <c r="BK34" s="366"/>
      <c r="BL34" s="366"/>
      <c r="BM34" s="366"/>
    </row>
    <row r="35" spans="1:65" s="363" customFormat="1" ht="16.5" customHeight="1" x14ac:dyDescent="0.15">
      <c r="A35" s="364">
        <v>9</v>
      </c>
      <c r="B35" s="365" t="s">
        <v>238</v>
      </c>
      <c r="C35" s="694">
        <f t="shared" si="75"/>
        <v>10000</v>
      </c>
      <c r="D35" s="694">
        <f t="shared" si="75"/>
        <v>10000</v>
      </c>
      <c r="E35" s="376">
        <f t="shared" si="63"/>
        <v>12000</v>
      </c>
      <c r="F35" s="376">
        <f t="shared" si="43"/>
        <v>12000</v>
      </c>
      <c r="G35" s="361">
        <f t="shared" si="18"/>
        <v>120</v>
      </c>
      <c r="H35" s="361">
        <f t="shared" si="4"/>
        <v>120</v>
      </c>
      <c r="I35" s="361"/>
      <c r="J35" s="361"/>
      <c r="K35" s="366">
        <v>0</v>
      </c>
      <c r="L35" s="366">
        <v>0</v>
      </c>
      <c r="M35" s="361"/>
      <c r="N35" s="361"/>
      <c r="O35" s="361"/>
      <c r="P35" s="361"/>
      <c r="Q35" s="366">
        <v>0</v>
      </c>
      <c r="R35" s="366">
        <v>0</v>
      </c>
      <c r="S35" s="361"/>
      <c r="T35" s="361"/>
      <c r="U35" s="366"/>
      <c r="V35" s="366">
        <f t="shared" si="64"/>
        <v>0</v>
      </c>
      <c r="W35" s="366">
        <v>0</v>
      </c>
      <c r="X35" s="366">
        <v>0</v>
      </c>
      <c r="Y35" s="361"/>
      <c r="Z35" s="361"/>
      <c r="AA35" s="366"/>
      <c r="AB35" s="366"/>
      <c r="AC35" s="366">
        <v>0</v>
      </c>
      <c r="AD35" s="366">
        <v>0</v>
      </c>
      <c r="AE35" s="361"/>
      <c r="AF35" s="361"/>
      <c r="AG35" s="366"/>
      <c r="AH35" s="366"/>
      <c r="AI35" s="367"/>
      <c r="AJ35" s="367">
        <v>0</v>
      </c>
      <c r="AK35" s="362"/>
      <c r="AL35" s="362"/>
      <c r="AM35" s="367"/>
      <c r="AN35" s="367"/>
      <c r="AO35" s="366"/>
      <c r="AP35" s="366">
        <v>0</v>
      </c>
      <c r="AQ35" s="361"/>
      <c r="AR35" s="361"/>
      <c r="AS35" s="366"/>
      <c r="AT35" s="366"/>
      <c r="AU35" s="366"/>
      <c r="AV35" s="366">
        <v>0</v>
      </c>
      <c r="AW35" s="361"/>
      <c r="AX35" s="361"/>
      <c r="AY35" s="366"/>
      <c r="AZ35" s="366"/>
      <c r="BA35" s="366"/>
      <c r="BB35" s="366">
        <v>0</v>
      </c>
      <c r="BC35" s="361"/>
      <c r="BD35" s="361"/>
      <c r="BE35" s="366">
        <v>10000</v>
      </c>
      <c r="BF35" s="366">
        <f>BE35</f>
        <v>10000</v>
      </c>
      <c r="BG35" s="366">
        <v>12000</v>
      </c>
      <c r="BH35" s="366">
        <f t="shared" si="74"/>
        <v>12000</v>
      </c>
      <c r="BI35" s="361">
        <f t="shared" si="15"/>
        <v>120</v>
      </c>
      <c r="BJ35" s="361">
        <f t="shared" si="15"/>
        <v>120</v>
      </c>
      <c r="BK35" s="366"/>
      <c r="BL35" s="366"/>
      <c r="BM35" s="366"/>
    </row>
    <row r="36" spans="1:65" s="363" customFormat="1" ht="23.25" customHeight="1" x14ac:dyDescent="0.15">
      <c r="A36" s="364">
        <v>10</v>
      </c>
      <c r="B36" s="365" t="s">
        <v>240</v>
      </c>
      <c r="C36" s="694"/>
      <c r="D36" s="694"/>
      <c r="E36" s="376">
        <f t="shared" si="63"/>
        <v>0</v>
      </c>
      <c r="F36" s="376">
        <f t="shared" si="43"/>
        <v>0</v>
      </c>
      <c r="G36" s="361"/>
      <c r="H36" s="361"/>
      <c r="I36" s="361"/>
      <c r="J36" s="361"/>
      <c r="K36" s="366">
        <v>0</v>
      </c>
      <c r="L36" s="366">
        <v>0</v>
      </c>
      <c r="M36" s="361"/>
      <c r="N36" s="361"/>
      <c r="O36" s="361"/>
      <c r="P36" s="361"/>
      <c r="Q36" s="366">
        <v>0</v>
      </c>
      <c r="R36" s="366">
        <v>0</v>
      </c>
      <c r="S36" s="361"/>
      <c r="T36" s="361"/>
      <c r="U36" s="366"/>
      <c r="V36" s="366">
        <f t="shared" si="64"/>
        <v>0</v>
      </c>
      <c r="W36" s="366">
        <v>0</v>
      </c>
      <c r="X36" s="366">
        <v>0</v>
      </c>
      <c r="Y36" s="361"/>
      <c r="Z36" s="361"/>
      <c r="AA36" s="366"/>
      <c r="AB36" s="366"/>
      <c r="AC36" s="366">
        <v>0</v>
      </c>
      <c r="AD36" s="366">
        <v>0</v>
      </c>
      <c r="AE36" s="361"/>
      <c r="AF36" s="361"/>
      <c r="AG36" s="366"/>
      <c r="AH36" s="366"/>
      <c r="AI36" s="367">
        <v>0</v>
      </c>
      <c r="AJ36" s="367">
        <v>0</v>
      </c>
      <c r="AK36" s="362"/>
      <c r="AL36" s="362"/>
      <c r="AM36" s="367"/>
      <c r="AN36" s="367"/>
      <c r="AO36" s="366"/>
      <c r="AP36" s="366">
        <v>0</v>
      </c>
      <c r="AQ36" s="361"/>
      <c r="AR36" s="361"/>
      <c r="AS36" s="366"/>
      <c r="AT36" s="366"/>
      <c r="AU36" s="366"/>
      <c r="AV36" s="366">
        <v>0</v>
      </c>
      <c r="AW36" s="361"/>
      <c r="AX36" s="361"/>
      <c r="AY36" s="366"/>
      <c r="AZ36" s="366"/>
      <c r="BA36" s="366"/>
      <c r="BB36" s="366">
        <v>0</v>
      </c>
      <c r="BC36" s="361"/>
      <c r="BD36" s="361"/>
      <c r="BE36" s="366"/>
      <c r="BF36" s="366"/>
      <c r="BG36" s="366">
        <v>0</v>
      </c>
      <c r="BH36" s="366">
        <f t="shared" si="74"/>
        <v>0</v>
      </c>
      <c r="BI36" s="361"/>
      <c r="BJ36" s="361"/>
      <c r="BK36" s="366"/>
      <c r="BL36" s="366"/>
      <c r="BM36" s="366"/>
    </row>
    <row r="37" spans="1:65" s="363" customFormat="1" ht="15" customHeight="1" x14ac:dyDescent="0.15">
      <c r="A37" s="364">
        <v>11</v>
      </c>
      <c r="B37" s="365" t="s">
        <v>248</v>
      </c>
      <c r="C37" s="694">
        <f t="shared" si="75"/>
        <v>73000</v>
      </c>
      <c r="D37" s="694">
        <f t="shared" si="75"/>
        <v>29200</v>
      </c>
      <c r="E37" s="376">
        <f t="shared" si="63"/>
        <v>75000</v>
      </c>
      <c r="F37" s="376">
        <f t="shared" si="43"/>
        <v>24760</v>
      </c>
      <c r="G37" s="361">
        <f t="shared" si="18"/>
        <v>102.73972602739727</v>
      </c>
      <c r="H37" s="361">
        <f t="shared" si="4"/>
        <v>84.794520547945211</v>
      </c>
      <c r="I37" s="361"/>
      <c r="J37" s="361"/>
      <c r="K37" s="366">
        <v>0</v>
      </c>
      <c r="L37" s="366">
        <v>0</v>
      </c>
      <c r="M37" s="361"/>
      <c r="N37" s="361"/>
      <c r="O37" s="361"/>
      <c r="P37" s="361"/>
      <c r="Q37" s="366">
        <v>0</v>
      </c>
      <c r="R37" s="366">
        <v>0</v>
      </c>
      <c r="S37" s="361"/>
      <c r="T37" s="361"/>
      <c r="U37" s="366"/>
      <c r="V37" s="366">
        <f t="shared" si="64"/>
        <v>0</v>
      </c>
      <c r="W37" s="366">
        <v>0</v>
      </c>
      <c r="X37" s="366">
        <v>0</v>
      </c>
      <c r="Y37" s="361"/>
      <c r="Z37" s="361"/>
      <c r="AA37" s="366"/>
      <c r="AB37" s="366"/>
      <c r="AC37" s="366">
        <v>0</v>
      </c>
      <c r="AD37" s="366">
        <v>0</v>
      </c>
      <c r="AE37" s="361"/>
      <c r="AF37" s="361"/>
      <c r="AG37" s="366"/>
      <c r="AH37" s="366"/>
      <c r="AI37" s="367">
        <v>0</v>
      </c>
      <c r="AJ37" s="367">
        <v>0</v>
      </c>
      <c r="AK37" s="362"/>
      <c r="AL37" s="362"/>
      <c r="AM37" s="367"/>
      <c r="AN37" s="367"/>
      <c r="AO37" s="366"/>
      <c r="AP37" s="366">
        <v>0</v>
      </c>
      <c r="AQ37" s="361"/>
      <c r="AR37" s="361"/>
      <c r="AS37" s="366"/>
      <c r="AT37" s="366"/>
      <c r="AU37" s="366"/>
      <c r="AV37" s="366">
        <v>0</v>
      </c>
      <c r="AW37" s="361"/>
      <c r="AX37" s="361"/>
      <c r="AY37" s="366"/>
      <c r="AZ37" s="366"/>
      <c r="BA37" s="366"/>
      <c r="BB37" s="366">
        <v>0</v>
      </c>
      <c r="BC37" s="361"/>
      <c r="BD37" s="361"/>
      <c r="BE37" s="366">
        <v>73000</v>
      </c>
      <c r="BF37" s="366">
        <v>29200</v>
      </c>
      <c r="BG37" s="366">
        <v>75000</v>
      </c>
      <c r="BH37" s="366">
        <f>BG37-50240</f>
        <v>24760</v>
      </c>
      <c r="BI37" s="361">
        <f t="shared" si="15"/>
        <v>102.73972602739727</v>
      </c>
      <c r="BJ37" s="361">
        <f t="shared" si="15"/>
        <v>84.794520547945211</v>
      </c>
      <c r="BK37" s="366"/>
      <c r="BL37" s="366"/>
      <c r="BM37" s="366"/>
    </row>
    <row r="38" spans="1:65" s="363" customFormat="1" ht="22.5" hidden="1" x14ac:dyDescent="0.15">
      <c r="A38" s="364"/>
      <c r="B38" s="695" t="s">
        <v>569</v>
      </c>
      <c r="C38" s="694">
        <f t="shared" si="75"/>
        <v>0</v>
      </c>
      <c r="D38" s="694">
        <f t="shared" si="75"/>
        <v>0</v>
      </c>
      <c r="E38" s="376">
        <f t="shared" si="63"/>
        <v>0</v>
      </c>
      <c r="F38" s="376">
        <f t="shared" si="43"/>
        <v>0</v>
      </c>
      <c r="G38" s="361" t="e">
        <f t="shared" si="18"/>
        <v>#DIV/0!</v>
      </c>
      <c r="H38" s="361" t="e">
        <f t="shared" si="4"/>
        <v>#DIV/0!</v>
      </c>
      <c r="I38" s="361"/>
      <c r="J38" s="361"/>
      <c r="K38" s="366"/>
      <c r="L38" s="366"/>
      <c r="M38" s="361" t="e">
        <f t="shared" si="7"/>
        <v>#DIV/0!</v>
      </c>
      <c r="N38" s="361" t="e">
        <f t="shared" si="7"/>
        <v>#DIV/0!</v>
      </c>
      <c r="O38" s="361"/>
      <c r="P38" s="361"/>
      <c r="Q38" s="366"/>
      <c r="R38" s="366"/>
      <c r="S38" s="361" t="e">
        <f t="shared" si="8"/>
        <v>#DIV/0!</v>
      </c>
      <c r="T38" s="361" t="e">
        <f t="shared" si="8"/>
        <v>#DIV/0!</v>
      </c>
      <c r="U38" s="366"/>
      <c r="V38" s="366">
        <f t="shared" si="64"/>
        <v>0</v>
      </c>
      <c r="W38" s="366"/>
      <c r="X38" s="366"/>
      <c r="Y38" s="361" t="e">
        <f t="shared" si="9"/>
        <v>#DIV/0!</v>
      </c>
      <c r="Z38" s="361" t="e">
        <f t="shared" si="9"/>
        <v>#DIV/0!</v>
      </c>
      <c r="AA38" s="366"/>
      <c r="AB38" s="366"/>
      <c r="AC38" s="366"/>
      <c r="AD38" s="366"/>
      <c r="AE38" s="361" t="e">
        <f t="shared" si="10"/>
        <v>#DIV/0!</v>
      </c>
      <c r="AF38" s="361" t="e">
        <f t="shared" si="10"/>
        <v>#DIV/0!</v>
      </c>
      <c r="AG38" s="366"/>
      <c r="AH38" s="366"/>
      <c r="AI38" s="367"/>
      <c r="AJ38" s="367"/>
      <c r="AK38" s="362" t="e">
        <f t="shared" si="11"/>
        <v>#DIV/0!</v>
      </c>
      <c r="AL38" s="362" t="e">
        <f t="shared" si="11"/>
        <v>#DIV/0!</v>
      </c>
      <c r="AM38" s="367"/>
      <c r="AN38" s="367"/>
      <c r="AO38" s="366"/>
      <c r="AP38" s="366"/>
      <c r="AQ38" s="361" t="e">
        <f t="shared" si="12"/>
        <v>#DIV/0!</v>
      </c>
      <c r="AR38" s="361" t="e">
        <f t="shared" si="12"/>
        <v>#DIV/0!</v>
      </c>
      <c r="AS38" s="366"/>
      <c r="AT38" s="366"/>
      <c r="AU38" s="366"/>
      <c r="AV38" s="366"/>
      <c r="AW38" s="361" t="e">
        <f t="shared" si="13"/>
        <v>#DIV/0!</v>
      </c>
      <c r="AX38" s="361" t="e">
        <f t="shared" si="13"/>
        <v>#DIV/0!</v>
      </c>
      <c r="AY38" s="366"/>
      <c r="AZ38" s="366"/>
      <c r="BA38" s="366"/>
      <c r="BB38" s="366"/>
      <c r="BC38" s="361" t="e">
        <f t="shared" si="14"/>
        <v>#DIV/0!</v>
      </c>
      <c r="BD38" s="361" t="e">
        <f t="shared" si="14"/>
        <v>#DIV/0!</v>
      </c>
      <c r="BE38" s="366"/>
      <c r="BF38" s="366"/>
      <c r="BG38" s="366"/>
      <c r="BH38" s="366">
        <f t="shared" si="74"/>
        <v>0</v>
      </c>
      <c r="BI38" s="361" t="e">
        <f t="shared" si="15"/>
        <v>#DIV/0!</v>
      </c>
      <c r="BJ38" s="361" t="e">
        <f t="shared" si="15"/>
        <v>#DIV/0!</v>
      </c>
      <c r="BK38" s="366"/>
      <c r="BL38" s="366"/>
      <c r="BM38" s="366"/>
    </row>
    <row r="39" spans="1:65" s="363" customFormat="1" ht="11.25" hidden="1" x14ac:dyDescent="0.15">
      <c r="A39" s="364"/>
      <c r="B39" s="695" t="s">
        <v>570</v>
      </c>
      <c r="C39" s="694">
        <f t="shared" si="75"/>
        <v>0</v>
      </c>
      <c r="D39" s="694">
        <f t="shared" si="75"/>
        <v>0</v>
      </c>
      <c r="E39" s="376">
        <f t="shared" si="63"/>
        <v>0</v>
      </c>
      <c r="F39" s="376">
        <f t="shared" si="43"/>
        <v>0</v>
      </c>
      <c r="G39" s="361" t="e">
        <f t="shared" si="18"/>
        <v>#DIV/0!</v>
      </c>
      <c r="H39" s="361" t="e">
        <f t="shared" si="4"/>
        <v>#DIV/0!</v>
      </c>
      <c r="I39" s="361"/>
      <c r="J39" s="361"/>
      <c r="K39" s="366"/>
      <c r="L39" s="366"/>
      <c r="M39" s="361" t="e">
        <f t="shared" si="7"/>
        <v>#DIV/0!</v>
      </c>
      <c r="N39" s="361" t="e">
        <f t="shared" si="7"/>
        <v>#DIV/0!</v>
      </c>
      <c r="O39" s="361"/>
      <c r="P39" s="361"/>
      <c r="Q39" s="366"/>
      <c r="R39" s="366"/>
      <c r="S39" s="361" t="e">
        <f t="shared" si="8"/>
        <v>#DIV/0!</v>
      </c>
      <c r="T39" s="361" t="e">
        <f t="shared" si="8"/>
        <v>#DIV/0!</v>
      </c>
      <c r="U39" s="366"/>
      <c r="V39" s="366">
        <f t="shared" si="64"/>
        <v>0</v>
      </c>
      <c r="W39" s="366"/>
      <c r="X39" s="366"/>
      <c r="Y39" s="361" t="e">
        <f t="shared" si="9"/>
        <v>#DIV/0!</v>
      </c>
      <c r="Z39" s="361" t="e">
        <f t="shared" si="9"/>
        <v>#DIV/0!</v>
      </c>
      <c r="AA39" s="366"/>
      <c r="AB39" s="366"/>
      <c r="AC39" s="366"/>
      <c r="AD39" s="366"/>
      <c r="AE39" s="361" t="e">
        <f t="shared" si="10"/>
        <v>#DIV/0!</v>
      </c>
      <c r="AF39" s="361" t="e">
        <f t="shared" si="10"/>
        <v>#DIV/0!</v>
      </c>
      <c r="AG39" s="366"/>
      <c r="AH39" s="366"/>
      <c r="AI39" s="367"/>
      <c r="AJ39" s="367"/>
      <c r="AK39" s="362" t="e">
        <f t="shared" si="11"/>
        <v>#DIV/0!</v>
      </c>
      <c r="AL39" s="362" t="e">
        <f t="shared" si="11"/>
        <v>#DIV/0!</v>
      </c>
      <c r="AM39" s="367"/>
      <c r="AN39" s="367"/>
      <c r="AO39" s="366"/>
      <c r="AP39" s="366"/>
      <c r="AQ39" s="361" t="e">
        <f t="shared" si="12"/>
        <v>#DIV/0!</v>
      </c>
      <c r="AR39" s="361" t="e">
        <f t="shared" si="12"/>
        <v>#DIV/0!</v>
      </c>
      <c r="AS39" s="366"/>
      <c r="AT39" s="366"/>
      <c r="AU39" s="366"/>
      <c r="AV39" s="366"/>
      <c r="AW39" s="361" t="e">
        <f t="shared" si="13"/>
        <v>#DIV/0!</v>
      </c>
      <c r="AX39" s="361" t="e">
        <f t="shared" si="13"/>
        <v>#DIV/0!</v>
      </c>
      <c r="AY39" s="366"/>
      <c r="AZ39" s="366"/>
      <c r="BA39" s="366"/>
      <c r="BB39" s="366"/>
      <c r="BC39" s="361" t="e">
        <f t="shared" si="14"/>
        <v>#DIV/0!</v>
      </c>
      <c r="BD39" s="361" t="e">
        <f t="shared" si="14"/>
        <v>#DIV/0!</v>
      </c>
      <c r="BE39" s="366"/>
      <c r="BF39" s="366"/>
      <c r="BG39" s="366"/>
      <c r="BH39" s="366">
        <f t="shared" si="74"/>
        <v>0</v>
      </c>
      <c r="BI39" s="361" t="e">
        <f t="shared" si="15"/>
        <v>#DIV/0!</v>
      </c>
      <c r="BJ39" s="361" t="e">
        <f t="shared" si="15"/>
        <v>#DIV/0!</v>
      </c>
      <c r="BK39" s="366"/>
      <c r="BL39" s="366"/>
      <c r="BM39" s="366"/>
    </row>
    <row r="40" spans="1:65" s="363" customFormat="1" ht="16.5" customHeight="1" x14ac:dyDescent="0.15">
      <c r="A40" s="364">
        <v>12</v>
      </c>
      <c r="B40" s="365" t="s">
        <v>231</v>
      </c>
      <c r="C40" s="694">
        <f t="shared" si="75"/>
        <v>36000</v>
      </c>
      <c r="D40" s="694">
        <f t="shared" si="75"/>
        <v>36000</v>
      </c>
      <c r="E40" s="376">
        <f t="shared" si="63"/>
        <v>33540</v>
      </c>
      <c r="F40" s="376">
        <f t="shared" si="43"/>
        <v>33540</v>
      </c>
      <c r="G40" s="361">
        <f t="shared" si="18"/>
        <v>93.166666666666657</v>
      </c>
      <c r="H40" s="361">
        <f t="shared" si="4"/>
        <v>93.166666666666657</v>
      </c>
      <c r="I40" s="361">
        <v>18660</v>
      </c>
      <c r="J40" s="361">
        <f>I40</f>
        <v>18660</v>
      </c>
      <c r="K40" s="366">
        <v>15500</v>
      </c>
      <c r="L40" s="366">
        <f>K40</f>
        <v>15500</v>
      </c>
      <c r="M40" s="361">
        <f t="shared" si="7"/>
        <v>83.065380493033231</v>
      </c>
      <c r="N40" s="361">
        <f t="shared" si="7"/>
        <v>83.065380493033231</v>
      </c>
      <c r="O40" s="361">
        <v>1740</v>
      </c>
      <c r="P40" s="361">
        <f>O40</f>
        <v>1740</v>
      </c>
      <c r="Q40" s="366">
        <v>1590</v>
      </c>
      <c r="R40" s="366">
        <f>Q40</f>
        <v>1590</v>
      </c>
      <c r="S40" s="361">
        <f t="shared" si="8"/>
        <v>91.379310344827587</v>
      </c>
      <c r="T40" s="361">
        <f t="shared" si="8"/>
        <v>91.379310344827587</v>
      </c>
      <c r="U40" s="366">
        <v>2960</v>
      </c>
      <c r="V40" s="366">
        <f t="shared" si="64"/>
        <v>2960</v>
      </c>
      <c r="W40" s="366">
        <v>2500</v>
      </c>
      <c r="X40" s="366">
        <f>W40</f>
        <v>2500</v>
      </c>
      <c r="Y40" s="361">
        <f t="shared" si="9"/>
        <v>84.459459459459467</v>
      </c>
      <c r="Z40" s="361">
        <f t="shared" si="9"/>
        <v>84.459459459459467</v>
      </c>
      <c r="AA40" s="366">
        <v>4170</v>
      </c>
      <c r="AB40" s="366">
        <f t="shared" ref="AB40:AB42" si="76">AA40</f>
        <v>4170</v>
      </c>
      <c r="AC40" s="366">
        <v>3200</v>
      </c>
      <c r="AD40" s="366">
        <f>AC40</f>
        <v>3200</v>
      </c>
      <c r="AE40" s="361">
        <f t="shared" si="10"/>
        <v>76.738609112709838</v>
      </c>
      <c r="AF40" s="361">
        <f t="shared" si="10"/>
        <v>76.738609112709838</v>
      </c>
      <c r="AG40" s="366">
        <v>2720</v>
      </c>
      <c r="AH40" s="366">
        <f>AG40</f>
        <v>2720</v>
      </c>
      <c r="AI40" s="367">
        <v>3400</v>
      </c>
      <c r="AJ40" s="367">
        <f>AI40</f>
        <v>3400</v>
      </c>
      <c r="AK40" s="362">
        <f t="shared" si="11"/>
        <v>125</v>
      </c>
      <c r="AL40" s="362">
        <f t="shared" si="11"/>
        <v>125</v>
      </c>
      <c r="AM40" s="367">
        <v>1950</v>
      </c>
      <c r="AN40" s="367">
        <f>AM40</f>
        <v>1950</v>
      </c>
      <c r="AO40" s="366">
        <v>2200</v>
      </c>
      <c r="AP40" s="366">
        <f>AO40</f>
        <v>2200</v>
      </c>
      <c r="AQ40" s="361">
        <f t="shared" si="12"/>
        <v>112.82051282051282</v>
      </c>
      <c r="AR40" s="361">
        <f t="shared" si="12"/>
        <v>112.82051282051282</v>
      </c>
      <c r="AS40" s="366">
        <v>2550</v>
      </c>
      <c r="AT40" s="366">
        <f>AS40</f>
        <v>2550</v>
      </c>
      <c r="AU40" s="366">
        <v>4000</v>
      </c>
      <c r="AV40" s="366">
        <f>AU40</f>
        <v>4000</v>
      </c>
      <c r="AW40" s="361">
        <f t="shared" si="13"/>
        <v>156.86274509803923</v>
      </c>
      <c r="AX40" s="361">
        <f t="shared" si="13"/>
        <v>156.86274509803923</v>
      </c>
      <c r="AY40" s="366">
        <v>1250</v>
      </c>
      <c r="AZ40" s="366">
        <f>AY40</f>
        <v>1250</v>
      </c>
      <c r="BA40" s="366">
        <v>1150</v>
      </c>
      <c r="BB40" s="366">
        <f>BA40</f>
        <v>1150</v>
      </c>
      <c r="BC40" s="361">
        <f t="shared" si="14"/>
        <v>92</v>
      </c>
      <c r="BD40" s="361">
        <f t="shared" si="14"/>
        <v>92</v>
      </c>
      <c r="BE40" s="366"/>
      <c r="BF40" s="366"/>
      <c r="BG40" s="366">
        <f t="shared" ref="BG40" si="77">BG41+BG42</f>
        <v>0</v>
      </c>
      <c r="BH40" s="366">
        <f t="shared" si="74"/>
        <v>0</v>
      </c>
      <c r="BI40" s="361"/>
      <c r="BJ40" s="361"/>
      <c r="BK40" s="366"/>
      <c r="BL40" s="366"/>
      <c r="BM40" s="366"/>
    </row>
    <row r="41" spans="1:65" s="359" customFormat="1" ht="11.25" x14ac:dyDescent="0.2">
      <c r="A41" s="369"/>
      <c r="B41" s="377" t="s">
        <v>571</v>
      </c>
      <c r="C41" s="694"/>
      <c r="D41" s="694">
        <f t="shared" si="75"/>
        <v>0</v>
      </c>
      <c r="E41" s="371">
        <f t="shared" si="63"/>
        <v>0</v>
      </c>
      <c r="F41" s="371">
        <f t="shared" si="43"/>
        <v>0</v>
      </c>
      <c r="G41" s="692"/>
      <c r="H41" s="692"/>
      <c r="I41" s="361"/>
      <c r="J41" s="692"/>
      <c r="K41" s="372"/>
      <c r="L41" s="372"/>
      <c r="M41" s="361"/>
      <c r="N41" s="361"/>
      <c r="O41" s="361"/>
      <c r="P41" s="692"/>
      <c r="Q41" s="372"/>
      <c r="R41" s="372"/>
      <c r="S41" s="361"/>
      <c r="T41" s="361"/>
      <c r="U41" s="372"/>
      <c r="V41" s="366">
        <f t="shared" si="64"/>
        <v>0</v>
      </c>
      <c r="W41" s="372"/>
      <c r="X41" s="372"/>
      <c r="Y41" s="361"/>
      <c r="Z41" s="361"/>
      <c r="AA41" s="372"/>
      <c r="AB41" s="366">
        <f t="shared" si="76"/>
        <v>0</v>
      </c>
      <c r="AC41" s="372"/>
      <c r="AD41" s="372"/>
      <c r="AE41" s="361"/>
      <c r="AF41" s="361"/>
      <c r="AG41" s="372"/>
      <c r="AH41" s="372"/>
      <c r="AI41" s="373"/>
      <c r="AJ41" s="373"/>
      <c r="AK41" s="362"/>
      <c r="AL41" s="362"/>
      <c r="AM41" s="373"/>
      <c r="AN41" s="373"/>
      <c r="AO41" s="372"/>
      <c r="AP41" s="372"/>
      <c r="AQ41" s="361"/>
      <c r="AR41" s="361"/>
      <c r="AS41" s="372"/>
      <c r="AT41" s="372"/>
      <c r="AU41" s="372"/>
      <c r="AV41" s="372"/>
      <c r="AW41" s="361"/>
      <c r="AX41" s="361"/>
      <c r="AY41" s="372"/>
      <c r="AZ41" s="372"/>
      <c r="BA41" s="372"/>
      <c r="BB41" s="372"/>
      <c r="BC41" s="361"/>
      <c r="BD41" s="361"/>
      <c r="BE41" s="372"/>
      <c r="BF41" s="372"/>
      <c r="BG41" s="372"/>
      <c r="BH41" s="366">
        <f t="shared" si="74"/>
        <v>0</v>
      </c>
      <c r="BI41" s="361"/>
      <c r="BJ41" s="361"/>
      <c r="BK41" s="366"/>
      <c r="BL41" s="372"/>
      <c r="BM41" s="372"/>
    </row>
    <row r="42" spans="1:65" s="359" customFormat="1" ht="11.25" x14ac:dyDescent="0.2">
      <c r="A42" s="369"/>
      <c r="B42" s="377" t="s">
        <v>572</v>
      </c>
      <c r="C42" s="694"/>
      <c r="D42" s="694">
        <f t="shared" si="75"/>
        <v>0</v>
      </c>
      <c r="E42" s="371">
        <f t="shared" si="63"/>
        <v>0</v>
      </c>
      <c r="F42" s="371">
        <f t="shared" si="43"/>
        <v>0</v>
      </c>
      <c r="G42" s="692"/>
      <c r="H42" s="692"/>
      <c r="I42" s="361"/>
      <c r="J42" s="692"/>
      <c r="K42" s="372"/>
      <c r="L42" s="372"/>
      <c r="M42" s="361"/>
      <c r="N42" s="361"/>
      <c r="O42" s="361"/>
      <c r="P42" s="692"/>
      <c r="Q42" s="372"/>
      <c r="R42" s="372"/>
      <c r="S42" s="361"/>
      <c r="T42" s="361"/>
      <c r="U42" s="372"/>
      <c r="V42" s="366">
        <f t="shared" si="64"/>
        <v>0</v>
      </c>
      <c r="W42" s="372"/>
      <c r="X42" s="372"/>
      <c r="Y42" s="361"/>
      <c r="Z42" s="361"/>
      <c r="AA42" s="372"/>
      <c r="AB42" s="366">
        <f t="shared" si="76"/>
        <v>0</v>
      </c>
      <c r="AC42" s="372"/>
      <c r="AD42" s="372"/>
      <c r="AE42" s="361"/>
      <c r="AF42" s="361"/>
      <c r="AG42" s="372"/>
      <c r="AH42" s="372"/>
      <c r="AI42" s="373"/>
      <c r="AJ42" s="373"/>
      <c r="AK42" s="362"/>
      <c r="AL42" s="362"/>
      <c r="AM42" s="373"/>
      <c r="AN42" s="373"/>
      <c r="AO42" s="372"/>
      <c r="AP42" s="372"/>
      <c r="AQ42" s="361"/>
      <c r="AR42" s="361"/>
      <c r="AS42" s="372"/>
      <c r="AT42" s="372"/>
      <c r="AU42" s="372"/>
      <c r="AV42" s="372"/>
      <c r="AW42" s="361"/>
      <c r="AX42" s="361"/>
      <c r="AY42" s="372"/>
      <c r="AZ42" s="372"/>
      <c r="BA42" s="372"/>
      <c r="BB42" s="372"/>
      <c r="BC42" s="361"/>
      <c r="BD42" s="361"/>
      <c r="BE42" s="372"/>
      <c r="BF42" s="372"/>
      <c r="BG42" s="372"/>
      <c r="BH42" s="366">
        <f t="shared" si="74"/>
        <v>0</v>
      </c>
      <c r="BI42" s="361"/>
      <c r="BJ42" s="361"/>
      <c r="BK42" s="366"/>
      <c r="BL42" s="372"/>
      <c r="BM42" s="372"/>
    </row>
    <row r="43" spans="1:65" s="363" customFormat="1" ht="15.75" customHeight="1" x14ac:dyDescent="0.15">
      <c r="A43" s="364">
        <v>13</v>
      </c>
      <c r="B43" s="365" t="s">
        <v>249</v>
      </c>
      <c r="C43" s="694">
        <f t="shared" si="75"/>
        <v>76790</v>
      </c>
      <c r="D43" s="694">
        <f t="shared" si="75"/>
        <v>76790</v>
      </c>
      <c r="E43" s="376">
        <f t="shared" si="63"/>
        <v>68457</v>
      </c>
      <c r="F43" s="376">
        <f t="shared" si="43"/>
        <v>65457</v>
      </c>
      <c r="G43" s="361">
        <f t="shared" si="18"/>
        <v>89.148326605026696</v>
      </c>
      <c r="H43" s="361">
        <f t="shared" si="4"/>
        <v>85.241567912488605</v>
      </c>
      <c r="I43" s="361">
        <v>6000</v>
      </c>
      <c r="J43" s="361">
        <f>I43</f>
        <v>6000</v>
      </c>
      <c r="K43" s="366">
        <v>2400</v>
      </c>
      <c r="L43" s="366">
        <f>K43-105</f>
        <v>2295</v>
      </c>
      <c r="M43" s="361">
        <f t="shared" si="7"/>
        <v>40</v>
      </c>
      <c r="N43" s="361">
        <f t="shared" si="7"/>
        <v>38.25</v>
      </c>
      <c r="O43" s="361">
        <v>1380</v>
      </c>
      <c r="P43" s="361">
        <f>O43</f>
        <v>1380</v>
      </c>
      <c r="Q43" s="366">
        <v>1000</v>
      </c>
      <c r="R43" s="366">
        <f>Q43-44</f>
        <v>956</v>
      </c>
      <c r="S43" s="361">
        <f t="shared" si="8"/>
        <v>72.463768115942031</v>
      </c>
      <c r="T43" s="361">
        <f t="shared" si="8"/>
        <v>69.275362318840578</v>
      </c>
      <c r="U43" s="366">
        <v>1900</v>
      </c>
      <c r="V43" s="366">
        <f>U43</f>
        <v>1900</v>
      </c>
      <c r="W43" s="366">
        <v>1200</v>
      </c>
      <c r="X43" s="366">
        <f>W43-53</f>
        <v>1147</v>
      </c>
      <c r="Y43" s="361">
        <f t="shared" si="9"/>
        <v>63.157894736842103</v>
      </c>
      <c r="Z43" s="361">
        <f t="shared" si="9"/>
        <v>60.368421052631582</v>
      </c>
      <c r="AA43" s="366">
        <v>45600</v>
      </c>
      <c r="AB43" s="366">
        <f>AA43</f>
        <v>45600</v>
      </c>
      <c r="AC43" s="366">
        <v>54000</v>
      </c>
      <c r="AD43" s="366">
        <f>AC43-2366</f>
        <v>51634</v>
      </c>
      <c r="AE43" s="361">
        <f t="shared" si="10"/>
        <v>118.42105263157893</v>
      </c>
      <c r="AF43" s="361">
        <f t="shared" si="10"/>
        <v>113.23245614035086</v>
      </c>
      <c r="AG43" s="366">
        <v>2020</v>
      </c>
      <c r="AH43" s="366">
        <f>AG43</f>
        <v>2020</v>
      </c>
      <c r="AI43" s="367">
        <v>1487</v>
      </c>
      <c r="AJ43" s="367">
        <f>AI43-65</f>
        <v>1422</v>
      </c>
      <c r="AK43" s="362">
        <f t="shared" si="11"/>
        <v>73.613861386138609</v>
      </c>
      <c r="AL43" s="362">
        <f t="shared" si="11"/>
        <v>70.396039603960389</v>
      </c>
      <c r="AM43" s="367">
        <v>950</v>
      </c>
      <c r="AN43" s="367">
        <f>AM43</f>
        <v>950</v>
      </c>
      <c r="AO43" s="366">
        <v>400</v>
      </c>
      <c r="AP43" s="366">
        <f>AO43-18</f>
        <v>382</v>
      </c>
      <c r="AQ43" s="361">
        <f t="shared" si="12"/>
        <v>42.105263157894733</v>
      </c>
      <c r="AR43" s="361">
        <f t="shared" si="12"/>
        <v>40.210526315789473</v>
      </c>
      <c r="AS43" s="366">
        <v>2750</v>
      </c>
      <c r="AT43" s="366">
        <f>AS43</f>
        <v>2750</v>
      </c>
      <c r="AU43" s="366">
        <v>3200</v>
      </c>
      <c r="AV43" s="366">
        <f>AU43-140</f>
        <v>3060</v>
      </c>
      <c r="AW43" s="361">
        <f t="shared" si="13"/>
        <v>116.36363636363636</v>
      </c>
      <c r="AX43" s="361">
        <f t="shared" si="13"/>
        <v>111.27272727272728</v>
      </c>
      <c r="AY43" s="366">
        <v>670</v>
      </c>
      <c r="AZ43" s="366">
        <f>AY43</f>
        <v>670</v>
      </c>
      <c r="BA43" s="366">
        <v>270</v>
      </c>
      <c r="BB43" s="366">
        <f>BA43-12</f>
        <v>258</v>
      </c>
      <c r="BC43" s="361">
        <f t="shared" si="14"/>
        <v>40.298507462686565</v>
      </c>
      <c r="BD43" s="361">
        <f t="shared" si="14"/>
        <v>38.507462686567159</v>
      </c>
      <c r="BE43" s="366">
        <v>15520</v>
      </c>
      <c r="BF43" s="366">
        <f>BE43</f>
        <v>15520</v>
      </c>
      <c r="BG43" s="366">
        <v>4500</v>
      </c>
      <c r="BH43" s="366">
        <f>BG43-197</f>
        <v>4303</v>
      </c>
      <c r="BI43" s="361">
        <f t="shared" si="15"/>
        <v>28.994845360824744</v>
      </c>
      <c r="BJ43" s="361">
        <f t="shared" si="15"/>
        <v>27.725515463917528</v>
      </c>
      <c r="BK43" s="366"/>
      <c r="BL43" s="366"/>
      <c r="BM43" s="366"/>
    </row>
    <row r="44" spans="1:65" s="363" customFormat="1" ht="11.25" hidden="1" x14ac:dyDescent="0.15">
      <c r="A44" s="364" t="s">
        <v>23</v>
      </c>
      <c r="B44" s="695" t="s">
        <v>232</v>
      </c>
      <c r="C44" s="694">
        <f t="shared" si="75"/>
        <v>0</v>
      </c>
      <c r="D44" s="694">
        <f t="shared" si="75"/>
        <v>0</v>
      </c>
      <c r="E44" s="376">
        <f t="shared" si="63"/>
        <v>0</v>
      </c>
      <c r="F44" s="376">
        <f t="shared" si="43"/>
        <v>0</v>
      </c>
      <c r="G44" s="361" t="e">
        <f t="shared" si="18"/>
        <v>#DIV/0!</v>
      </c>
      <c r="H44" s="361" t="e">
        <f t="shared" si="4"/>
        <v>#DIV/0!</v>
      </c>
      <c r="I44" s="361"/>
      <c r="J44" s="361"/>
      <c r="K44" s="366"/>
      <c r="L44" s="366"/>
      <c r="M44" s="361" t="e">
        <f t="shared" si="7"/>
        <v>#DIV/0!</v>
      </c>
      <c r="N44" s="361" t="e">
        <f t="shared" si="7"/>
        <v>#DIV/0!</v>
      </c>
      <c r="O44" s="361"/>
      <c r="P44" s="361"/>
      <c r="Q44" s="366"/>
      <c r="R44" s="366"/>
      <c r="S44" s="361" t="e">
        <f t="shared" si="8"/>
        <v>#DIV/0!</v>
      </c>
      <c r="T44" s="361" t="e">
        <f t="shared" si="8"/>
        <v>#DIV/0!</v>
      </c>
      <c r="U44" s="366"/>
      <c r="V44" s="366"/>
      <c r="W44" s="366"/>
      <c r="X44" s="366"/>
      <c r="Y44" s="361" t="e">
        <f t="shared" si="9"/>
        <v>#DIV/0!</v>
      </c>
      <c r="Z44" s="361" t="e">
        <f t="shared" si="9"/>
        <v>#DIV/0!</v>
      </c>
      <c r="AA44" s="366"/>
      <c r="AB44" s="366"/>
      <c r="AC44" s="366"/>
      <c r="AD44" s="366"/>
      <c r="AE44" s="361" t="e">
        <f t="shared" si="10"/>
        <v>#DIV/0!</v>
      </c>
      <c r="AF44" s="361" t="e">
        <f t="shared" si="10"/>
        <v>#DIV/0!</v>
      </c>
      <c r="AG44" s="366"/>
      <c r="AH44" s="366"/>
      <c r="AI44" s="367"/>
      <c r="AJ44" s="367"/>
      <c r="AK44" s="362" t="e">
        <f t="shared" si="11"/>
        <v>#DIV/0!</v>
      </c>
      <c r="AL44" s="362" t="e">
        <f t="shared" si="11"/>
        <v>#DIV/0!</v>
      </c>
      <c r="AM44" s="367"/>
      <c r="AN44" s="367"/>
      <c r="AO44" s="366"/>
      <c r="AP44" s="366"/>
      <c r="AQ44" s="361" t="e">
        <f t="shared" si="12"/>
        <v>#DIV/0!</v>
      </c>
      <c r="AR44" s="361" t="e">
        <f t="shared" si="12"/>
        <v>#DIV/0!</v>
      </c>
      <c r="AS44" s="366"/>
      <c r="AT44" s="366"/>
      <c r="AU44" s="366"/>
      <c r="AV44" s="366"/>
      <c r="AW44" s="361" t="e">
        <f t="shared" si="13"/>
        <v>#DIV/0!</v>
      </c>
      <c r="AX44" s="361" t="e">
        <f t="shared" si="13"/>
        <v>#DIV/0!</v>
      </c>
      <c r="AY44" s="366"/>
      <c r="AZ44" s="366"/>
      <c r="BA44" s="366"/>
      <c r="BB44" s="366"/>
      <c r="BC44" s="361" t="e">
        <f t="shared" si="14"/>
        <v>#DIV/0!</v>
      </c>
      <c r="BD44" s="361" t="e">
        <f t="shared" si="14"/>
        <v>#DIV/0!</v>
      </c>
      <c r="BE44" s="366"/>
      <c r="BF44" s="366"/>
      <c r="BG44" s="366"/>
      <c r="BH44" s="366">
        <f t="shared" si="74"/>
        <v>0</v>
      </c>
      <c r="BI44" s="361" t="e">
        <f t="shared" si="15"/>
        <v>#DIV/0!</v>
      </c>
      <c r="BJ44" s="361" t="e">
        <f t="shared" si="15"/>
        <v>#DIV/0!</v>
      </c>
      <c r="BK44" s="366"/>
      <c r="BL44" s="366"/>
      <c r="BM44" s="366"/>
    </row>
    <row r="45" spans="1:65" s="363" customFormat="1" ht="11.25" hidden="1" x14ac:dyDescent="0.15">
      <c r="A45" s="364" t="s">
        <v>23</v>
      </c>
      <c r="B45" s="695" t="s">
        <v>233</v>
      </c>
      <c r="C45" s="694">
        <f t="shared" si="75"/>
        <v>0</v>
      </c>
      <c r="D45" s="694">
        <f t="shared" si="75"/>
        <v>0</v>
      </c>
      <c r="E45" s="376">
        <f t="shared" si="63"/>
        <v>0</v>
      </c>
      <c r="F45" s="376">
        <f t="shared" si="43"/>
        <v>0</v>
      </c>
      <c r="G45" s="361" t="e">
        <f t="shared" si="18"/>
        <v>#DIV/0!</v>
      </c>
      <c r="H45" s="361" t="e">
        <f t="shared" si="4"/>
        <v>#DIV/0!</v>
      </c>
      <c r="I45" s="361"/>
      <c r="J45" s="361"/>
      <c r="K45" s="366"/>
      <c r="L45" s="366"/>
      <c r="M45" s="361" t="e">
        <f t="shared" si="7"/>
        <v>#DIV/0!</v>
      </c>
      <c r="N45" s="361" t="e">
        <f t="shared" si="7"/>
        <v>#DIV/0!</v>
      </c>
      <c r="O45" s="361"/>
      <c r="P45" s="361"/>
      <c r="Q45" s="366"/>
      <c r="R45" s="366"/>
      <c r="S45" s="361" t="e">
        <f t="shared" si="8"/>
        <v>#DIV/0!</v>
      </c>
      <c r="T45" s="361" t="e">
        <f t="shared" si="8"/>
        <v>#DIV/0!</v>
      </c>
      <c r="U45" s="366"/>
      <c r="V45" s="366"/>
      <c r="W45" s="366"/>
      <c r="X45" s="366"/>
      <c r="Y45" s="361" t="e">
        <f t="shared" si="9"/>
        <v>#DIV/0!</v>
      </c>
      <c r="Z45" s="361" t="e">
        <f t="shared" si="9"/>
        <v>#DIV/0!</v>
      </c>
      <c r="AA45" s="366"/>
      <c r="AB45" s="366"/>
      <c r="AC45" s="366"/>
      <c r="AD45" s="366"/>
      <c r="AE45" s="361" t="e">
        <f t="shared" si="10"/>
        <v>#DIV/0!</v>
      </c>
      <c r="AF45" s="361" t="e">
        <f t="shared" si="10"/>
        <v>#DIV/0!</v>
      </c>
      <c r="AG45" s="366"/>
      <c r="AH45" s="366"/>
      <c r="AI45" s="367"/>
      <c r="AJ45" s="367"/>
      <c r="AK45" s="362" t="e">
        <f t="shared" si="11"/>
        <v>#DIV/0!</v>
      </c>
      <c r="AL45" s="362" t="e">
        <f t="shared" si="11"/>
        <v>#DIV/0!</v>
      </c>
      <c r="AM45" s="367"/>
      <c r="AN45" s="367"/>
      <c r="AO45" s="366"/>
      <c r="AP45" s="366"/>
      <c r="AQ45" s="361" t="e">
        <f t="shared" si="12"/>
        <v>#DIV/0!</v>
      </c>
      <c r="AR45" s="361" t="e">
        <f t="shared" si="12"/>
        <v>#DIV/0!</v>
      </c>
      <c r="AS45" s="366"/>
      <c r="AT45" s="366"/>
      <c r="AU45" s="366"/>
      <c r="AV45" s="366"/>
      <c r="AW45" s="361" t="e">
        <f t="shared" si="13"/>
        <v>#DIV/0!</v>
      </c>
      <c r="AX45" s="361" t="e">
        <f t="shared" si="13"/>
        <v>#DIV/0!</v>
      </c>
      <c r="AY45" s="366"/>
      <c r="AZ45" s="366"/>
      <c r="BA45" s="366"/>
      <c r="BB45" s="366"/>
      <c r="BC45" s="361" t="e">
        <f t="shared" si="14"/>
        <v>#DIV/0!</v>
      </c>
      <c r="BD45" s="361" t="e">
        <f t="shared" si="14"/>
        <v>#DIV/0!</v>
      </c>
      <c r="BE45" s="366"/>
      <c r="BF45" s="366"/>
      <c r="BG45" s="366"/>
      <c r="BH45" s="366">
        <f t="shared" si="74"/>
        <v>0</v>
      </c>
      <c r="BI45" s="361" t="e">
        <f t="shared" si="15"/>
        <v>#DIV/0!</v>
      </c>
      <c r="BJ45" s="361" t="e">
        <f t="shared" si="15"/>
        <v>#DIV/0!</v>
      </c>
      <c r="BK45" s="366"/>
      <c r="BL45" s="366"/>
      <c r="BM45" s="366"/>
    </row>
    <row r="46" spans="1:65" s="363" customFormat="1" ht="11.25" hidden="1" x14ac:dyDescent="0.15">
      <c r="A46" s="364" t="s">
        <v>23</v>
      </c>
      <c r="B46" s="695" t="s">
        <v>234</v>
      </c>
      <c r="C46" s="694">
        <f t="shared" si="75"/>
        <v>0</v>
      </c>
      <c r="D46" s="694">
        <f t="shared" si="75"/>
        <v>0</v>
      </c>
      <c r="E46" s="376">
        <f t="shared" si="63"/>
        <v>0</v>
      </c>
      <c r="F46" s="376">
        <f t="shared" si="43"/>
        <v>0</v>
      </c>
      <c r="G46" s="361" t="e">
        <f t="shared" si="18"/>
        <v>#DIV/0!</v>
      </c>
      <c r="H46" s="361" t="e">
        <f t="shared" si="4"/>
        <v>#DIV/0!</v>
      </c>
      <c r="I46" s="361"/>
      <c r="J46" s="361"/>
      <c r="K46" s="366"/>
      <c r="L46" s="366"/>
      <c r="M46" s="361" t="e">
        <f t="shared" si="7"/>
        <v>#DIV/0!</v>
      </c>
      <c r="N46" s="361" t="e">
        <f t="shared" si="7"/>
        <v>#DIV/0!</v>
      </c>
      <c r="O46" s="361"/>
      <c r="P46" s="361"/>
      <c r="Q46" s="366"/>
      <c r="R46" s="366"/>
      <c r="S46" s="361" t="e">
        <f t="shared" si="8"/>
        <v>#DIV/0!</v>
      </c>
      <c r="T46" s="361" t="e">
        <f t="shared" si="8"/>
        <v>#DIV/0!</v>
      </c>
      <c r="U46" s="366"/>
      <c r="V46" s="366"/>
      <c r="W46" s="366"/>
      <c r="X46" s="366"/>
      <c r="Y46" s="361" t="e">
        <f t="shared" si="9"/>
        <v>#DIV/0!</v>
      </c>
      <c r="Z46" s="361" t="e">
        <f t="shared" si="9"/>
        <v>#DIV/0!</v>
      </c>
      <c r="AA46" s="366"/>
      <c r="AB46" s="366"/>
      <c r="AC46" s="366"/>
      <c r="AD46" s="366"/>
      <c r="AE46" s="361" t="e">
        <f t="shared" si="10"/>
        <v>#DIV/0!</v>
      </c>
      <c r="AF46" s="361" t="e">
        <f t="shared" si="10"/>
        <v>#DIV/0!</v>
      </c>
      <c r="AG46" s="366"/>
      <c r="AH46" s="366"/>
      <c r="AI46" s="367"/>
      <c r="AJ46" s="367"/>
      <c r="AK46" s="362" t="e">
        <f t="shared" si="11"/>
        <v>#DIV/0!</v>
      </c>
      <c r="AL46" s="362" t="e">
        <f t="shared" si="11"/>
        <v>#DIV/0!</v>
      </c>
      <c r="AM46" s="367"/>
      <c r="AN46" s="367"/>
      <c r="AO46" s="366"/>
      <c r="AP46" s="366"/>
      <c r="AQ46" s="361" t="e">
        <f t="shared" si="12"/>
        <v>#DIV/0!</v>
      </c>
      <c r="AR46" s="361" t="e">
        <f t="shared" si="12"/>
        <v>#DIV/0!</v>
      </c>
      <c r="AS46" s="366"/>
      <c r="AT46" s="366"/>
      <c r="AU46" s="366"/>
      <c r="AV46" s="366"/>
      <c r="AW46" s="361" t="e">
        <f t="shared" si="13"/>
        <v>#DIV/0!</v>
      </c>
      <c r="AX46" s="361" t="e">
        <f t="shared" si="13"/>
        <v>#DIV/0!</v>
      </c>
      <c r="AY46" s="366"/>
      <c r="AZ46" s="366"/>
      <c r="BA46" s="366"/>
      <c r="BB46" s="366"/>
      <c r="BC46" s="361" t="e">
        <f t="shared" si="14"/>
        <v>#DIV/0!</v>
      </c>
      <c r="BD46" s="361" t="e">
        <f t="shared" si="14"/>
        <v>#DIV/0!</v>
      </c>
      <c r="BE46" s="366"/>
      <c r="BF46" s="366"/>
      <c r="BG46" s="366"/>
      <c r="BH46" s="366">
        <f t="shared" si="74"/>
        <v>0</v>
      </c>
      <c r="BI46" s="361" t="e">
        <f t="shared" si="15"/>
        <v>#DIV/0!</v>
      </c>
      <c r="BJ46" s="361" t="e">
        <f t="shared" si="15"/>
        <v>#DIV/0!</v>
      </c>
      <c r="BK46" s="366"/>
      <c r="BL46" s="366"/>
      <c r="BM46" s="366"/>
    </row>
    <row r="47" spans="1:65" s="363" customFormat="1" ht="11.25" hidden="1" x14ac:dyDescent="0.15">
      <c r="A47" s="364" t="s">
        <v>23</v>
      </c>
      <c r="B47" s="695" t="s">
        <v>235</v>
      </c>
      <c r="C47" s="694">
        <f t="shared" si="75"/>
        <v>0</v>
      </c>
      <c r="D47" s="694">
        <f t="shared" si="75"/>
        <v>0</v>
      </c>
      <c r="E47" s="376">
        <f t="shared" si="63"/>
        <v>0</v>
      </c>
      <c r="F47" s="376">
        <f t="shared" si="43"/>
        <v>0</v>
      </c>
      <c r="G47" s="361" t="e">
        <f t="shared" si="18"/>
        <v>#DIV/0!</v>
      </c>
      <c r="H47" s="361" t="e">
        <f t="shared" si="4"/>
        <v>#DIV/0!</v>
      </c>
      <c r="I47" s="361"/>
      <c r="J47" s="361"/>
      <c r="K47" s="366"/>
      <c r="L47" s="366"/>
      <c r="M47" s="361" t="e">
        <f t="shared" si="7"/>
        <v>#DIV/0!</v>
      </c>
      <c r="N47" s="361" t="e">
        <f t="shared" si="7"/>
        <v>#DIV/0!</v>
      </c>
      <c r="O47" s="361"/>
      <c r="P47" s="361"/>
      <c r="Q47" s="366"/>
      <c r="R47" s="366"/>
      <c r="S47" s="361" t="e">
        <f t="shared" si="8"/>
        <v>#DIV/0!</v>
      </c>
      <c r="T47" s="361" t="e">
        <f t="shared" si="8"/>
        <v>#DIV/0!</v>
      </c>
      <c r="U47" s="366"/>
      <c r="V47" s="366"/>
      <c r="W47" s="366"/>
      <c r="X47" s="366"/>
      <c r="Y47" s="361" t="e">
        <f t="shared" si="9"/>
        <v>#DIV/0!</v>
      </c>
      <c r="Z47" s="361" t="e">
        <f t="shared" si="9"/>
        <v>#DIV/0!</v>
      </c>
      <c r="AA47" s="366"/>
      <c r="AB47" s="366"/>
      <c r="AC47" s="366"/>
      <c r="AD47" s="366"/>
      <c r="AE47" s="361" t="e">
        <f t="shared" si="10"/>
        <v>#DIV/0!</v>
      </c>
      <c r="AF47" s="361" t="e">
        <f t="shared" si="10"/>
        <v>#DIV/0!</v>
      </c>
      <c r="AG47" s="366"/>
      <c r="AH47" s="366"/>
      <c r="AI47" s="367"/>
      <c r="AJ47" s="367"/>
      <c r="AK47" s="362" t="e">
        <f t="shared" si="11"/>
        <v>#DIV/0!</v>
      </c>
      <c r="AL47" s="362" t="e">
        <f t="shared" si="11"/>
        <v>#DIV/0!</v>
      </c>
      <c r="AM47" s="367"/>
      <c r="AN47" s="367"/>
      <c r="AO47" s="366"/>
      <c r="AP47" s="366"/>
      <c r="AQ47" s="361" t="e">
        <f t="shared" si="12"/>
        <v>#DIV/0!</v>
      </c>
      <c r="AR47" s="361" t="e">
        <f t="shared" si="12"/>
        <v>#DIV/0!</v>
      </c>
      <c r="AS47" s="366"/>
      <c r="AT47" s="366"/>
      <c r="AU47" s="366"/>
      <c r="AV47" s="366"/>
      <c r="AW47" s="361" t="e">
        <f t="shared" si="13"/>
        <v>#DIV/0!</v>
      </c>
      <c r="AX47" s="361" t="e">
        <f t="shared" si="13"/>
        <v>#DIV/0!</v>
      </c>
      <c r="AY47" s="366"/>
      <c r="AZ47" s="366"/>
      <c r="BA47" s="366"/>
      <c r="BB47" s="366"/>
      <c r="BC47" s="361" t="e">
        <f t="shared" si="14"/>
        <v>#DIV/0!</v>
      </c>
      <c r="BD47" s="361" t="e">
        <f t="shared" si="14"/>
        <v>#DIV/0!</v>
      </c>
      <c r="BE47" s="366"/>
      <c r="BF47" s="366"/>
      <c r="BG47" s="366"/>
      <c r="BH47" s="366">
        <f t="shared" si="74"/>
        <v>0</v>
      </c>
      <c r="BI47" s="361" t="e">
        <f t="shared" si="15"/>
        <v>#DIV/0!</v>
      </c>
      <c r="BJ47" s="361" t="e">
        <f t="shared" si="15"/>
        <v>#DIV/0!</v>
      </c>
      <c r="BK47" s="366"/>
      <c r="BL47" s="366"/>
      <c r="BM47" s="366"/>
    </row>
    <row r="48" spans="1:65" s="363" customFormat="1" ht="16.5" customHeight="1" x14ac:dyDescent="0.15">
      <c r="A48" s="364">
        <v>14</v>
      </c>
      <c r="B48" s="365" t="s">
        <v>242</v>
      </c>
      <c r="C48" s="694">
        <f t="shared" si="75"/>
        <v>46600</v>
      </c>
      <c r="D48" s="694">
        <f t="shared" si="75"/>
        <v>38110</v>
      </c>
      <c r="E48" s="376">
        <f t="shared" si="63"/>
        <v>32718</v>
      </c>
      <c r="F48" s="376">
        <f t="shared" si="43"/>
        <v>25757</v>
      </c>
      <c r="G48" s="361">
        <f t="shared" si="18"/>
        <v>70.210300429184542</v>
      </c>
      <c r="H48" s="361">
        <f t="shared" si="4"/>
        <v>67.585935450013125</v>
      </c>
      <c r="I48" s="361">
        <f>3000+280</f>
        <v>3280</v>
      </c>
      <c r="J48" s="361">
        <f>280+2350</f>
        <v>2630</v>
      </c>
      <c r="K48" s="366">
        <v>2768</v>
      </c>
      <c r="L48" s="366">
        <f>K48-592</f>
        <v>2176</v>
      </c>
      <c r="M48" s="361">
        <f t="shared" si="7"/>
        <v>84.390243902439025</v>
      </c>
      <c r="N48" s="361">
        <f t="shared" si="7"/>
        <v>82.737642585551328</v>
      </c>
      <c r="O48" s="361">
        <f>100+2100</f>
        <v>2200</v>
      </c>
      <c r="P48" s="361">
        <f>100+1620</f>
        <v>1720</v>
      </c>
      <c r="Q48" s="366">
        <v>1600</v>
      </c>
      <c r="R48" s="366">
        <f>Q48-342</f>
        <v>1258</v>
      </c>
      <c r="S48" s="361">
        <f t="shared" si="8"/>
        <v>72.727272727272734</v>
      </c>
      <c r="T48" s="361">
        <f t="shared" si="8"/>
        <v>73.139534883720927</v>
      </c>
      <c r="U48" s="366">
        <f>1660+170</f>
        <v>1830</v>
      </c>
      <c r="V48" s="366">
        <f>170+1310</f>
        <v>1480</v>
      </c>
      <c r="W48" s="366">
        <v>1500</v>
      </c>
      <c r="X48" s="366">
        <f>W48-321</f>
        <v>1179</v>
      </c>
      <c r="Y48" s="361">
        <f t="shared" si="9"/>
        <v>81.967213114754102</v>
      </c>
      <c r="Z48" s="361">
        <f t="shared" si="9"/>
        <v>79.662162162162161</v>
      </c>
      <c r="AA48" s="366">
        <f>3800+160</f>
        <v>3960</v>
      </c>
      <c r="AB48" s="366">
        <f>3620+160</f>
        <v>3780</v>
      </c>
      <c r="AC48" s="366">
        <v>2000</v>
      </c>
      <c r="AD48" s="366">
        <f>AC48-428</f>
        <v>1572</v>
      </c>
      <c r="AE48" s="361">
        <f t="shared" si="10"/>
        <v>50.505050505050505</v>
      </c>
      <c r="AF48" s="361">
        <f t="shared" si="10"/>
        <v>41.587301587301589</v>
      </c>
      <c r="AG48" s="366">
        <f>1900+100</f>
        <v>2000</v>
      </c>
      <c r="AH48" s="366">
        <v>1800</v>
      </c>
      <c r="AI48" s="367">
        <v>1600</v>
      </c>
      <c r="AJ48" s="367">
        <f>AI48-342</f>
        <v>1258</v>
      </c>
      <c r="AK48" s="362">
        <f t="shared" si="11"/>
        <v>80</v>
      </c>
      <c r="AL48" s="362">
        <f t="shared" si="11"/>
        <v>69.888888888888886</v>
      </c>
      <c r="AM48" s="367">
        <f>1060</f>
        <v>1060</v>
      </c>
      <c r="AN48" s="367">
        <v>660</v>
      </c>
      <c r="AO48" s="366">
        <v>900</v>
      </c>
      <c r="AP48" s="366">
        <f>AO48-193</f>
        <v>707</v>
      </c>
      <c r="AQ48" s="361">
        <f t="shared" si="12"/>
        <v>84.905660377358487</v>
      </c>
      <c r="AR48" s="361">
        <f t="shared" si="12"/>
        <v>107.12121212121212</v>
      </c>
      <c r="AS48" s="366">
        <f>90+3300</f>
        <v>3390</v>
      </c>
      <c r="AT48" s="366">
        <f>2200+90</f>
        <v>2290</v>
      </c>
      <c r="AU48" s="366">
        <v>1550</v>
      </c>
      <c r="AV48" s="366">
        <f>AU48-332</f>
        <v>1218</v>
      </c>
      <c r="AW48" s="361">
        <f t="shared" si="13"/>
        <v>45.722713864306783</v>
      </c>
      <c r="AX48" s="361">
        <f t="shared" si="13"/>
        <v>53.187772925764186</v>
      </c>
      <c r="AY48" s="366">
        <f>1740+40</f>
        <v>1780</v>
      </c>
      <c r="AZ48" s="366">
        <f>1500+40</f>
        <v>1540</v>
      </c>
      <c r="BA48" s="366">
        <v>1900</v>
      </c>
      <c r="BB48" s="366">
        <f>BA48-407</f>
        <v>1493</v>
      </c>
      <c r="BC48" s="361">
        <f t="shared" si="14"/>
        <v>106.74157303370787</v>
      </c>
      <c r="BD48" s="361">
        <f t="shared" si="14"/>
        <v>96.948051948051955</v>
      </c>
      <c r="BE48" s="366">
        <v>27100</v>
      </c>
      <c r="BF48" s="366">
        <v>22210</v>
      </c>
      <c r="BG48" s="366">
        <v>18900</v>
      </c>
      <c r="BH48" s="366">
        <f>BG48-4004</f>
        <v>14896</v>
      </c>
      <c r="BI48" s="361">
        <f t="shared" si="15"/>
        <v>69.741697416974162</v>
      </c>
      <c r="BJ48" s="361">
        <f t="shared" si="15"/>
        <v>67.068887888338594</v>
      </c>
      <c r="BK48" s="366"/>
      <c r="BL48" s="366"/>
      <c r="BM48" s="366"/>
    </row>
    <row r="49" spans="1:65" s="363" customFormat="1" ht="10.5" hidden="1" x14ac:dyDescent="0.15">
      <c r="A49" s="364">
        <v>15</v>
      </c>
      <c r="B49" s="365" t="s">
        <v>291</v>
      </c>
      <c r="C49" s="694">
        <f t="shared" si="75"/>
        <v>0</v>
      </c>
      <c r="D49" s="694">
        <f t="shared" si="75"/>
        <v>0</v>
      </c>
      <c r="E49" s="376">
        <f t="shared" si="63"/>
        <v>0</v>
      </c>
      <c r="F49" s="376"/>
      <c r="G49" s="361" t="e">
        <f t="shared" si="18"/>
        <v>#DIV/0!</v>
      </c>
      <c r="H49" s="361" t="e">
        <f t="shared" si="4"/>
        <v>#DIV/0!</v>
      </c>
      <c r="I49" s="361"/>
      <c r="J49" s="361"/>
      <c r="K49" s="366"/>
      <c r="L49" s="366"/>
      <c r="M49" s="361" t="e">
        <f t="shared" si="7"/>
        <v>#DIV/0!</v>
      </c>
      <c r="N49" s="361" t="e">
        <f t="shared" si="7"/>
        <v>#DIV/0!</v>
      </c>
      <c r="O49" s="361"/>
      <c r="P49" s="361"/>
      <c r="Q49" s="366"/>
      <c r="R49" s="366"/>
      <c r="S49" s="366"/>
      <c r="T49" s="366"/>
      <c r="U49" s="366"/>
      <c r="V49" s="366"/>
      <c r="W49" s="366"/>
      <c r="X49" s="366"/>
      <c r="Y49" s="366"/>
      <c r="Z49" s="366"/>
      <c r="AA49" s="366"/>
      <c r="AB49" s="366"/>
      <c r="AC49" s="366"/>
      <c r="AD49" s="366"/>
      <c r="AE49" s="361" t="e">
        <f t="shared" si="10"/>
        <v>#DIV/0!</v>
      </c>
      <c r="AF49" s="366"/>
      <c r="AG49" s="366"/>
      <c r="AH49" s="366"/>
      <c r="AI49" s="367"/>
      <c r="AJ49" s="367"/>
      <c r="AK49" s="362" t="e">
        <f t="shared" si="11"/>
        <v>#DIV/0!</v>
      </c>
      <c r="AL49" s="367"/>
      <c r="AM49" s="367"/>
      <c r="AN49" s="367"/>
      <c r="AO49" s="366"/>
      <c r="AP49" s="366"/>
      <c r="AQ49" s="366"/>
      <c r="AR49" s="366"/>
      <c r="AS49" s="366"/>
      <c r="AT49" s="366"/>
      <c r="AU49" s="366"/>
      <c r="AV49" s="366"/>
      <c r="AW49" s="366"/>
      <c r="AX49" s="366"/>
      <c r="AY49" s="366"/>
      <c r="AZ49" s="366"/>
      <c r="BA49" s="366"/>
      <c r="BB49" s="366"/>
      <c r="BC49" s="361" t="e">
        <f t="shared" si="14"/>
        <v>#DIV/0!</v>
      </c>
      <c r="BD49" s="366"/>
      <c r="BE49" s="366"/>
      <c r="BF49" s="366"/>
      <c r="BG49" s="366">
        <v>0</v>
      </c>
      <c r="BH49" s="366">
        <f t="shared" si="74"/>
        <v>0</v>
      </c>
      <c r="BI49" s="361" t="e">
        <f t="shared" si="15"/>
        <v>#DIV/0!</v>
      </c>
      <c r="BJ49" s="361" t="e">
        <f t="shared" si="15"/>
        <v>#DIV/0!</v>
      </c>
      <c r="BK49" s="366"/>
      <c r="BL49" s="366"/>
      <c r="BM49" s="366"/>
    </row>
    <row r="50" spans="1:65" s="363" customFormat="1" ht="21" customHeight="1" x14ac:dyDescent="0.15">
      <c r="A50" s="364">
        <v>15</v>
      </c>
      <c r="B50" s="365" t="s">
        <v>241</v>
      </c>
      <c r="C50" s="694">
        <f t="shared" ref="C50:D52" si="78">I50+O50+U50+AA50+AG50+AM50+AS50+AY50+BE50</f>
        <v>11000</v>
      </c>
      <c r="D50" s="694">
        <f t="shared" si="78"/>
        <v>3300</v>
      </c>
      <c r="E50" s="376">
        <f t="shared" si="63"/>
        <v>9000</v>
      </c>
      <c r="F50" s="376">
        <f>L50+R50+X50+AD50+AJ50+AP50+AV50+BB50+BH50</f>
        <v>6900</v>
      </c>
      <c r="G50" s="361">
        <f t="shared" si="18"/>
        <v>81.818181818181827</v>
      </c>
      <c r="H50" s="361">
        <f t="shared" si="4"/>
        <v>209.09090909090909</v>
      </c>
      <c r="I50" s="361"/>
      <c r="J50" s="361"/>
      <c r="K50" s="366">
        <v>0</v>
      </c>
      <c r="L50" s="366">
        <v>0</v>
      </c>
      <c r="M50" s="366"/>
      <c r="N50" s="366"/>
      <c r="O50" s="366"/>
      <c r="P50" s="366"/>
      <c r="Q50" s="366">
        <v>0</v>
      </c>
      <c r="R50" s="366">
        <v>0</v>
      </c>
      <c r="S50" s="366"/>
      <c r="T50" s="366"/>
      <c r="U50" s="366"/>
      <c r="V50" s="366"/>
      <c r="W50" s="366">
        <v>0</v>
      </c>
      <c r="X50" s="366">
        <v>0</v>
      </c>
      <c r="Y50" s="366"/>
      <c r="Z50" s="366"/>
      <c r="AA50" s="366"/>
      <c r="AB50" s="366"/>
      <c r="AC50" s="366">
        <v>0</v>
      </c>
      <c r="AD50" s="366">
        <v>0</v>
      </c>
      <c r="AE50" s="366"/>
      <c r="AF50" s="366"/>
      <c r="AG50" s="366"/>
      <c r="AH50" s="366"/>
      <c r="AI50" s="367"/>
      <c r="AJ50" s="367"/>
      <c r="AK50" s="367"/>
      <c r="AL50" s="367"/>
      <c r="AM50" s="367"/>
      <c r="AN50" s="367"/>
      <c r="AO50" s="366"/>
      <c r="AP50" s="366"/>
      <c r="AQ50" s="366"/>
      <c r="AR50" s="366"/>
      <c r="AS50" s="366"/>
      <c r="AT50" s="366"/>
      <c r="AU50" s="366"/>
      <c r="AV50" s="366"/>
      <c r="AW50" s="366"/>
      <c r="AX50" s="366"/>
      <c r="AY50" s="366"/>
      <c r="AZ50" s="366"/>
      <c r="BA50" s="366"/>
      <c r="BB50" s="366"/>
      <c r="BC50" s="366"/>
      <c r="BD50" s="366"/>
      <c r="BE50" s="366">
        <v>11000</v>
      </c>
      <c r="BF50" s="366">
        <v>3300</v>
      </c>
      <c r="BG50" s="366">
        <v>9000</v>
      </c>
      <c r="BH50" s="366">
        <f>6000+900</f>
        <v>6900</v>
      </c>
      <c r="BI50" s="361">
        <f t="shared" si="15"/>
        <v>81.818181818181827</v>
      </c>
      <c r="BJ50" s="361">
        <f t="shared" si="15"/>
        <v>209.09090909090909</v>
      </c>
      <c r="BK50" s="366"/>
      <c r="BL50" s="366"/>
      <c r="BM50" s="366"/>
    </row>
    <row r="51" spans="1:65" s="363" customFormat="1" ht="16.5" customHeight="1" x14ac:dyDescent="0.15">
      <c r="A51" s="364">
        <v>16</v>
      </c>
      <c r="B51" s="365" t="s">
        <v>250</v>
      </c>
      <c r="C51" s="694">
        <f t="shared" si="78"/>
        <v>15000</v>
      </c>
      <c r="D51" s="694">
        <f t="shared" si="78"/>
        <v>15000</v>
      </c>
      <c r="E51" s="376">
        <f t="shared" si="63"/>
        <v>15000</v>
      </c>
      <c r="F51" s="376">
        <f>L51+R51+X51+AD51+AJ51+AP51+AV51+BB51+BH51</f>
        <v>15000</v>
      </c>
      <c r="G51" s="361">
        <f t="shared" si="18"/>
        <v>100</v>
      </c>
      <c r="H51" s="361">
        <f t="shared" si="4"/>
        <v>100</v>
      </c>
      <c r="I51" s="361"/>
      <c r="J51" s="361"/>
      <c r="K51" s="366">
        <v>0</v>
      </c>
      <c r="L51" s="366">
        <v>0</v>
      </c>
      <c r="M51" s="366"/>
      <c r="N51" s="366"/>
      <c r="O51" s="366"/>
      <c r="P51" s="366"/>
      <c r="Q51" s="366">
        <v>0</v>
      </c>
      <c r="R51" s="366">
        <v>0</v>
      </c>
      <c r="S51" s="366"/>
      <c r="T51" s="366"/>
      <c r="U51" s="366"/>
      <c r="V51" s="366"/>
      <c r="W51" s="366">
        <v>0</v>
      </c>
      <c r="X51" s="366">
        <v>0</v>
      </c>
      <c r="Y51" s="366"/>
      <c r="Z51" s="366"/>
      <c r="AA51" s="366"/>
      <c r="AB51" s="366"/>
      <c r="AC51" s="366">
        <v>0</v>
      </c>
      <c r="AD51" s="366">
        <v>0</v>
      </c>
      <c r="AE51" s="366"/>
      <c r="AF51" s="366"/>
      <c r="AG51" s="366"/>
      <c r="AH51" s="366"/>
      <c r="AI51" s="367"/>
      <c r="AJ51" s="367"/>
      <c r="AK51" s="367"/>
      <c r="AL51" s="367"/>
      <c r="AM51" s="367"/>
      <c r="AN51" s="367"/>
      <c r="AO51" s="366"/>
      <c r="AP51" s="366"/>
      <c r="AQ51" s="366"/>
      <c r="AR51" s="366"/>
      <c r="AS51" s="366"/>
      <c r="AT51" s="366"/>
      <c r="AU51" s="366"/>
      <c r="AV51" s="366"/>
      <c r="AW51" s="366"/>
      <c r="AX51" s="366"/>
      <c r="AY51" s="366"/>
      <c r="AZ51" s="366"/>
      <c r="BA51" s="366"/>
      <c r="BB51" s="366"/>
      <c r="BC51" s="366"/>
      <c r="BD51" s="366"/>
      <c r="BE51" s="366">
        <v>15000</v>
      </c>
      <c r="BF51" s="366">
        <f>BE51</f>
        <v>15000</v>
      </c>
      <c r="BG51" s="366">
        <v>15000</v>
      </c>
      <c r="BH51" s="366">
        <f t="shared" si="74"/>
        <v>15000</v>
      </c>
      <c r="BI51" s="361">
        <f t="shared" si="15"/>
        <v>100</v>
      </c>
      <c r="BJ51" s="361">
        <f t="shared" si="15"/>
        <v>100</v>
      </c>
      <c r="BK51" s="366"/>
      <c r="BL51" s="366"/>
      <c r="BM51" s="366"/>
    </row>
    <row r="52" spans="1:65" s="363" customFormat="1" ht="3.75" hidden="1" customHeight="1" x14ac:dyDescent="0.15">
      <c r="A52" s="364" t="s">
        <v>11</v>
      </c>
      <c r="B52" s="365" t="s">
        <v>8</v>
      </c>
      <c r="C52" s="694">
        <f t="shared" si="78"/>
        <v>0</v>
      </c>
      <c r="D52" s="694"/>
      <c r="E52" s="376"/>
      <c r="F52" s="376">
        <f>L52+R52+X52+AD52+AJ52+AP52+AV52+BB52+BH52</f>
        <v>0</v>
      </c>
      <c r="G52" s="361" t="e">
        <f t="shared" si="18"/>
        <v>#DIV/0!</v>
      </c>
      <c r="H52" s="361" t="e">
        <f t="shared" si="4"/>
        <v>#DIV/0!</v>
      </c>
      <c r="I52" s="361"/>
      <c r="J52" s="361"/>
      <c r="K52" s="366"/>
      <c r="L52" s="366"/>
      <c r="M52" s="366"/>
      <c r="N52" s="366"/>
      <c r="O52" s="366"/>
      <c r="P52" s="366"/>
      <c r="Q52" s="366"/>
      <c r="R52" s="366"/>
      <c r="S52" s="366"/>
      <c r="T52" s="366"/>
      <c r="U52" s="366"/>
      <c r="V52" s="366"/>
      <c r="W52" s="366"/>
      <c r="X52" s="366"/>
      <c r="Y52" s="366"/>
      <c r="Z52" s="366"/>
      <c r="AA52" s="366"/>
      <c r="AB52" s="366"/>
      <c r="AC52" s="366"/>
      <c r="AD52" s="366"/>
      <c r="AE52" s="366"/>
      <c r="AF52" s="366"/>
      <c r="AG52" s="366"/>
      <c r="AH52" s="366"/>
      <c r="AI52" s="367"/>
      <c r="AJ52" s="367"/>
      <c r="AK52" s="367"/>
      <c r="AL52" s="367"/>
      <c r="AM52" s="367"/>
      <c r="AN52" s="367"/>
      <c r="AO52" s="366"/>
      <c r="AP52" s="366"/>
      <c r="AQ52" s="366"/>
      <c r="AR52" s="366"/>
      <c r="AS52" s="366"/>
      <c r="AT52" s="366"/>
      <c r="AU52" s="366"/>
      <c r="AV52" s="366"/>
      <c r="AW52" s="366"/>
      <c r="AX52" s="366"/>
      <c r="AY52" s="366"/>
      <c r="AZ52" s="366"/>
      <c r="BA52" s="366"/>
      <c r="BB52" s="366"/>
      <c r="BC52" s="366"/>
      <c r="BD52" s="366"/>
      <c r="BE52" s="366"/>
      <c r="BF52" s="366"/>
      <c r="BG52" s="366"/>
      <c r="BH52" s="366"/>
      <c r="BI52" s="366"/>
      <c r="BJ52" s="366"/>
      <c r="BK52" s="366"/>
      <c r="BL52" s="366"/>
      <c r="BM52" s="366"/>
    </row>
    <row r="53" spans="1:65" s="363" customFormat="1" ht="17.25" customHeight="1" x14ac:dyDescent="0.15">
      <c r="A53" s="379" t="s">
        <v>11</v>
      </c>
      <c r="B53" s="380" t="s">
        <v>251</v>
      </c>
      <c r="C53" s="696">
        <f>I53+O53+U53+AA53+AG53+AM53+AS53+AY53+BE53+BK53</f>
        <v>5000</v>
      </c>
      <c r="D53" s="696"/>
      <c r="E53" s="696">
        <f>BL53</f>
        <v>1800</v>
      </c>
      <c r="F53" s="697">
        <f>L53+R53+X53+AD53+AJ53+AP53+AV53+BB53+BH53</f>
        <v>0</v>
      </c>
      <c r="G53" s="696">
        <f t="shared" si="18"/>
        <v>36</v>
      </c>
      <c r="H53" s="697"/>
      <c r="I53" s="697"/>
      <c r="J53" s="697"/>
      <c r="K53" s="696"/>
      <c r="L53" s="698"/>
      <c r="M53" s="698"/>
      <c r="N53" s="698"/>
      <c r="O53" s="698"/>
      <c r="P53" s="698"/>
      <c r="Q53" s="698"/>
      <c r="R53" s="698"/>
      <c r="S53" s="698"/>
      <c r="T53" s="698"/>
      <c r="U53" s="698"/>
      <c r="V53" s="698"/>
      <c r="W53" s="698"/>
      <c r="X53" s="698"/>
      <c r="Y53" s="698"/>
      <c r="Z53" s="698"/>
      <c r="AA53" s="698"/>
      <c r="AB53" s="698"/>
      <c r="AC53" s="698"/>
      <c r="AD53" s="698"/>
      <c r="AE53" s="698"/>
      <c r="AF53" s="698"/>
      <c r="AG53" s="698"/>
      <c r="AH53" s="698"/>
      <c r="AI53" s="699"/>
      <c r="AJ53" s="699"/>
      <c r="AK53" s="699"/>
      <c r="AL53" s="699"/>
      <c r="AM53" s="699"/>
      <c r="AN53" s="699"/>
      <c r="AO53" s="698"/>
      <c r="AP53" s="698"/>
      <c r="AQ53" s="698"/>
      <c r="AR53" s="698"/>
      <c r="AS53" s="698"/>
      <c r="AT53" s="698"/>
      <c r="AU53" s="698"/>
      <c r="AV53" s="698"/>
      <c r="AW53" s="698"/>
      <c r="AX53" s="698"/>
      <c r="AY53" s="698"/>
      <c r="AZ53" s="698"/>
      <c r="BA53" s="698"/>
      <c r="BB53" s="698"/>
      <c r="BC53" s="698"/>
      <c r="BD53" s="698"/>
      <c r="BE53" s="698"/>
      <c r="BF53" s="698"/>
      <c r="BG53" s="698"/>
      <c r="BH53" s="698"/>
      <c r="BI53" s="698"/>
      <c r="BJ53" s="698"/>
      <c r="BK53" s="698">
        <v>5000</v>
      </c>
      <c r="BL53" s="698">
        <v>1800</v>
      </c>
      <c r="BM53" s="698">
        <f>BL53/BK53*100</f>
        <v>36</v>
      </c>
    </row>
    <row r="54" spans="1:65" s="359" customFormat="1" ht="11.25" hidden="1" x14ac:dyDescent="0.2">
      <c r="A54" s="700"/>
      <c r="B54" s="701" t="s">
        <v>573</v>
      </c>
      <c r="C54" s="702"/>
      <c r="D54" s="702"/>
      <c r="E54" s="703"/>
      <c r="F54" s="703"/>
      <c r="G54" s="703"/>
      <c r="H54" s="703"/>
      <c r="I54" s="703"/>
      <c r="J54" s="703"/>
      <c r="K54" s="692"/>
      <c r="L54" s="692"/>
      <c r="M54" s="692"/>
      <c r="N54" s="692"/>
      <c r="O54" s="692"/>
      <c r="P54" s="692"/>
      <c r="Q54" s="692"/>
      <c r="R54" s="692"/>
      <c r="S54" s="692"/>
      <c r="T54" s="692"/>
      <c r="U54" s="692"/>
      <c r="V54" s="692"/>
      <c r="W54" s="692"/>
      <c r="X54" s="692"/>
      <c r="Y54" s="692"/>
      <c r="Z54" s="692"/>
      <c r="AA54" s="692"/>
      <c r="AB54" s="692"/>
      <c r="AC54" s="692"/>
      <c r="AD54" s="692"/>
      <c r="AE54" s="692"/>
      <c r="AF54" s="692"/>
      <c r="AG54" s="692"/>
      <c r="AH54" s="692"/>
      <c r="AI54" s="692"/>
      <c r="AJ54" s="692"/>
      <c r="AK54" s="692"/>
      <c r="AL54" s="692"/>
      <c r="AM54" s="692"/>
      <c r="AN54" s="692"/>
      <c r="AO54" s="692"/>
      <c r="AP54" s="692"/>
      <c r="AQ54" s="692"/>
      <c r="AR54" s="692"/>
      <c r="AS54" s="692"/>
      <c r="AT54" s="692"/>
      <c r="AU54" s="692"/>
      <c r="AV54" s="692"/>
      <c r="AW54" s="692"/>
      <c r="AX54" s="692"/>
      <c r="AY54" s="692"/>
      <c r="AZ54" s="692"/>
      <c r="BA54" s="692"/>
      <c r="BB54" s="692"/>
      <c r="BC54" s="692"/>
      <c r="BD54" s="692"/>
      <c r="BE54" s="692"/>
      <c r="BF54" s="692"/>
      <c r="BG54" s="692"/>
      <c r="BH54" s="692"/>
      <c r="BI54" s="692"/>
      <c r="BJ54" s="692"/>
      <c r="BK54" s="692"/>
      <c r="BL54" s="692"/>
      <c r="BM54" s="704"/>
    </row>
    <row r="55" spans="1:65" s="359" customFormat="1" ht="11.25" hidden="1" x14ac:dyDescent="0.2">
      <c r="A55" s="369"/>
      <c r="B55" s="378" t="s">
        <v>574</v>
      </c>
      <c r="C55" s="705"/>
      <c r="D55" s="705"/>
      <c r="E55" s="371"/>
      <c r="F55" s="371"/>
      <c r="G55" s="371"/>
      <c r="H55" s="371"/>
      <c r="I55" s="371"/>
      <c r="J55" s="371"/>
      <c r="K55" s="372"/>
      <c r="L55" s="372"/>
      <c r="M55" s="372"/>
      <c r="N55" s="372"/>
      <c r="O55" s="372"/>
      <c r="P55" s="372"/>
      <c r="Q55" s="372"/>
      <c r="R55" s="372"/>
      <c r="S55" s="372"/>
      <c r="T55" s="372"/>
      <c r="U55" s="372"/>
      <c r="V55" s="372"/>
      <c r="W55" s="372"/>
      <c r="X55" s="372"/>
      <c r="Y55" s="372"/>
      <c r="Z55" s="372"/>
      <c r="AA55" s="372"/>
      <c r="AB55" s="372"/>
      <c r="AC55" s="372"/>
      <c r="AD55" s="372"/>
      <c r="AE55" s="372"/>
      <c r="AF55" s="372"/>
      <c r="AG55" s="372"/>
      <c r="AH55" s="372"/>
      <c r="AI55" s="372"/>
      <c r="AJ55" s="372"/>
      <c r="AK55" s="372"/>
      <c r="AL55" s="372"/>
      <c r="AM55" s="372"/>
      <c r="AN55" s="372"/>
      <c r="AO55" s="372"/>
      <c r="AP55" s="372"/>
      <c r="AQ55" s="372"/>
      <c r="AR55" s="372"/>
      <c r="AS55" s="372"/>
      <c r="AT55" s="372"/>
      <c r="AU55" s="372"/>
      <c r="AV55" s="372"/>
      <c r="AW55" s="372"/>
      <c r="AX55" s="372"/>
      <c r="AY55" s="372"/>
      <c r="AZ55" s="372"/>
      <c r="BA55" s="372"/>
      <c r="BB55" s="372"/>
      <c r="BC55" s="372"/>
      <c r="BD55" s="372"/>
      <c r="BE55" s="372"/>
      <c r="BF55" s="372"/>
      <c r="BG55" s="372"/>
      <c r="BH55" s="372"/>
      <c r="BI55" s="372"/>
      <c r="BJ55" s="372"/>
      <c r="BK55" s="372"/>
      <c r="BL55" s="372"/>
      <c r="BM55" s="704"/>
    </row>
    <row r="56" spans="1:65" s="359" customFormat="1" ht="11.25" hidden="1" x14ac:dyDescent="0.2">
      <c r="A56" s="369"/>
      <c r="B56" s="378" t="s">
        <v>575</v>
      </c>
      <c r="C56" s="705"/>
      <c r="D56" s="705"/>
      <c r="E56" s="371"/>
      <c r="F56" s="371"/>
      <c r="G56" s="371"/>
      <c r="H56" s="371"/>
      <c r="I56" s="371"/>
      <c r="J56" s="371"/>
      <c r="K56" s="372"/>
      <c r="L56" s="372"/>
      <c r="M56" s="372"/>
      <c r="N56" s="372"/>
      <c r="O56" s="372"/>
      <c r="P56" s="372"/>
      <c r="Q56" s="372"/>
      <c r="R56" s="372"/>
      <c r="S56" s="372"/>
      <c r="T56" s="372"/>
      <c r="U56" s="372"/>
      <c r="V56" s="372"/>
      <c r="W56" s="372"/>
      <c r="X56" s="372"/>
      <c r="Y56" s="372"/>
      <c r="Z56" s="372"/>
      <c r="AA56" s="372"/>
      <c r="AB56" s="372"/>
      <c r="AC56" s="372"/>
      <c r="AD56" s="372"/>
      <c r="AE56" s="372"/>
      <c r="AF56" s="372"/>
      <c r="AG56" s="372"/>
      <c r="AH56" s="372"/>
      <c r="AI56" s="372"/>
      <c r="AJ56" s="372"/>
      <c r="AK56" s="372"/>
      <c r="AL56" s="372"/>
      <c r="AM56" s="372"/>
      <c r="AN56" s="372"/>
      <c r="AO56" s="372"/>
      <c r="AP56" s="372"/>
      <c r="AQ56" s="372"/>
      <c r="AR56" s="372"/>
      <c r="AS56" s="372"/>
      <c r="AT56" s="372"/>
      <c r="AU56" s="372"/>
      <c r="AV56" s="372"/>
      <c r="AW56" s="372"/>
      <c r="AX56" s="372"/>
      <c r="AY56" s="372"/>
      <c r="AZ56" s="372"/>
      <c r="BA56" s="372"/>
      <c r="BB56" s="372"/>
      <c r="BC56" s="372"/>
      <c r="BD56" s="372"/>
      <c r="BE56" s="372"/>
      <c r="BF56" s="372"/>
      <c r="BG56" s="372"/>
      <c r="BH56" s="372"/>
      <c r="BI56" s="372"/>
      <c r="BJ56" s="372"/>
      <c r="BK56" s="372"/>
      <c r="BL56" s="372"/>
      <c r="BM56" s="704"/>
    </row>
    <row r="57" spans="1:65" s="359" customFormat="1" ht="11.25" hidden="1" x14ac:dyDescent="0.2">
      <c r="A57" s="369"/>
      <c r="B57" s="378" t="s">
        <v>576</v>
      </c>
      <c r="C57" s="705"/>
      <c r="D57" s="705"/>
      <c r="E57" s="371"/>
      <c r="F57" s="371"/>
      <c r="G57" s="371"/>
      <c r="H57" s="371"/>
      <c r="I57" s="371"/>
      <c r="J57" s="371"/>
      <c r="K57" s="372"/>
      <c r="L57" s="372"/>
      <c r="M57" s="372"/>
      <c r="N57" s="372"/>
      <c r="O57" s="372"/>
      <c r="P57" s="372"/>
      <c r="Q57" s="372"/>
      <c r="R57" s="372"/>
      <c r="S57" s="372"/>
      <c r="T57" s="372"/>
      <c r="U57" s="372"/>
      <c r="V57" s="372"/>
      <c r="W57" s="372"/>
      <c r="X57" s="372"/>
      <c r="Y57" s="372"/>
      <c r="Z57" s="372"/>
      <c r="AA57" s="372"/>
      <c r="AB57" s="372"/>
      <c r="AC57" s="372"/>
      <c r="AD57" s="372"/>
      <c r="AE57" s="372"/>
      <c r="AF57" s="372"/>
      <c r="AG57" s="372"/>
      <c r="AH57" s="372"/>
      <c r="AI57" s="372"/>
      <c r="AJ57" s="372"/>
      <c r="AK57" s="372"/>
      <c r="AL57" s="372"/>
      <c r="AM57" s="372"/>
      <c r="AN57" s="372"/>
      <c r="AO57" s="372"/>
      <c r="AP57" s="372"/>
      <c r="AQ57" s="372"/>
      <c r="AR57" s="372"/>
      <c r="AS57" s="372"/>
      <c r="AT57" s="372"/>
      <c r="AU57" s="372"/>
      <c r="AV57" s="372"/>
      <c r="AW57" s="372"/>
      <c r="AX57" s="372"/>
      <c r="AY57" s="372"/>
      <c r="AZ57" s="372"/>
      <c r="BA57" s="372"/>
      <c r="BB57" s="372"/>
      <c r="BC57" s="372"/>
      <c r="BD57" s="372"/>
      <c r="BE57" s="372"/>
      <c r="BF57" s="372"/>
      <c r="BG57" s="372"/>
      <c r="BH57" s="372"/>
      <c r="BI57" s="372"/>
      <c r="BJ57" s="372"/>
      <c r="BK57" s="372"/>
      <c r="BL57" s="372"/>
      <c r="BM57" s="704"/>
    </row>
    <row r="58" spans="1:65" s="359" customFormat="1" ht="11.25" hidden="1" x14ac:dyDescent="0.2">
      <c r="A58" s="369"/>
      <c r="B58" s="378" t="s">
        <v>570</v>
      </c>
      <c r="C58" s="705"/>
      <c r="D58" s="705"/>
      <c r="E58" s="371"/>
      <c r="F58" s="371"/>
      <c r="G58" s="371"/>
      <c r="H58" s="371"/>
      <c r="I58" s="371"/>
      <c r="J58" s="371"/>
      <c r="K58" s="372"/>
      <c r="L58" s="372"/>
      <c r="M58" s="372"/>
      <c r="N58" s="372"/>
      <c r="O58" s="372"/>
      <c r="P58" s="372"/>
      <c r="Q58" s="372"/>
      <c r="R58" s="372"/>
      <c r="S58" s="372"/>
      <c r="T58" s="372"/>
      <c r="U58" s="372"/>
      <c r="V58" s="372"/>
      <c r="W58" s="372"/>
      <c r="X58" s="372"/>
      <c r="Y58" s="372"/>
      <c r="Z58" s="372"/>
      <c r="AA58" s="372"/>
      <c r="AB58" s="372"/>
      <c r="AC58" s="372"/>
      <c r="AD58" s="372"/>
      <c r="AE58" s="372"/>
      <c r="AF58" s="372"/>
      <c r="AG58" s="372"/>
      <c r="AH58" s="372"/>
      <c r="AI58" s="372"/>
      <c r="AJ58" s="372"/>
      <c r="AK58" s="372"/>
      <c r="AL58" s="372"/>
      <c r="AM58" s="372"/>
      <c r="AN58" s="372"/>
      <c r="AO58" s="372"/>
      <c r="AP58" s="372"/>
      <c r="AQ58" s="372"/>
      <c r="AR58" s="372"/>
      <c r="AS58" s="372"/>
      <c r="AT58" s="372"/>
      <c r="AU58" s="372"/>
      <c r="AV58" s="372"/>
      <c r="AW58" s="372"/>
      <c r="AX58" s="372"/>
      <c r="AY58" s="372"/>
      <c r="AZ58" s="372"/>
      <c r="BA58" s="372"/>
      <c r="BB58" s="372"/>
      <c r="BC58" s="372"/>
      <c r="BD58" s="372"/>
      <c r="BE58" s="372"/>
      <c r="BF58" s="372"/>
      <c r="BG58" s="372"/>
      <c r="BH58" s="372"/>
      <c r="BI58" s="372"/>
      <c r="BJ58" s="372"/>
      <c r="BK58" s="372"/>
      <c r="BL58" s="372"/>
      <c r="BM58" s="704"/>
    </row>
    <row r="59" spans="1:65" s="359" customFormat="1" ht="11.25" hidden="1" x14ac:dyDescent="0.2">
      <c r="A59" s="369"/>
      <c r="B59" s="378" t="s">
        <v>564</v>
      </c>
      <c r="C59" s="705"/>
      <c r="D59" s="705"/>
      <c r="E59" s="371"/>
      <c r="F59" s="371"/>
      <c r="G59" s="371"/>
      <c r="H59" s="371"/>
      <c r="I59" s="371"/>
      <c r="J59" s="371"/>
      <c r="K59" s="372"/>
      <c r="L59" s="372"/>
      <c r="M59" s="372"/>
      <c r="N59" s="372"/>
      <c r="O59" s="372"/>
      <c r="P59" s="372"/>
      <c r="Q59" s="372"/>
      <c r="R59" s="372"/>
      <c r="S59" s="372"/>
      <c r="T59" s="372"/>
      <c r="U59" s="372"/>
      <c r="V59" s="372"/>
      <c r="W59" s="372"/>
      <c r="X59" s="372"/>
      <c r="Y59" s="372"/>
      <c r="Z59" s="372"/>
      <c r="AA59" s="372"/>
      <c r="AB59" s="372"/>
      <c r="AC59" s="372"/>
      <c r="AD59" s="372"/>
      <c r="AE59" s="372"/>
      <c r="AF59" s="372"/>
      <c r="AG59" s="372"/>
      <c r="AH59" s="372"/>
      <c r="AI59" s="372"/>
      <c r="AJ59" s="372"/>
      <c r="AK59" s="372"/>
      <c r="AL59" s="372"/>
      <c r="AM59" s="372"/>
      <c r="AN59" s="372"/>
      <c r="AO59" s="372"/>
      <c r="AP59" s="372"/>
      <c r="AQ59" s="372"/>
      <c r="AR59" s="372"/>
      <c r="AS59" s="372"/>
      <c r="AT59" s="372"/>
      <c r="AU59" s="372"/>
      <c r="AV59" s="372"/>
      <c r="AW59" s="372"/>
      <c r="AX59" s="372"/>
      <c r="AY59" s="372"/>
      <c r="AZ59" s="372"/>
      <c r="BA59" s="372"/>
      <c r="BB59" s="372"/>
      <c r="BC59" s="372"/>
      <c r="BD59" s="372"/>
      <c r="BE59" s="372"/>
      <c r="BF59" s="372"/>
      <c r="BG59" s="372"/>
      <c r="BH59" s="372"/>
      <c r="BI59" s="372"/>
      <c r="BJ59" s="372"/>
      <c r="BK59" s="372"/>
      <c r="BL59" s="372"/>
      <c r="BM59" s="704"/>
    </row>
    <row r="60" spans="1:65" s="359" customFormat="1" ht="11.25" hidden="1" x14ac:dyDescent="0.2">
      <c r="A60" s="379" t="s">
        <v>14</v>
      </c>
      <c r="B60" s="380" t="s">
        <v>243</v>
      </c>
      <c r="C60" s="696"/>
      <c r="D60" s="696"/>
      <c r="E60" s="381"/>
      <c r="F60" s="381"/>
      <c r="G60" s="381"/>
      <c r="H60" s="381"/>
      <c r="I60" s="381"/>
      <c r="J60" s="381"/>
      <c r="K60" s="382"/>
      <c r="L60" s="382"/>
      <c r="M60" s="382"/>
      <c r="N60" s="382"/>
      <c r="O60" s="382"/>
      <c r="P60" s="382"/>
      <c r="Q60" s="382"/>
      <c r="R60" s="382"/>
      <c r="S60" s="382"/>
      <c r="T60" s="382"/>
      <c r="U60" s="382"/>
      <c r="V60" s="382"/>
      <c r="W60" s="382"/>
      <c r="X60" s="382"/>
      <c r="Y60" s="382"/>
      <c r="Z60" s="382"/>
      <c r="AA60" s="382"/>
      <c r="AB60" s="382"/>
      <c r="AC60" s="382"/>
      <c r="AD60" s="382"/>
      <c r="AE60" s="382"/>
      <c r="AF60" s="382"/>
      <c r="AG60" s="382"/>
      <c r="AH60" s="382"/>
      <c r="AI60" s="382"/>
      <c r="AJ60" s="382"/>
      <c r="AK60" s="382"/>
      <c r="AL60" s="382"/>
      <c r="AM60" s="382"/>
      <c r="AN60" s="382"/>
      <c r="AO60" s="382"/>
      <c r="AP60" s="382"/>
      <c r="AQ60" s="382"/>
      <c r="AR60" s="382"/>
      <c r="AS60" s="382"/>
      <c r="AT60" s="382"/>
      <c r="AU60" s="382"/>
      <c r="AV60" s="382"/>
      <c r="AW60" s="382"/>
      <c r="AX60" s="382"/>
      <c r="AY60" s="382"/>
      <c r="AZ60" s="382"/>
      <c r="BA60" s="382"/>
      <c r="BB60" s="382"/>
      <c r="BC60" s="382"/>
      <c r="BD60" s="382"/>
      <c r="BE60" s="382"/>
      <c r="BF60" s="382"/>
      <c r="BG60" s="382"/>
      <c r="BH60" s="382"/>
      <c r="BI60" s="382"/>
      <c r="BJ60" s="382"/>
      <c r="BK60" s="382"/>
      <c r="BL60" s="382"/>
      <c r="BM60" s="704"/>
    </row>
    <row r="61" spans="1:65" hidden="1" x14ac:dyDescent="0.2"/>
    <row r="62" spans="1:65" hidden="1" x14ac:dyDescent="0.2">
      <c r="B62" s="279" t="s">
        <v>1433</v>
      </c>
      <c r="E62" s="279">
        <v>7000</v>
      </c>
    </row>
    <row r="63" spans="1:65" hidden="1" x14ac:dyDescent="0.2">
      <c r="E63" s="678">
        <f>E62/E48</f>
        <v>0.21394950791613179</v>
      </c>
      <c r="F63" s="281">
        <f>K63+Q63+W63+AC63+AI63+AO63+BA63+BG63+AU63</f>
        <v>6999.9999999999991</v>
      </c>
      <c r="K63" s="376">
        <f>K48*$E$63</f>
        <v>592.21223791185275</v>
      </c>
      <c r="L63" s="376"/>
      <c r="M63" s="376"/>
      <c r="N63" s="376"/>
      <c r="O63" s="376"/>
      <c r="P63" s="376"/>
      <c r="Q63" s="376">
        <f>Q48*$E$63</f>
        <v>342.31921266581088</v>
      </c>
      <c r="R63" s="376"/>
      <c r="S63" s="376"/>
      <c r="T63" s="376"/>
      <c r="U63" s="376"/>
      <c r="V63" s="376"/>
      <c r="W63" s="376">
        <f>W48*$E$63</f>
        <v>320.92426187419767</v>
      </c>
      <c r="X63" s="376"/>
      <c r="Y63" s="376"/>
      <c r="Z63" s="376"/>
      <c r="AA63" s="376"/>
      <c r="AB63" s="376"/>
      <c r="AC63" s="376">
        <f>AC48*$E$63</f>
        <v>427.89901583226356</v>
      </c>
      <c r="AD63" s="376"/>
      <c r="AE63" s="376"/>
      <c r="AF63" s="376"/>
      <c r="AG63" s="376"/>
      <c r="AH63" s="376"/>
      <c r="AI63" s="376">
        <f>AI48*$E$63</f>
        <v>342.31921266581088</v>
      </c>
      <c r="AJ63" s="376"/>
      <c r="AK63" s="376"/>
      <c r="AL63" s="376"/>
      <c r="AM63" s="376"/>
      <c r="AN63" s="376"/>
      <c r="AO63" s="376">
        <f>AO48*$E$63</f>
        <v>192.55455712451862</v>
      </c>
      <c r="AP63" s="376"/>
      <c r="AQ63" s="376"/>
      <c r="AR63" s="376"/>
      <c r="AS63" s="376"/>
      <c r="AT63" s="376"/>
      <c r="AU63" s="376">
        <f>AU48*$E$63</f>
        <v>331.6217372700043</v>
      </c>
      <c r="AV63" s="376"/>
      <c r="AW63" s="376"/>
      <c r="AX63" s="376"/>
      <c r="AY63" s="376"/>
      <c r="AZ63" s="376"/>
      <c r="BA63" s="376">
        <f>BA48*$E$63</f>
        <v>406.5040650406504</v>
      </c>
      <c r="BB63" s="376"/>
      <c r="BC63" s="376"/>
      <c r="BD63" s="376"/>
      <c r="BE63" s="376"/>
      <c r="BF63" s="376"/>
      <c r="BG63" s="376">
        <f>BG48*$E$63</f>
        <v>4043.6456996148909</v>
      </c>
      <c r="BH63" s="376"/>
      <c r="BI63" s="706"/>
      <c r="BJ63" s="706"/>
      <c r="BK63" s="706"/>
    </row>
    <row r="64" spans="1:65" hidden="1" x14ac:dyDescent="0.2">
      <c r="B64" s="279" t="s">
        <v>1434</v>
      </c>
      <c r="E64" s="279">
        <v>3000</v>
      </c>
      <c r="F64" s="281">
        <f>K64+Q64+W64+AC64+AI64+AO64+BA64+BG64+AU64</f>
        <v>0</v>
      </c>
    </row>
    <row r="65" spans="2:63" hidden="1" x14ac:dyDescent="0.2">
      <c r="E65" s="678">
        <f>E64/E43</f>
        <v>4.3823129847933739E-2</v>
      </c>
      <c r="F65" s="281">
        <f>K65+Q65+W65+AC65+AI65+AO65+BA65+BG65+AU65</f>
        <v>3000.0000000000005</v>
      </c>
      <c r="K65" s="376">
        <f>K43*$E$65</f>
        <v>105.17551163504098</v>
      </c>
      <c r="L65" s="376"/>
      <c r="M65" s="376"/>
      <c r="N65" s="376"/>
      <c r="O65" s="376"/>
      <c r="P65" s="376"/>
      <c r="Q65" s="376">
        <f t="shared" ref="Q65:BG65" si="79">Q43*$E$65</f>
        <v>43.823129847933743</v>
      </c>
      <c r="R65" s="376"/>
      <c r="S65" s="376"/>
      <c r="T65" s="376"/>
      <c r="U65" s="376"/>
      <c r="V65" s="376"/>
      <c r="W65" s="376">
        <f t="shared" si="79"/>
        <v>52.587755817520488</v>
      </c>
      <c r="X65" s="376"/>
      <c r="Y65" s="376"/>
      <c r="Z65" s="376"/>
      <c r="AA65" s="376"/>
      <c r="AB65" s="376"/>
      <c r="AC65" s="376">
        <f t="shared" si="79"/>
        <v>2366.449011788422</v>
      </c>
      <c r="AD65" s="376"/>
      <c r="AE65" s="376"/>
      <c r="AF65" s="376"/>
      <c r="AG65" s="376"/>
      <c r="AH65" s="376"/>
      <c r="AI65" s="376">
        <f t="shared" si="79"/>
        <v>65.164994083877474</v>
      </c>
      <c r="AJ65" s="376"/>
      <c r="AK65" s="376"/>
      <c r="AL65" s="376"/>
      <c r="AM65" s="376"/>
      <c r="AN65" s="376"/>
      <c r="AO65" s="376">
        <f t="shared" si="79"/>
        <v>17.529251939173495</v>
      </c>
      <c r="AP65" s="376"/>
      <c r="AQ65" s="376"/>
      <c r="AR65" s="376"/>
      <c r="AS65" s="376"/>
      <c r="AT65" s="376"/>
      <c r="AU65" s="376">
        <f t="shared" si="79"/>
        <v>140.23401551338796</v>
      </c>
      <c r="AV65" s="376"/>
      <c r="AW65" s="376"/>
      <c r="AX65" s="376"/>
      <c r="AY65" s="376"/>
      <c r="AZ65" s="376"/>
      <c r="BA65" s="376">
        <f t="shared" si="79"/>
        <v>11.83224505894211</v>
      </c>
      <c r="BB65" s="376"/>
      <c r="BC65" s="376"/>
      <c r="BD65" s="376"/>
      <c r="BE65" s="376"/>
      <c r="BF65" s="376"/>
      <c r="BG65" s="376">
        <f t="shared" si="79"/>
        <v>197.20408431570183</v>
      </c>
      <c r="BH65" s="376"/>
      <c r="BI65" s="706"/>
      <c r="BJ65" s="706"/>
      <c r="BK65" s="706"/>
    </row>
    <row r="66" spans="2:63" s="104" customFormat="1" ht="16.5" hidden="1" customHeight="1" x14ac:dyDescent="0.2">
      <c r="B66" s="104" t="s">
        <v>1439</v>
      </c>
      <c r="C66" s="707"/>
      <c r="D66" s="707"/>
      <c r="F66" s="708">
        <f>F12+F17+F24+F27+F37+F43+F48+F50+F51+F29</f>
        <v>186318</v>
      </c>
    </row>
    <row r="67" spans="2:63" s="104" customFormat="1" ht="16.5" hidden="1" customHeight="1" x14ac:dyDescent="0.2">
      <c r="B67" s="104" t="s">
        <v>127</v>
      </c>
      <c r="C67" s="707"/>
      <c r="D67" s="707"/>
      <c r="F67" s="708">
        <f>F8-F66</f>
        <v>361047</v>
      </c>
    </row>
    <row r="68" spans="2:63" hidden="1" x14ac:dyDescent="0.2"/>
  </sheetData>
  <mergeCells count="48">
    <mergeCell ref="A1:BM1"/>
    <mergeCell ref="A2:BM2"/>
    <mergeCell ref="BG5:BH5"/>
    <mergeCell ref="BI5:BJ5"/>
    <mergeCell ref="BK4:BM4"/>
    <mergeCell ref="BE4:BJ4"/>
    <mergeCell ref="AW5:AX5"/>
    <mergeCell ref="AY5:AZ5"/>
    <mergeCell ref="BA5:BB5"/>
    <mergeCell ref="BC5:BD5"/>
    <mergeCell ref="BE5:BF5"/>
    <mergeCell ref="AM5:AN5"/>
    <mergeCell ref="AO5:AP5"/>
    <mergeCell ref="AQ5:AR5"/>
    <mergeCell ref="AS5:AT5"/>
    <mergeCell ref="U5:V5"/>
    <mergeCell ref="W5:X5"/>
    <mergeCell ref="Y5:Z5"/>
    <mergeCell ref="AA5:AB5"/>
    <mergeCell ref="AU5:AV5"/>
    <mergeCell ref="AC5:AD5"/>
    <mergeCell ref="AE5:AF5"/>
    <mergeCell ref="AG5:AH5"/>
    <mergeCell ref="AI5:AJ5"/>
    <mergeCell ref="AK5:AL5"/>
    <mergeCell ref="AM4:AR4"/>
    <mergeCell ref="AS4:AX4"/>
    <mergeCell ref="AY4:BD4"/>
    <mergeCell ref="I4:N4"/>
    <mergeCell ref="O4:T4"/>
    <mergeCell ref="U4:Z4"/>
    <mergeCell ref="AA4:AF4"/>
    <mergeCell ref="AG4:AL4"/>
    <mergeCell ref="F3:H3"/>
    <mergeCell ref="L3:N3"/>
    <mergeCell ref="R3:T3"/>
    <mergeCell ref="C4:H4"/>
    <mergeCell ref="A4:A6"/>
    <mergeCell ref="B4:B6"/>
    <mergeCell ref="C5:D5"/>
    <mergeCell ref="E5:F5"/>
    <mergeCell ref="G5:H5"/>
    <mergeCell ref="I5:J5"/>
    <mergeCell ref="K5:L5"/>
    <mergeCell ref="M5:N5"/>
    <mergeCell ref="O5:P5"/>
    <mergeCell ref="Q5:R5"/>
    <mergeCell ref="S5:T5"/>
  </mergeCells>
  <pageMargins left="0.59" right="0.24" top="0.46" bottom="0.43" header="0.26" footer="0.2"/>
  <pageSetup paperSize="9" firstPageNumber="73" orientation="portrait" useFirstPageNumber="1" r:id="rId1"/>
  <headerFooter>
    <oddHeader>&amp;RBiểu mẫu số 13</oddHeader>
    <oddFooter>&amp;C&amp;P</oddFooter>
  </headerFooter>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109"/>
  <sheetViews>
    <sheetView workbookViewId="0">
      <selection activeCell="J23" sqref="J23"/>
    </sheetView>
  </sheetViews>
  <sheetFormatPr defaultRowHeight="15" x14ac:dyDescent="0.25"/>
  <cols>
    <col min="1" max="1" width="5.375" style="292" customWidth="1"/>
    <col min="2" max="2" width="42.875" style="292" customWidth="1"/>
    <col min="3" max="3" width="9.75" style="292" customWidth="1"/>
    <col min="4" max="4" width="9.375" style="292" customWidth="1"/>
    <col min="5" max="5" width="9.25" style="292" hidden="1" customWidth="1"/>
    <col min="6" max="6" width="8.75" style="292" hidden="1" customWidth="1"/>
    <col min="7" max="7" width="9.875" style="292" customWidth="1"/>
    <col min="8" max="8" width="7.25" style="292" customWidth="1"/>
    <col min="9" max="9" width="9" style="292"/>
    <col min="10" max="10" width="12.25" style="292" customWidth="1"/>
    <col min="11" max="16384" width="9" style="292"/>
  </cols>
  <sheetData>
    <row r="1" spans="1:10" ht="27.75" customHeight="1" x14ac:dyDescent="0.25">
      <c r="A1" s="1977" t="s">
        <v>1257</v>
      </c>
      <c r="B1" s="1977"/>
      <c r="C1" s="1977"/>
      <c r="D1" s="1977"/>
      <c r="E1" s="1977"/>
      <c r="F1" s="1977"/>
      <c r="G1" s="1977"/>
      <c r="H1" s="1977"/>
    </row>
    <row r="2" spans="1:10" x14ac:dyDescent="0.25">
      <c r="A2" s="1978" t="str">
        <f>'Biểu 13'!A2:BN2</f>
        <v>(Kèm theo Báo cáo số              /BC-UBND ngày       tháng 11 năm 2018 của UBND tỉnh Bắc Kạn)</v>
      </c>
      <c r="B2" s="1978"/>
      <c r="C2" s="1978"/>
      <c r="D2" s="1978"/>
      <c r="E2" s="1978"/>
      <c r="F2" s="1978"/>
      <c r="G2" s="1978"/>
      <c r="H2" s="1978"/>
    </row>
    <row r="3" spans="1:10" x14ac:dyDescent="0.25">
      <c r="G3" s="1979" t="s">
        <v>6</v>
      </c>
      <c r="H3" s="1979"/>
    </row>
    <row r="4" spans="1:10" ht="22.5" customHeight="1" x14ac:dyDescent="0.25">
      <c r="A4" s="1980" t="s">
        <v>0</v>
      </c>
      <c r="B4" s="1980" t="s">
        <v>1231</v>
      </c>
      <c r="C4" s="1980" t="s">
        <v>219</v>
      </c>
      <c r="D4" s="1980" t="s">
        <v>1258</v>
      </c>
      <c r="E4" s="1981" t="s">
        <v>512</v>
      </c>
      <c r="F4" s="1981" t="s">
        <v>493</v>
      </c>
      <c r="G4" s="1980" t="s">
        <v>33</v>
      </c>
      <c r="H4" s="1980"/>
    </row>
    <row r="5" spans="1:10" ht="28.5" x14ac:dyDescent="0.25">
      <c r="A5" s="1980"/>
      <c r="B5" s="1980"/>
      <c r="C5" s="1980"/>
      <c r="D5" s="1980"/>
      <c r="E5" s="1982"/>
      <c r="F5" s="1982"/>
      <c r="G5" s="992" t="s">
        <v>34</v>
      </c>
      <c r="H5" s="992" t="s">
        <v>35</v>
      </c>
    </row>
    <row r="6" spans="1:10" x14ac:dyDescent="0.25">
      <c r="A6" s="293" t="s">
        <v>2</v>
      </c>
      <c r="B6" s="293" t="s">
        <v>3</v>
      </c>
      <c r="C6" s="293">
        <v>1</v>
      </c>
      <c r="D6" s="293">
        <v>2</v>
      </c>
      <c r="E6" s="293"/>
      <c r="F6" s="293"/>
      <c r="G6" s="293" t="s">
        <v>36</v>
      </c>
      <c r="H6" s="293" t="s">
        <v>37</v>
      </c>
    </row>
    <row r="7" spans="1:10" x14ac:dyDescent="0.25">
      <c r="A7" s="294"/>
      <c r="B7" s="295" t="s">
        <v>39</v>
      </c>
      <c r="C7" s="295">
        <f>C8+C29</f>
        <v>5190937</v>
      </c>
      <c r="D7" s="295" t="e">
        <f>D8+D29+D108</f>
        <v>#REF!</v>
      </c>
      <c r="E7" s="295" t="e">
        <f>E8+E29</f>
        <v>#REF!</v>
      </c>
      <c r="F7" s="295" t="e">
        <f>F8+F29</f>
        <v>#REF!</v>
      </c>
      <c r="G7" s="295" t="e">
        <f>D7-C7</f>
        <v>#REF!</v>
      </c>
      <c r="H7" s="295" t="e">
        <f>D7/C7*100</f>
        <v>#REF!</v>
      </c>
      <c r="I7" s="292" t="e">
        <f>D7-D108</f>
        <v>#REF!</v>
      </c>
      <c r="J7" s="725" t="e">
        <f>I7/C7*100</f>
        <v>#REF!</v>
      </c>
    </row>
    <row r="8" spans="1:10" x14ac:dyDescent="0.25">
      <c r="A8" s="294" t="s">
        <v>2</v>
      </c>
      <c r="B8" s="295" t="s">
        <v>44</v>
      </c>
      <c r="C8" s="295">
        <f>C9+C21+C26+C27+C25</f>
        <v>3478898</v>
      </c>
      <c r="D8" s="295">
        <f>D9+D21+D26+D27+D25</f>
        <v>3527359</v>
      </c>
      <c r="E8" s="295" t="e">
        <f>E9+E21+E26+E27</f>
        <v>#REF!</v>
      </c>
      <c r="F8" s="295" t="e">
        <f t="shared" ref="F8" si="0">F9+F21+F26+F27</f>
        <v>#REF!</v>
      </c>
      <c r="G8" s="295">
        <f>D8-C8</f>
        <v>48461</v>
      </c>
      <c r="H8" s="295">
        <f t="shared" ref="H8:H107" si="1">D8/C8*100</f>
        <v>101.39299858748375</v>
      </c>
    </row>
    <row r="9" spans="1:10" x14ac:dyDescent="0.25">
      <c r="A9" s="294" t="s">
        <v>9</v>
      </c>
      <c r="B9" s="295" t="s">
        <v>24</v>
      </c>
      <c r="C9" s="295">
        <f>C10+C19</f>
        <v>493390</v>
      </c>
      <c r="D9" s="295">
        <f>D10+D19</f>
        <v>558773</v>
      </c>
      <c r="E9" s="295">
        <f>E10+E19</f>
        <v>185454</v>
      </c>
      <c r="F9" s="295">
        <f>F10</f>
        <v>154374.141</v>
      </c>
      <c r="G9" s="295">
        <f>D9-C9</f>
        <v>65383</v>
      </c>
      <c r="H9" s="295">
        <f t="shared" si="1"/>
        <v>113.25178864589877</v>
      </c>
      <c r="I9" s="296"/>
    </row>
    <row r="10" spans="1:10" x14ac:dyDescent="0.25">
      <c r="A10" s="297">
        <v>1</v>
      </c>
      <c r="B10" s="290" t="s">
        <v>74</v>
      </c>
      <c r="C10" s="290">
        <f>493390-8000</f>
        <v>485390</v>
      </c>
      <c r="D10" s="290">
        <f>'Biểu 03'!E10-7000</f>
        <v>551773</v>
      </c>
      <c r="E10" s="290">
        <f>157329+21610+5500+1015</f>
        <v>185454</v>
      </c>
      <c r="F10" s="290">
        <f>'Biểu 03'!K23</f>
        <v>154374.141</v>
      </c>
      <c r="G10" s="290">
        <f>D10-C10</f>
        <v>66383</v>
      </c>
      <c r="H10" s="290">
        <f t="shared" si="1"/>
        <v>113.67621912276726</v>
      </c>
    </row>
    <row r="11" spans="1:10" x14ac:dyDescent="0.25">
      <c r="A11" s="297"/>
      <c r="B11" s="298" t="s">
        <v>45</v>
      </c>
      <c r="C11" s="298"/>
      <c r="D11" s="298"/>
      <c r="E11" s="298"/>
      <c r="F11" s="298"/>
      <c r="G11" s="298">
        <f t="shared" ref="G11:G44" si="2">D11-C11</f>
        <v>0</v>
      </c>
      <c r="H11" s="298"/>
    </row>
    <row r="12" spans="1:10" x14ac:dyDescent="0.25">
      <c r="A12" s="297" t="s">
        <v>23</v>
      </c>
      <c r="B12" s="298" t="s">
        <v>28</v>
      </c>
      <c r="C12" s="298">
        <v>31000</v>
      </c>
      <c r="D12" s="298">
        <f>'Biểu 22'!F12</f>
        <v>98199</v>
      </c>
      <c r="E12" s="298">
        <v>50312</v>
      </c>
      <c r="F12" s="298">
        <f>'Biểu 03'!K24</f>
        <v>43007.842000000004</v>
      </c>
      <c r="G12" s="298">
        <f t="shared" si="2"/>
        <v>67199</v>
      </c>
      <c r="H12" s="298">
        <f t="shared" si="1"/>
        <v>316.77096774193546</v>
      </c>
    </row>
    <row r="13" spans="1:10" x14ac:dyDescent="0.25">
      <c r="A13" s="297" t="s">
        <v>23</v>
      </c>
      <c r="B13" s="298" t="s">
        <v>29</v>
      </c>
      <c r="C13" s="298">
        <v>7000</v>
      </c>
      <c r="D13" s="298">
        <f>'Biểu 22'!F13</f>
        <v>8133</v>
      </c>
      <c r="E13" s="298">
        <v>10786</v>
      </c>
      <c r="F13" s="298"/>
      <c r="G13" s="298">
        <f t="shared" si="2"/>
        <v>1133</v>
      </c>
      <c r="H13" s="298">
        <f t="shared" si="1"/>
        <v>116.1857142857143</v>
      </c>
    </row>
    <row r="14" spans="1:10" x14ac:dyDescent="0.25">
      <c r="A14" s="297"/>
      <c r="B14" s="298" t="s">
        <v>46</v>
      </c>
      <c r="C14" s="298"/>
      <c r="D14" s="298"/>
      <c r="E14" s="298"/>
      <c r="F14" s="298"/>
      <c r="G14" s="298"/>
      <c r="H14" s="298"/>
    </row>
    <row r="15" spans="1:10" x14ac:dyDescent="0.25">
      <c r="A15" s="297" t="s">
        <v>23</v>
      </c>
      <c r="B15" s="298" t="s">
        <v>26</v>
      </c>
      <c r="C15" s="298">
        <v>55000</v>
      </c>
      <c r="D15" s="298">
        <f>'Biểu 03'!E18</f>
        <v>52874</v>
      </c>
      <c r="E15" s="298">
        <v>5500</v>
      </c>
      <c r="F15" s="298">
        <v>50503</v>
      </c>
      <c r="G15" s="298">
        <f t="shared" si="2"/>
        <v>-2126</v>
      </c>
      <c r="H15" s="298">
        <f t="shared" si="1"/>
        <v>96.134545454545446</v>
      </c>
    </row>
    <row r="16" spans="1:10" x14ac:dyDescent="0.25">
      <c r="A16" s="297" t="s">
        <v>23</v>
      </c>
      <c r="B16" s="298" t="s">
        <v>284</v>
      </c>
      <c r="C16" s="298">
        <v>15000</v>
      </c>
      <c r="D16" s="298">
        <f>'Biểu 03'!E19</f>
        <v>15000</v>
      </c>
      <c r="E16" s="298">
        <v>13000</v>
      </c>
      <c r="F16" s="298"/>
      <c r="G16" s="298">
        <f t="shared" si="2"/>
        <v>0</v>
      </c>
      <c r="H16" s="298">
        <f t="shared" si="1"/>
        <v>100</v>
      </c>
    </row>
    <row r="17" spans="1:8" x14ac:dyDescent="0.25">
      <c r="A17" s="297" t="s">
        <v>23</v>
      </c>
      <c r="B17" s="298" t="s">
        <v>1259</v>
      </c>
      <c r="C17" s="298">
        <v>17100</v>
      </c>
      <c r="D17" s="298"/>
      <c r="E17" s="298"/>
      <c r="F17" s="298"/>
      <c r="G17" s="298"/>
      <c r="H17" s="298"/>
    </row>
    <row r="18" spans="1:8" x14ac:dyDescent="0.25">
      <c r="A18" s="297" t="s">
        <v>23</v>
      </c>
      <c r="B18" s="298" t="s">
        <v>1046</v>
      </c>
      <c r="C18" s="298">
        <v>6000</v>
      </c>
      <c r="D18" s="298">
        <f>'Biểu 03'!E21</f>
        <v>6000</v>
      </c>
      <c r="E18" s="298"/>
      <c r="F18" s="298"/>
      <c r="G18" s="298"/>
      <c r="H18" s="298"/>
    </row>
    <row r="19" spans="1:8" ht="60" x14ac:dyDescent="0.25">
      <c r="A19" s="297">
        <v>2</v>
      </c>
      <c r="B19" s="298" t="s">
        <v>25</v>
      </c>
      <c r="C19" s="298">
        <v>8000</v>
      </c>
      <c r="D19" s="298">
        <v>7000</v>
      </c>
      <c r="E19" s="298"/>
      <c r="F19" s="298"/>
      <c r="G19" s="298">
        <f t="shared" si="2"/>
        <v>-1000</v>
      </c>
      <c r="H19" s="298"/>
    </row>
    <row r="20" spans="1:8" x14ac:dyDescent="0.25">
      <c r="A20" s="297">
        <v>3</v>
      </c>
      <c r="B20" s="290" t="s">
        <v>47</v>
      </c>
      <c r="C20" s="290"/>
      <c r="D20" s="290"/>
      <c r="E20" s="290"/>
      <c r="F20" s="290"/>
      <c r="G20" s="290">
        <f t="shared" si="2"/>
        <v>0</v>
      </c>
      <c r="H20" s="290"/>
    </row>
    <row r="21" spans="1:8" x14ac:dyDescent="0.25">
      <c r="A21" s="294" t="s">
        <v>11</v>
      </c>
      <c r="B21" s="295" t="s">
        <v>19</v>
      </c>
      <c r="C21" s="295">
        <v>2906780</v>
      </c>
      <c r="D21" s="295">
        <f>'Biểu 03'!E37</f>
        <v>2967088</v>
      </c>
      <c r="E21" s="295" t="e">
        <f>'Biểu 03'!I37-#REF!</f>
        <v>#REF!</v>
      </c>
      <c r="F21" s="295" t="e">
        <f>'Biểu 03'!K37-#REF!</f>
        <v>#REF!</v>
      </c>
      <c r="G21" s="295">
        <f t="shared" si="2"/>
        <v>60308</v>
      </c>
      <c r="H21" s="295">
        <f t="shared" si="1"/>
        <v>102.07473561810663</v>
      </c>
    </row>
    <row r="22" spans="1:8" x14ac:dyDescent="0.25">
      <c r="A22" s="297"/>
      <c r="B22" s="298" t="s">
        <v>5</v>
      </c>
      <c r="C22" s="290"/>
      <c r="D22" s="290"/>
      <c r="E22" s="290"/>
      <c r="F22" s="290"/>
      <c r="G22" s="290">
        <f t="shared" si="2"/>
        <v>0</v>
      </c>
      <c r="H22" s="290"/>
    </row>
    <row r="23" spans="1:8" s="300" customFormat="1" ht="16.5" customHeight="1" x14ac:dyDescent="0.25">
      <c r="A23" s="299">
        <v>1</v>
      </c>
      <c r="B23" s="298" t="s">
        <v>28</v>
      </c>
      <c r="C23" s="298">
        <v>1175538</v>
      </c>
      <c r="D23" s="298">
        <f>'Biểu 03'!E38</f>
        <v>1195432</v>
      </c>
      <c r="E23" s="298">
        <f>'Biểu 03'!I38</f>
        <v>211830</v>
      </c>
      <c r="F23" s="298" t="e">
        <f>'Biểu 03'!K38-#REF!</f>
        <v>#REF!</v>
      </c>
      <c r="G23" s="298">
        <f t="shared" si="2"/>
        <v>19894</v>
      </c>
      <c r="H23" s="298">
        <f t="shared" si="1"/>
        <v>101.69233151118893</v>
      </c>
    </row>
    <row r="24" spans="1:8" s="300" customFormat="1" x14ac:dyDescent="0.25">
      <c r="A24" s="299">
        <v>2</v>
      </c>
      <c r="B24" s="298" t="s">
        <v>29</v>
      </c>
      <c r="C24" s="298">
        <v>11627</v>
      </c>
      <c r="D24" s="298">
        <f>'Biểu 03'!E39</f>
        <v>11407</v>
      </c>
      <c r="E24" s="298">
        <f>'Biểu 03'!I39</f>
        <v>11407</v>
      </c>
      <c r="F24" s="298"/>
      <c r="G24" s="298">
        <f t="shared" si="2"/>
        <v>-220</v>
      </c>
      <c r="H24" s="298">
        <f t="shared" si="1"/>
        <v>98.107852412488171</v>
      </c>
    </row>
    <row r="25" spans="1:8" ht="30.75" customHeight="1" x14ac:dyDescent="0.25">
      <c r="A25" s="294" t="s">
        <v>14</v>
      </c>
      <c r="B25" s="295" t="s">
        <v>278</v>
      </c>
      <c r="C25" s="295">
        <v>548</v>
      </c>
      <c r="D25" s="295">
        <f>C25-50</f>
        <v>498</v>
      </c>
      <c r="E25" s="290"/>
      <c r="F25" s="290"/>
      <c r="G25" s="290">
        <f t="shared" si="2"/>
        <v>-50</v>
      </c>
      <c r="H25" s="290"/>
    </row>
    <row r="26" spans="1:8" ht="16.5" customHeight="1" x14ac:dyDescent="0.25">
      <c r="A26" s="294" t="s">
        <v>15</v>
      </c>
      <c r="B26" s="295" t="s">
        <v>20</v>
      </c>
      <c r="C26" s="295">
        <v>1000</v>
      </c>
      <c r="D26" s="295">
        <f>E26</f>
        <v>1000</v>
      </c>
      <c r="E26" s="295">
        <v>1000</v>
      </c>
      <c r="F26" s="295"/>
      <c r="G26" s="295">
        <f t="shared" si="2"/>
        <v>0</v>
      </c>
      <c r="H26" s="290">
        <f t="shared" si="1"/>
        <v>100</v>
      </c>
    </row>
    <row r="27" spans="1:8" x14ac:dyDescent="0.25">
      <c r="A27" s="294" t="s">
        <v>17</v>
      </c>
      <c r="B27" s="295" t="s">
        <v>21</v>
      </c>
      <c r="C27" s="295">
        <v>77180</v>
      </c>
      <c r="D27" s="295"/>
      <c r="E27" s="295"/>
      <c r="F27" s="295"/>
      <c r="G27" s="295">
        <f t="shared" si="2"/>
        <v>-77180</v>
      </c>
      <c r="H27" s="290">
        <f t="shared" si="1"/>
        <v>0</v>
      </c>
    </row>
    <row r="28" spans="1:8" x14ac:dyDescent="0.25">
      <c r="A28" s="294" t="s">
        <v>48</v>
      </c>
      <c r="B28" s="295" t="s">
        <v>285</v>
      </c>
      <c r="C28" s="295"/>
      <c r="D28" s="295"/>
      <c r="E28" s="295"/>
      <c r="F28" s="295"/>
      <c r="G28" s="295">
        <f t="shared" si="2"/>
        <v>0</v>
      </c>
      <c r="H28" s="290"/>
    </row>
    <row r="29" spans="1:8" ht="24" customHeight="1" x14ac:dyDescent="0.25">
      <c r="A29" s="294" t="s">
        <v>3</v>
      </c>
      <c r="B29" s="295" t="s">
        <v>49</v>
      </c>
      <c r="C29" s="295">
        <f>C30+C43</f>
        <v>1712039</v>
      </c>
      <c r="D29" s="295">
        <f>D30+D43</f>
        <v>1464456</v>
      </c>
      <c r="E29" s="295" t="e">
        <f>E30+E43</f>
        <v>#REF!</v>
      </c>
      <c r="F29" s="295" t="e">
        <f>F30+F43</f>
        <v>#REF!</v>
      </c>
      <c r="G29" s="295">
        <f t="shared" si="2"/>
        <v>-247583</v>
      </c>
      <c r="H29" s="290">
        <f t="shared" si="1"/>
        <v>85.538705601916774</v>
      </c>
    </row>
    <row r="30" spans="1:8" x14ac:dyDescent="0.25">
      <c r="A30" s="294" t="s">
        <v>9</v>
      </c>
      <c r="B30" s="295" t="s">
        <v>41</v>
      </c>
      <c r="C30" s="295">
        <f>C31+C34</f>
        <v>338109</v>
      </c>
      <c r="D30" s="295">
        <f>D31+D34+SUM(D37:D41)</f>
        <v>382225</v>
      </c>
      <c r="E30" s="295">
        <f>E31+E34+SUM(E37:E41)</f>
        <v>19374</v>
      </c>
      <c r="F30" s="295">
        <f>F31+F34+SUM(F37:F41)</f>
        <v>362851</v>
      </c>
      <c r="G30" s="295">
        <f t="shared" si="2"/>
        <v>44116</v>
      </c>
      <c r="H30" s="290">
        <f t="shared" si="1"/>
        <v>113.04786326303056</v>
      </c>
    </row>
    <row r="31" spans="1:8" ht="28.5" x14ac:dyDescent="0.25">
      <c r="A31" s="294">
        <v>1</v>
      </c>
      <c r="B31" s="295" t="s">
        <v>292</v>
      </c>
      <c r="C31" s="295">
        <f>SUM(C32:C33)</f>
        <v>185409</v>
      </c>
      <c r="D31" s="295">
        <f>SUM(D32:D33)</f>
        <v>217673</v>
      </c>
      <c r="E31" s="295">
        <f>E32+E33</f>
        <v>6122</v>
      </c>
      <c r="F31" s="295">
        <f>F32+F33</f>
        <v>211551</v>
      </c>
      <c r="G31" s="295">
        <f t="shared" si="2"/>
        <v>32264</v>
      </c>
      <c r="H31" s="290">
        <f t="shared" si="1"/>
        <v>117.40152851263963</v>
      </c>
    </row>
    <row r="32" spans="1:8" x14ac:dyDescent="0.25">
      <c r="A32" s="299" t="s">
        <v>304</v>
      </c>
      <c r="B32" s="298" t="s">
        <v>301</v>
      </c>
      <c r="C32" s="301">
        <v>128173</v>
      </c>
      <c r="D32" s="298">
        <f>'Biểu 03'!E124</f>
        <v>166724</v>
      </c>
      <c r="E32" s="298"/>
      <c r="F32" s="298">
        <f>'Biểu 03'!K124</f>
        <v>166724</v>
      </c>
      <c r="G32" s="298">
        <f t="shared" si="2"/>
        <v>38551</v>
      </c>
      <c r="H32" s="298">
        <f t="shared" si="1"/>
        <v>130.07731737573437</v>
      </c>
    </row>
    <row r="33" spans="1:8" x14ac:dyDescent="0.25">
      <c r="A33" s="299" t="s">
        <v>147</v>
      </c>
      <c r="B33" s="298" t="s">
        <v>303</v>
      </c>
      <c r="C33" s="301">
        <v>57236</v>
      </c>
      <c r="D33" s="298">
        <f>'Biểu 03'!E126</f>
        <v>50949</v>
      </c>
      <c r="E33" s="298">
        <f>'Biểu 03'!I126</f>
        <v>6122</v>
      </c>
      <c r="F33" s="298">
        <f>'Biểu 03'!K126</f>
        <v>44827</v>
      </c>
      <c r="G33" s="298">
        <f t="shared" si="2"/>
        <v>-6287</v>
      </c>
      <c r="H33" s="298">
        <f t="shared" si="1"/>
        <v>89.015654483192392</v>
      </c>
    </row>
    <row r="34" spans="1:8" ht="28.5" x14ac:dyDescent="0.25">
      <c r="A34" s="294">
        <v>2</v>
      </c>
      <c r="B34" s="295" t="s">
        <v>293</v>
      </c>
      <c r="C34" s="295">
        <f>SUM(C35:C36)</f>
        <v>152700</v>
      </c>
      <c r="D34" s="295">
        <f>SUM(D35:D36)</f>
        <v>161847</v>
      </c>
      <c r="E34" s="295">
        <f>E35+E36</f>
        <v>13252</v>
      </c>
      <c r="F34" s="295">
        <f>F35+F36</f>
        <v>148595</v>
      </c>
      <c r="G34" s="295">
        <f t="shared" si="2"/>
        <v>9147</v>
      </c>
      <c r="H34" s="290">
        <f t="shared" si="1"/>
        <v>105.9901768172888</v>
      </c>
    </row>
    <row r="35" spans="1:8" ht="15.75" customHeight="1" x14ac:dyDescent="0.25">
      <c r="A35" s="299" t="s">
        <v>304</v>
      </c>
      <c r="B35" s="298" t="s">
        <v>301</v>
      </c>
      <c r="C35" s="301">
        <v>110900</v>
      </c>
      <c r="D35" s="298">
        <f>'Biểu 03'!E129</f>
        <v>122442</v>
      </c>
      <c r="E35" s="298"/>
      <c r="F35" s="298">
        <f>'Biểu 03'!K129</f>
        <v>122442</v>
      </c>
      <c r="G35" s="298">
        <f t="shared" si="2"/>
        <v>11542</v>
      </c>
      <c r="H35" s="298">
        <f t="shared" si="1"/>
        <v>110.40757439134354</v>
      </c>
    </row>
    <row r="36" spans="1:8" x14ac:dyDescent="0.25">
      <c r="A36" s="299" t="s">
        <v>147</v>
      </c>
      <c r="B36" s="298" t="s">
        <v>303</v>
      </c>
      <c r="C36" s="301">
        <v>41800</v>
      </c>
      <c r="D36" s="298">
        <f>'Biểu 03'!E131</f>
        <v>39405</v>
      </c>
      <c r="E36" s="298">
        <f>'Biểu 03'!I131</f>
        <v>13252</v>
      </c>
      <c r="F36" s="298">
        <f>'Biểu 03'!K131</f>
        <v>26153</v>
      </c>
      <c r="G36" s="298">
        <f t="shared" si="2"/>
        <v>-2395</v>
      </c>
      <c r="H36" s="298">
        <f t="shared" si="1"/>
        <v>94.270334928229659</v>
      </c>
    </row>
    <row r="37" spans="1:8" s="296" customFormat="1" ht="28.5" hidden="1" x14ac:dyDescent="0.25">
      <c r="A37" s="294">
        <v>3</v>
      </c>
      <c r="B37" s="302" t="s">
        <v>514</v>
      </c>
      <c r="C37" s="1076"/>
      <c r="D37" s="295">
        <f t="shared" ref="D37:D42" si="3">E37+F37</f>
        <v>0</v>
      </c>
      <c r="E37" s="295">
        <f>'Biểu 03'!I139</f>
        <v>0</v>
      </c>
      <c r="F37" s="295"/>
      <c r="G37" s="295"/>
      <c r="H37" s="295"/>
    </row>
    <row r="38" spans="1:8" s="296" customFormat="1" ht="28.5" hidden="1" x14ac:dyDescent="0.25">
      <c r="A38" s="294">
        <v>4</v>
      </c>
      <c r="B38" s="302" t="s">
        <v>515</v>
      </c>
      <c r="C38" s="1076"/>
      <c r="D38" s="295">
        <f t="shared" si="3"/>
        <v>0</v>
      </c>
      <c r="E38" s="295">
        <f>'Biểu 03'!I140</f>
        <v>0</v>
      </c>
      <c r="F38" s="295"/>
      <c r="G38" s="295"/>
      <c r="H38" s="295"/>
    </row>
    <row r="39" spans="1:8" s="296" customFormat="1" ht="28.5" hidden="1" x14ac:dyDescent="0.25">
      <c r="A39" s="294">
        <v>5</v>
      </c>
      <c r="B39" s="305" t="s">
        <v>480</v>
      </c>
      <c r="C39" s="1076"/>
      <c r="D39" s="295">
        <f t="shared" si="3"/>
        <v>0</v>
      </c>
      <c r="E39" s="295"/>
      <c r="F39" s="295">
        <f>'Biểu 03'!K141</f>
        <v>0</v>
      </c>
      <c r="G39" s="295"/>
      <c r="H39" s="295"/>
    </row>
    <row r="40" spans="1:8" s="296" customFormat="1" ht="28.5" hidden="1" x14ac:dyDescent="0.25">
      <c r="A40" s="294">
        <v>6</v>
      </c>
      <c r="B40" s="305" t="s">
        <v>481</v>
      </c>
      <c r="C40" s="1076"/>
      <c r="D40" s="295">
        <f t="shared" si="3"/>
        <v>0</v>
      </c>
      <c r="E40" s="295"/>
      <c r="F40" s="295">
        <f>'Biểu 03'!K142</f>
        <v>0</v>
      </c>
      <c r="G40" s="295"/>
      <c r="H40" s="295"/>
    </row>
    <row r="41" spans="1:8" s="296" customFormat="1" x14ac:dyDescent="0.25">
      <c r="A41" s="294">
        <v>3</v>
      </c>
      <c r="B41" s="305" t="s">
        <v>488</v>
      </c>
      <c r="C41" s="1076"/>
      <c r="D41" s="295">
        <f>'Biểu 03'!E143</f>
        <v>2705</v>
      </c>
      <c r="E41" s="295"/>
      <c r="F41" s="295">
        <f>'Biểu 03'!K143</f>
        <v>2705</v>
      </c>
      <c r="G41" s="295"/>
      <c r="H41" s="295"/>
    </row>
    <row r="42" spans="1:8" hidden="1" x14ac:dyDescent="0.25">
      <c r="A42" s="297"/>
      <c r="B42" s="290"/>
      <c r="C42" s="301"/>
      <c r="D42" s="298">
        <f t="shared" si="3"/>
        <v>0</v>
      </c>
      <c r="E42" s="290"/>
      <c r="F42" s="290"/>
      <c r="G42" s="290"/>
      <c r="H42" s="290"/>
    </row>
    <row r="43" spans="1:8" x14ac:dyDescent="0.25">
      <c r="A43" s="294" t="s">
        <v>11</v>
      </c>
      <c r="B43" s="295" t="s">
        <v>42</v>
      </c>
      <c r="C43" s="295">
        <f>C44+C60</f>
        <v>1373930</v>
      </c>
      <c r="D43" s="295">
        <f>D44+D60</f>
        <v>1082231</v>
      </c>
      <c r="E43" s="295" t="e">
        <f>E44+#REF!</f>
        <v>#REF!</v>
      </c>
      <c r="F43" s="295" t="e">
        <f>F44+#REF!</f>
        <v>#REF!</v>
      </c>
      <c r="G43" s="295">
        <f t="shared" si="2"/>
        <v>-291699</v>
      </c>
      <c r="H43" s="290">
        <f t="shared" si="1"/>
        <v>78.769005698980294</v>
      </c>
    </row>
    <row r="44" spans="1:8" x14ac:dyDescent="0.25">
      <c r="A44" s="294">
        <v>1</v>
      </c>
      <c r="B44" s="295" t="s">
        <v>301</v>
      </c>
      <c r="C44" s="295">
        <f>C45+C58+C59</f>
        <v>1142579</v>
      </c>
      <c r="D44" s="295">
        <f>D45+D58+D59</f>
        <v>719329</v>
      </c>
      <c r="E44" s="295" t="e">
        <f>E45+#REF!+#REF!</f>
        <v>#REF!</v>
      </c>
      <c r="F44" s="295" t="e">
        <f>F45+#REF!+#REF!</f>
        <v>#REF!</v>
      </c>
      <c r="G44" s="295">
        <f t="shared" si="2"/>
        <v>-423250</v>
      </c>
      <c r="H44" s="290">
        <f t="shared" si="1"/>
        <v>62.956609564852847</v>
      </c>
    </row>
    <row r="45" spans="1:8" s="300" customFormat="1" x14ac:dyDescent="0.25">
      <c r="A45" s="299" t="s">
        <v>146</v>
      </c>
      <c r="B45" s="298" t="s">
        <v>111</v>
      </c>
      <c r="C45" s="298">
        <f>SUM(C46:C57)</f>
        <v>204200</v>
      </c>
      <c r="D45" s="298">
        <f>SUM(D46:D57)</f>
        <v>243512</v>
      </c>
      <c r="E45" s="298" t="e">
        <f>SUM(#REF!)</f>
        <v>#REF!</v>
      </c>
      <c r="F45" s="298"/>
      <c r="G45" s="298">
        <f>D45-C45</f>
        <v>39312</v>
      </c>
      <c r="H45" s="298">
        <f t="shared" si="1"/>
        <v>119.25171400587659</v>
      </c>
    </row>
    <row r="46" spans="1:8" x14ac:dyDescent="0.25">
      <c r="A46" s="999" t="s">
        <v>288</v>
      </c>
      <c r="B46" s="98" t="s">
        <v>294</v>
      </c>
      <c r="C46" s="290">
        <v>48973</v>
      </c>
      <c r="D46" s="290">
        <v>50568</v>
      </c>
      <c r="E46" s="295"/>
      <c r="F46" s="295"/>
      <c r="G46" s="298">
        <f t="shared" ref="G46:G107" si="4">D46-C46</f>
        <v>1595</v>
      </c>
      <c r="H46" s="298">
        <f t="shared" si="1"/>
        <v>103.25689665734178</v>
      </c>
    </row>
    <row r="47" spans="1:8" ht="30" x14ac:dyDescent="0.25">
      <c r="A47" s="999" t="s">
        <v>288</v>
      </c>
      <c r="B47" s="98" t="s">
        <v>295</v>
      </c>
      <c r="C47" s="290">
        <v>20650</v>
      </c>
      <c r="D47" s="290">
        <v>20680</v>
      </c>
      <c r="E47" s="295"/>
      <c r="F47" s="295"/>
      <c r="G47" s="298">
        <f t="shared" si="4"/>
        <v>30</v>
      </c>
      <c r="H47" s="298">
        <f t="shared" si="1"/>
        <v>100.14527845036321</v>
      </c>
    </row>
    <row r="48" spans="1:8" x14ac:dyDescent="0.25">
      <c r="A48" s="999" t="s">
        <v>288</v>
      </c>
      <c r="B48" s="452" t="s">
        <v>296</v>
      </c>
      <c r="C48" s="290">
        <v>0</v>
      </c>
      <c r="D48" s="290">
        <v>1145</v>
      </c>
      <c r="E48" s="295"/>
      <c r="F48" s="295"/>
      <c r="G48" s="298">
        <f t="shared" si="4"/>
        <v>1145</v>
      </c>
      <c r="H48" s="298"/>
    </row>
    <row r="49" spans="1:9" x14ac:dyDescent="0.25">
      <c r="A49" s="999" t="s">
        <v>288</v>
      </c>
      <c r="B49" s="452" t="s">
        <v>297</v>
      </c>
      <c r="C49" s="290">
        <v>35777</v>
      </c>
      <c r="D49" s="290">
        <v>35789</v>
      </c>
      <c r="E49" s="295"/>
      <c r="F49" s="295"/>
      <c r="G49" s="298">
        <f t="shared" si="4"/>
        <v>12</v>
      </c>
      <c r="H49" s="298">
        <f t="shared" si="1"/>
        <v>100.03354110182518</v>
      </c>
    </row>
    <row r="50" spans="1:9" ht="60" x14ac:dyDescent="0.25">
      <c r="A50" s="999" t="s">
        <v>288</v>
      </c>
      <c r="B50" s="452" t="s">
        <v>298</v>
      </c>
      <c r="C50" s="290">
        <v>5000</v>
      </c>
      <c r="D50" s="290">
        <v>5000</v>
      </c>
      <c r="E50" s="295"/>
      <c r="F50" s="295"/>
      <c r="G50" s="298">
        <f t="shared" si="4"/>
        <v>0</v>
      </c>
      <c r="H50" s="298">
        <f t="shared" si="1"/>
        <v>100</v>
      </c>
    </row>
    <row r="51" spans="1:9" x14ac:dyDescent="0.25">
      <c r="A51" s="999" t="s">
        <v>288</v>
      </c>
      <c r="B51" s="452" t="s">
        <v>299</v>
      </c>
      <c r="C51" s="290">
        <v>10000</v>
      </c>
      <c r="D51" s="290">
        <v>10000</v>
      </c>
      <c r="E51" s="295"/>
      <c r="F51" s="295"/>
      <c r="G51" s="298">
        <f t="shared" si="4"/>
        <v>0</v>
      </c>
      <c r="H51" s="298">
        <f t="shared" si="1"/>
        <v>100</v>
      </c>
    </row>
    <row r="52" spans="1:9" x14ac:dyDescent="0.25">
      <c r="A52" s="999" t="s">
        <v>288</v>
      </c>
      <c r="B52" s="452" t="s">
        <v>300</v>
      </c>
      <c r="C52" s="290">
        <v>43600</v>
      </c>
      <c r="D52" s="290">
        <v>43886</v>
      </c>
      <c r="E52" s="295"/>
      <c r="F52" s="295"/>
      <c r="G52" s="298">
        <f t="shared" si="4"/>
        <v>286</v>
      </c>
      <c r="H52" s="298">
        <f t="shared" si="1"/>
        <v>100.65596330275228</v>
      </c>
    </row>
    <row r="53" spans="1:9" ht="45" x14ac:dyDescent="0.25">
      <c r="A53" s="999" t="s">
        <v>288</v>
      </c>
      <c r="B53" s="452" t="s">
        <v>1260</v>
      </c>
      <c r="C53" s="290">
        <v>8000</v>
      </c>
      <c r="D53" s="290">
        <v>8030</v>
      </c>
      <c r="E53" s="295"/>
      <c r="F53" s="295"/>
      <c r="G53" s="298">
        <f t="shared" si="4"/>
        <v>30</v>
      </c>
      <c r="H53" s="298">
        <f t="shared" si="1"/>
        <v>100.37499999999999</v>
      </c>
    </row>
    <row r="54" spans="1:9" ht="30" x14ac:dyDescent="0.25">
      <c r="A54" s="999" t="s">
        <v>288</v>
      </c>
      <c r="B54" s="452" t="s">
        <v>1261</v>
      </c>
      <c r="C54" s="290">
        <v>0</v>
      </c>
      <c r="D54" s="290">
        <v>0</v>
      </c>
      <c r="E54" s="295"/>
      <c r="F54" s="295"/>
      <c r="G54" s="298">
        <f t="shared" si="4"/>
        <v>0</v>
      </c>
      <c r="H54" s="298"/>
    </row>
    <row r="55" spans="1:9" x14ac:dyDescent="0.25">
      <c r="A55" s="999" t="s">
        <v>288</v>
      </c>
      <c r="B55" s="452" t="s">
        <v>1425</v>
      </c>
      <c r="C55" s="290"/>
      <c r="D55" s="290">
        <v>41969</v>
      </c>
      <c r="E55" s="295"/>
      <c r="F55" s="295"/>
      <c r="G55" s="298">
        <f t="shared" si="4"/>
        <v>41969</v>
      </c>
      <c r="H55" s="298"/>
    </row>
    <row r="56" spans="1:9" ht="30" x14ac:dyDescent="0.25">
      <c r="A56" s="999" t="s">
        <v>288</v>
      </c>
      <c r="B56" s="452" t="s">
        <v>1426</v>
      </c>
      <c r="C56" s="290"/>
      <c r="D56" s="290">
        <v>20</v>
      </c>
      <c r="E56" s="295"/>
      <c r="F56" s="295"/>
      <c r="G56" s="298">
        <f t="shared" si="4"/>
        <v>20</v>
      </c>
      <c r="H56" s="298"/>
    </row>
    <row r="57" spans="1:9" ht="30" x14ac:dyDescent="0.25">
      <c r="A57" s="999" t="s">
        <v>288</v>
      </c>
      <c r="B57" s="452" t="s">
        <v>1262</v>
      </c>
      <c r="C57" s="290">
        <v>32200</v>
      </c>
      <c r="D57" s="290">
        <v>26425</v>
      </c>
      <c r="E57" s="295"/>
      <c r="F57" s="295"/>
      <c r="G57" s="298">
        <f t="shared" si="4"/>
        <v>-5775</v>
      </c>
      <c r="H57" s="298">
        <f t="shared" si="1"/>
        <v>82.065217391304344</v>
      </c>
    </row>
    <row r="58" spans="1:9" s="300" customFormat="1" x14ac:dyDescent="0.25">
      <c r="A58" s="1000" t="s">
        <v>147</v>
      </c>
      <c r="B58" s="1001" t="s">
        <v>557</v>
      </c>
      <c r="C58" s="298">
        <v>488000</v>
      </c>
      <c r="D58" s="298">
        <f>461774-140000</f>
        <v>321774</v>
      </c>
      <c r="E58" s="686"/>
      <c r="F58" s="686"/>
      <c r="G58" s="298">
        <f t="shared" si="4"/>
        <v>-166226</v>
      </c>
      <c r="H58" s="298">
        <f t="shared" si="1"/>
        <v>65.937295081967221</v>
      </c>
      <c r="I58" s="300">
        <f>237192+220000</f>
        <v>457192</v>
      </c>
    </row>
    <row r="59" spans="1:9" s="300" customFormat="1" x14ac:dyDescent="0.25">
      <c r="A59" s="1000" t="s">
        <v>445</v>
      </c>
      <c r="B59" s="1001" t="s">
        <v>302</v>
      </c>
      <c r="C59" s="298">
        <v>450379</v>
      </c>
      <c r="D59" s="298">
        <v>154043</v>
      </c>
      <c r="E59" s="686"/>
      <c r="F59" s="686"/>
      <c r="G59" s="298">
        <f t="shared" si="4"/>
        <v>-296336</v>
      </c>
      <c r="H59" s="298">
        <f t="shared" si="1"/>
        <v>34.202971275303689</v>
      </c>
      <c r="I59" s="300">
        <f>D58-I58</f>
        <v>-135418</v>
      </c>
    </row>
    <row r="60" spans="1:9" x14ac:dyDescent="0.25">
      <c r="A60" s="414">
        <v>2</v>
      </c>
      <c r="B60" s="402" t="s">
        <v>303</v>
      </c>
      <c r="C60" s="290">
        <f>C61+C62</f>
        <v>231351</v>
      </c>
      <c r="D60" s="290">
        <f>D61+D62</f>
        <v>362902</v>
      </c>
      <c r="E60" s="290">
        <f t="shared" ref="E60:F60" si="5">E61+E62</f>
        <v>0</v>
      </c>
      <c r="F60" s="290">
        <f t="shared" si="5"/>
        <v>0</v>
      </c>
      <c r="G60" s="298">
        <f t="shared" si="4"/>
        <v>131551</v>
      </c>
      <c r="H60" s="298">
        <f t="shared" si="1"/>
        <v>156.86208401952013</v>
      </c>
    </row>
    <row r="61" spans="1:9" s="300" customFormat="1" x14ac:dyDescent="0.25">
      <c r="A61" s="1000" t="s">
        <v>146</v>
      </c>
      <c r="B61" s="1078" t="s">
        <v>302</v>
      </c>
      <c r="C61" s="298">
        <v>23810</v>
      </c>
      <c r="D61" s="298">
        <v>23780</v>
      </c>
      <c r="E61" s="298"/>
      <c r="F61" s="298"/>
      <c r="G61" s="298">
        <f t="shared" si="4"/>
        <v>-30</v>
      </c>
      <c r="H61" s="298">
        <f t="shared" si="1"/>
        <v>99.874002519949599</v>
      </c>
    </row>
    <row r="62" spans="1:9" s="300" customFormat="1" x14ac:dyDescent="0.25">
      <c r="A62" s="1000" t="s">
        <v>147</v>
      </c>
      <c r="B62" s="1078" t="s">
        <v>111</v>
      </c>
      <c r="C62" s="298">
        <f>SUM(C63:C88)+SUM(C96:C107)</f>
        <v>207541</v>
      </c>
      <c r="D62" s="298">
        <f>SUM(D63:D88)+SUM(D96:D107)</f>
        <v>339122</v>
      </c>
      <c r="E62" s="298">
        <f t="shared" ref="E62:F62" si="6">SUM(E63:E88)+SUM(E96:E107)</f>
        <v>0</v>
      </c>
      <c r="F62" s="298">
        <f t="shared" si="6"/>
        <v>0</v>
      </c>
      <c r="G62" s="298">
        <f t="shared" si="4"/>
        <v>131581</v>
      </c>
      <c r="H62" s="298">
        <f t="shared" si="1"/>
        <v>163.40000289099504</v>
      </c>
    </row>
    <row r="63" spans="1:9" x14ac:dyDescent="0.25">
      <c r="A63" s="1000" t="s">
        <v>288</v>
      </c>
      <c r="B63" s="415" t="s">
        <v>1270</v>
      </c>
      <c r="C63" s="290">
        <v>470</v>
      </c>
      <c r="D63" s="290">
        <v>470</v>
      </c>
      <c r="E63" s="295"/>
      <c r="F63" s="295"/>
      <c r="G63" s="298">
        <f t="shared" si="4"/>
        <v>0</v>
      </c>
      <c r="H63" s="298">
        <f t="shared" si="1"/>
        <v>100</v>
      </c>
    </row>
    <row r="64" spans="1:9" x14ac:dyDescent="0.25">
      <c r="A64" s="1000" t="s">
        <v>288</v>
      </c>
      <c r="B64" s="415" t="s">
        <v>199</v>
      </c>
      <c r="C64" s="290">
        <v>90</v>
      </c>
      <c r="D64" s="290">
        <v>90</v>
      </c>
      <c r="E64" s="295"/>
      <c r="F64" s="295"/>
      <c r="G64" s="298">
        <f t="shared" si="4"/>
        <v>0</v>
      </c>
      <c r="H64" s="298">
        <f t="shared" si="1"/>
        <v>100</v>
      </c>
    </row>
    <row r="65" spans="1:8" x14ac:dyDescent="0.25">
      <c r="A65" s="1000" t="s">
        <v>288</v>
      </c>
      <c r="B65" s="415" t="s">
        <v>1263</v>
      </c>
      <c r="C65" s="290">
        <v>600</v>
      </c>
      <c r="D65" s="290">
        <v>1750</v>
      </c>
      <c r="E65" s="295"/>
      <c r="F65" s="295"/>
      <c r="G65" s="298">
        <f t="shared" si="4"/>
        <v>1150</v>
      </c>
      <c r="H65" s="298">
        <f t="shared" si="1"/>
        <v>291.66666666666663</v>
      </c>
    </row>
    <row r="66" spans="1:8" ht="30" x14ac:dyDescent="0.25">
      <c r="A66" s="1000" t="s">
        <v>288</v>
      </c>
      <c r="B66" s="415" t="s">
        <v>1271</v>
      </c>
      <c r="C66" s="290">
        <v>500</v>
      </c>
      <c r="D66" s="290">
        <v>250</v>
      </c>
      <c r="E66" s="295"/>
      <c r="F66" s="295"/>
      <c r="G66" s="298">
        <f t="shared" si="4"/>
        <v>-250</v>
      </c>
      <c r="H66" s="298">
        <f t="shared" si="1"/>
        <v>50</v>
      </c>
    </row>
    <row r="67" spans="1:8" x14ac:dyDescent="0.25">
      <c r="A67" s="1000" t="s">
        <v>288</v>
      </c>
      <c r="B67" s="415" t="s">
        <v>1272</v>
      </c>
      <c r="C67" s="290">
        <v>431</v>
      </c>
      <c r="D67" s="290">
        <v>431</v>
      </c>
      <c r="E67" s="295"/>
      <c r="F67" s="295"/>
      <c r="G67" s="298">
        <f t="shared" si="4"/>
        <v>0</v>
      </c>
      <c r="H67" s="298">
        <f t="shared" si="1"/>
        <v>100</v>
      </c>
    </row>
    <row r="68" spans="1:8" x14ac:dyDescent="0.25">
      <c r="A68" s="1000" t="s">
        <v>288</v>
      </c>
      <c r="B68" s="415" t="s">
        <v>1273</v>
      </c>
      <c r="C68" s="290">
        <v>26438</v>
      </c>
      <c r="D68" s="290">
        <v>28984</v>
      </c>
      <c r="E68" s="295"/>
      <c r="F68" s="295"/>
      <c r="G68" s="298">
        <f t="shared" si="4"/>
        <v>2546</v>
      </c>
      <c r="H68" s="298">
        <f t="shared" si="1"/>
        <v>109.63007791814812</v>
      </c>
    </row>
    <row r="69" spans="1:8" ht="30" x14ac:dyDescent="0.25">
      <c r="A69" s="1000" t="s">
        <v>288</v>
      </c>
      <c r="B69" s="415" t="s">
        <v>1264</v>
      </c>
      <c r="C69" s="290">
        <v>6965</v>
      </c>
      <c r="D69" s="290">
        <v>15348</v>
      </c>
      <c r="E69" s="295"/>
      <c r="F69" s="295"/>
      <c r="G69" s="298">
        <f t="shared" si="4"/>
        <v>8383</v>
      </c>
      <c r="H69" s="298">
        <f t="shared" si="1"/>
        <v>220.35893754486716</v>
      </c>
    </row>
    <row r="70" spans="1:8" x14ac:dyDescent="0.25">
      <c r="A70" s="1000" t="s">
        <v>288</v>
      </c>
      <c r="B70" s="415" t="s">
        <v>1274</v>
      </c>
      <c r="C70" s="290">
        <v>1540</v>
      </c>
      <c r="D70" s="290">
        <v>0</v>
      </c>
      <c r="E70" s="295"/>
      <c r="F70" s="295"/>
      <c r="G70" s="298">
        <f t="shared" si="4"/>
        <v>-1540</v>
      </c>
      <c r="H70" s="298">
        <f t="shared" si="1"/>
        <v>0</v>
      </c>
    </row>
    <row r="71" spans="1:8" x14ac:dyDescent="0.25">
      <c r="A71" s="1000" t="s">
        <v>288</v>
      </c>
      <c r="B71" s="415" t="s">
        <v>539</v>
      </c>
      <c r="C71" s="290">
        <v>1988</v>
      </c>
      <c r="D71" s="290">
        <v>1988</v>
      </c>
      <c r="E71" s="295"/>
      <c r="F71" s="295"/>
      <c r="G71" s="298">
        <f t="shared" si="4"/>
        <v>0</v>
      </c>
      <c r="H71" s="298">
        <f t="shared" si="1"/>
        <v>100</v>
      </c>
    </row>
    <row r="72" spans="1:8" ht="30" x14ac:dyDescent="0.25">
      <c r="A72" s="1000" t="s">
        <v>288</v>
      </c>
      <c r="B72" s="1002" t="s">
        <v>540</v>
      </c>
      <c r="C72" s="290">
        <v>2410</v>
      </c>
      <c r="D72" s="290">
        <v>2743</v>
      </c>
      <c r="E72" s="295"/>
      <c r="F72" s="295"/>
      <c r="G72" s="298">
        <f t="shared" si="4"/>
        <v>333</v>
      </c>
      <c r="H72" s="298">
        <f t="shared" si="1"/>
        <v>113.81742738589212</v>
      </c>
    </row>
    <row r="73" spans="1:8" ht="30" x14ac:dyDescent="0.25">
      <c r="A73" s="1000" t="s">
        <v>288</v>
      </c>
      <c r="B73" s="415" t="s">
        <v>1265</v>
      </c>
      <c r="C73" s="290">
        <v>5116</v>
      </c>
      <c r="D73" s="290">
        <v>5259</v>
      </c>
      <c r="E73" s="295"/>
      <c r="F73" s="295"/>
      <c r="G73" s="298">
        <f t="shared" si="4"/>
        <v>143</v>
      </c>
      <c r="H73" s="298">
        <f t="shared" si="1"/>
        <v>102.79515246286162</v>
      </c>
    </row>
    <row r="74" spans="1:8" x14ac:dyDescent="0.25">
      <c r="A74" s="1000" t="s">
        <v>288</v>
      </c>
      <c r="B74" s="415" t="s">
        <v>542</v>
      </c>
      <c r="C74" s="290">
        <v>2990</v>
      </c>
      <c r="D74" s="290">
        <v>2779</v>
      </c>
      <c r="E74" s="295"/>
      <c r="F74" s="295"/>
      <c r="G74" s="298">
        <f t="shared" si="4"/>
        <v>-211</v>
      </c>
      <c r="H74" s="298">
        <f t="shared" si="1"/>
        <v>92.943143812709025</v>
      </c>
    </row>
    <row r="75" spans="1:8" ht="45" x14ac:dyDescent="0.25">
      <c r="A75" s="1000" t="s">
        <v>288</v>
      </c>
      <c r="B75" s="415" t="s">
        <v>543</v>
      </c>
      <c r="C75" s="290">
        <v>44742</v>
      </c>
      <c r="D75" s="290">
        <v>80882</v>
      </c>
      <c r="E75" s="295"/>
      <c r="F75" s="295"/>
      <c r="G75" s="298">
        <f t="shared" si="4"/>
        <v>36140</v>
      </c>
      <c r="H75" s="298">
        <f t="shared" si="1"/>
        <v>180.77421661973091</v>
      </c>
    </row>
    <row r="76" spans="1:8" x14ac:dyDescent="0.25">
      <c r="A76" s="1000" t="s">
        <v>288</v>
      </c>
      <c r="B76" s="415" t="s">
        <v>544</v>
      </c>
      <c r="C76" s="290">
        <v>4105</v>
      </c>
      <c r="D76" s="290">
        <v>4105</v>
      </c>
      <c r="E76" s="295"/>
      <c r="F76" s="295"/>
      <c r="G76" s="298">
        <f t="shared" si="4"/>
        <v>0</v>
      </c>
      <c r="H76" s="298">
        <f t="shared" si="1"/>
        <v>100</v>
      </c>
    </row>
    <row r="77" spans="1:8" ht="30" x14ac:dyDescent="0.25">
      <c r="A77" s="1000" t="s">
        <v>288</v>
      </c>
      <c r="B77" s="415" t="s">
        <v>545</v>
      </c>
      <c r="C77" s="290">
        <v>108</v>
      </c>
      <c r="D77" s="290">
        <v>108</v>
      </c>
      <c r="E77" s="295"/>
      <c r="F77" s="295"/>
      <c r="G77" s="298">
        <f t="shared" si="4"/>
        <v>0</v>
      </c>
      <c r="H77" s="298">
        <f t="shared" si="1"/>
        <v>100</v>
      </c>
    </row>
    <row r="78" spans="1:8" x14ac:dyDescent="0.25">
      <c r="A78" s="1000" t="s">
        <v>288</v>
      </c>
      <c r="B78" s="415" t="s">
        <v>546</v>
      </c>
      <c r="C78" s="290">
        <v>183</v>
      </c>
      <c r="D78" s="290">
        <v>183</v>
      </c>
      <c r="E78" s="295"/>
      <c r="F78" s="295"/>
      <c r="G78" s="298">
        <f t="shared" si="4"/>
        <v>0</v>
      </c>
      <c r="H78" s="298">
        <f t="shared" si="1"/>
        <v>100</v>
      </c>
    </row>
    <row r="79" spans="1:8" ht="30" x14ac:dyDescent="0.25">
      <c r="A79" s="1000" t="s">
        <v>288</v>
      </c>
      <c r="B79" s="415" t="s">
        <v>547</v>
      </c>
      <c r="C79" s="290">
        <v>2006</v>
      </c>
      <c r="D79" s="290">
        <v>2006</v>
      </c>
      <c r="E79" s="295"/>
      <c r="F79" s="295"/>
      <c r="G79" s="298">
        <f t="shared" si="4"/>
        <v>0</v>
      </c>
      <c r="H79" s="298">
        <f t="shared" si="1"/>
        <v>100</v>
      </c>
    </row>
    <row r="80" spans="1:8" x14ac:dyDescent="0.25">
      <c r="A80" s="1000" t="s">
        <v>288</v>
      </c>
      <c r="B80" s="1003" t="s">
        <v>1275</v>
      </c>
      <c r="C80" s="290">
        <v>13663</v>
      </c>
      <c r="D80" s="290">
        <v>17041</v>
      </c>
      <c r="E80" s="295"/>
      <c r="F80" s="295"/>
      <c r="G80" s="298">
        <f t="shared" si="4"/>
        <v>3378</v>
      </c>
      <c r="H80" s="298">
        <f t="shared" si="1"/>
        <v>124.72370636024299</v>
      </c>
    </row>
    <row r="81" spans="1:8" ht="30" x14ac:dyDescent="0.25">
      <c r="A81" s="1000" t="s">
        <v>288</v>
      </c>
      <c r="B81" s="98" t="s">
        <v>549</v>
      </c>
      <c r="C81" s="290">
        <v>12796</v>
      </c>
      <c r="D81" s="290">
        <v>14669</v>
      </c>
      <c r="E81" s="295"/>
      <c r="F81" s="295"/>
      <c r="G81" s="298">
        <f t="shared" si="4"/>
        <v>1873</v>
      </c>
      <c r="H81" s="298">
        <f t="shared" si="1"/>
        <v>114.63738668333853</v>
      </c>
    </row>
    <row r="82" spans="1:8" ht="30" x14ac:dyDescent="0.25">
      <c r="A82" s="1000" t="s">
        <v>288</v>
      </c>
      <c r="B82" s="98" t="s">
        <v>550</v>
      </c>
      <c r="C82" s="290">
        <v>2490</v>
      </c>
      <c r="D82" s="290">
        <v>3178</v>
      </c>
      <c r="E82" s="295"/>
      <c r="F82" s="295"/>
      <c r="G82" s="298">
        <f t="shared" si="4"/>
        <v>688</v>
      </c>
      <c r="H82" s="298">
        <f t="shared" si="1"/>
        <v>127.63052208835342</v>
      </c>
    </row>
    <row r="83" spans="1:8" ht="30" x14ac:dyDescent="0.25">
      <c r="A83" s="1000" t="s">
        <v>288</v>
      </c>
      <c r="B83" s="415" t="s">
        <v>551</v>
      </c>
      <c r="C83" s="290">
        <v>1058</v>
      </c>
      <c r="D83" s="290">
        <v>1372</v>
      </c>
      <c r="E83" s="295"/>
      <c r="F83" s="295"/>
      <c r="G83" s="298">
        <f t="shared" si="4"/>
        <v>314</v>
      </c>
      <c r="H83" s="298">
        <f t="shared" si="1"/>
        <v>129.67863894139887</v>
      </c>
    </row>
    <row r="84" spans="1:8" ht="30" x14ac:dyDescent="0.25">
      <c r="A84" s="1000" t="s">
        <v>288</v>
      </c>
      <c r="B84" s="98" t="s">
        <v>552</v>
      </c>
      <c r="C84" s="290">
        <v>150</v>
      </c>
      <c r="D84" s="290">
        <v>350</v>
      </c>
      <c r="E84" s="295"/>
      <c r="F84" s="295"/>
      <c r="G84" s="298">
        <f t="shared" si="4"/>
        <v>200</v>
      </c>
      <c r="H84" s="298">
        <f t="shared" si="1"/>
        <v>233.33333333333334</v>
      </c>
    </row>
    <row r="85" spans="1:8" ht="45" x14ac:dyDescent="0.25">
      <c r="A85" s="1000" t="s">
        <v>288</v>
      </c>
      <c r="B85" s="98" t="s">
        <v>553</v>
      </c>
      <c r="C85" s="290">
        <v>1397</v>
      </c>
      <c r="D85" s="290">
        <v>1199</v>
      </c>
      <c r="E85" s="295"/>
      <c r="F85" s="295"/>
      <c r="G85" s="298">
        <f t="shared" si="4"/>
        <v>-198</v>
      </c>
      <c r="H85" s="298">
        <f t="shared" si="1"/>
        <v>85.826771653543304</v>
      </c>
    </row>
    <row r="86" spans="1:8" ht="45" x14ac:dyDescent="0.25">
      <c r="A86" s="1000" t="s">
        <v>288</v>
      </c>
      <c r="B86" s="98" t="s">
        <v>1276</v>
      </c>
      <c r="C86" s="290">
        <v>2500</v>
      </c>
      <c r="D86" s="290">
        <v>2527</v>
      </c>
      <c r="E86" s="295"/>
      <c r="F86" s="295"/>
      <c r="G86" s="298">
        <f t="shared" si="4"/>
        <v>27</v>
      </c>
      <c r="H86" s="298">
        <f t="shared" si="1"/>
        <v>101.08</v>
      </c>
    </row>
    <row r="87" spans="1:8" ht="30" x14ac:dyDescent="0.25">
      <c r="A87" s="1000" t="s">
        <v>288</v>
      </c>
      <c r="B87" s="98" t="s">
        <v>554</v>
      </c>
      <c r="C87" s="290">
        <v>4110</v>
      </c>
      <c r="D87" s="290">
        <v>4110</v>
      </c>
      <c r="E87" s="295"/>
      <c r="F87" s="295"/>
      <c r="G87" s="298">
        <f t="shared" si="4"/>
        <v>0</v>
      </c>
      <c r="H87" s="298">
        <f t="shared" si="1"/>
        <v>100</v>
      </c>
    </row>
    <row r="88" spans="1:8" x14ac:dyDescent="0.25">
      <c r="A88" s="1000" t="s">
        <v>288</v>
      </c>
      <c r="B88" s="98" t="s">
        <v>555</v>
      </c>
      <c r="C88" s="290">
        <v>56165</v>
      </c>
      <c r="D88" s="290">
        <v>79008</v>
      </c>
      <c r="E88" s="295"/>
      <c r="F88" s="295"/>
      <c r="G88" s="298">
        <f t="shared" si="4"/>
        <v>22843</v>
      </c>
      <c r="H88" s="298">
        <f t="shared" si="1"/>
        <v>140.67123653520878</v>
      </c>
    </row>
    <row r="89" spans="1:8" ht="30" x14ac:dyDescent="0.25">
      <c r="A89" s="1016" t="s">
        <v>492</v>
      </c>
      <c r="B89" s="98" t="s">
        <v>625</v>
      </c>
      <c r="C89" s="290">
        <v>2630</v>
      </c>
      <c r="D89" s="290">
        <v>8323</v>
      </c>
      <c r="E89" s="295"/>
      <c r="F89" s="295"/>
      <c r="G89" s="298">
        <f t="shared" si="4"/>
        <v>5693</v>
      </c>
      <c r="H89" s="298">
        <f t="shared" si="1"/>
        <v>316.46387832699617</v>
      </c>
    </row>
    <row r="90" spans="1:8" x14ac:dyDescent="0.25">
      <c r="A90" s="1016" t="s">
        <v>492</v>
      </c>
      <c r="B90" s="98" t="s">
        <v>626</v>
      </c>
      <c r="C90" s="290">
        <v>19203</v>
      </c>
      <c r="D90" s="290">
        <v>19713</v>
      </c>
      <c r="E90" s="295"/>
      <c r="F90" s="295"/>
      <c r="G90" s="298">
        <f t="shared" si="4"/>
        <v>510</v>
      </c>
      <c r="H90" s="298">
        <f t="shared" si="1"/>
        <v>102.65583502577722</v>
      </c>
    </row>
    <row r="91" spans="1:8" x14ac:dyDescent="0.25">
      <c r="A91" s="1016" t="s">
        <v>492</v>
      </c>
      <c r="B91" s="98" t="s">
        <v>627</v>
      </c>
      <c r="C91" s="290">
        <v>8239</v>
      </c>
      <c r="D91" s="98">
        <f>20440-7879</f>
        <v>12561</v>
      </c>
      <c r="E91" s="295"/>
      <c r="F91" s="295"/>
      <c r="G91" s="298">
        <f t="shared" si="4"/>
        <v>4322</v>
      </c>
      <c r="H91" s="298">
        <f t="shared" si="1"/>
        <v>152.45782255128049</v>
      </c>
    </row>
    <row r="92" spans="1:8" x14ac:dyDescent="0.25">
      <c r="A92" s="1016" t="s">
        <v>492</v>
      </c>
      <c r="B92" s="98" t="s">
        <v>628</v>
      </c>
      <c r="C92" s="290">
        <v>1783</v>
      </c>
      <c r="D92" s="290">
        <v>2059</v>
      </c>
      <c r="E92" s="295"/>
      <c r="F92" s="295"/>
      <c r="G92" s="298">
        <f t="shared" si="4"/>
        <v>276</v>
      </c>
      <c r="H92" s="298">
        <f t="shared" si="1"/>
        <v>115.47952888390354</v>
      </c>
    </row>
    <row r="93" spans="1:8" ht="30" x14ac:dyDescent="0.25">
      <c r="A93" s="1016" t="s">
        <v>492</v>
      </c>
      <c r="B93" s="98" t="s">
        <v>629</v>
      </c>
      <c r="C93" s="290">
        <v>1710</v>
      </c>
      <c r="D93" s="290">
        <v>4260</v>
      </c>
      <c r="E93" s="295"/>
      <c r="F93" s="295"/>
      <c r="G93" s="298">
        <f t="shared" si="4"/>
        <v>2550</v>
      </c>
      <c r="H93" s="298">
        <f t="shared" si="1"/>
        <v>249.12280701754389</v>
      </c>
    </row>
    <row r="94" spans="1:8" x14ac:dyDescent="0.25">
      <c r="A94" s="1016" t="s">
        <v>492</v>
      </c>
      <c r="B94" s="98" t="s">
        <v>630</v>
      </c>
      <c r="C94" s="290">
        <v>21600</v>
      </c>
      <c r="D94" s="290">
        <v>21213</v>
      </c>
      <c r="E94" s="295"/>
      <c r="F94" s="295"/>
      <c r="G94" s="298">
        <f t="shared" si="4"/>
        <v>-387</v>
      </c>
      <c r="H94" s="298">
        <f t="shared" si="1"/>
        <v>98.208333333333329</v>
      </c>
    </row>
    <row r="95" spans="1:8" ht="30" x14ac:dyDescent="0.25">
      <c r="A95" s="1016" t="s">
        <v>492</v>
      </c>
      <c r="B95" s="98" t="s">
        <v>631</v>
      </c>
      <c r="C95" s="290">
        <v>1000</v>
      </c>
      <c r="D95" s="290">
        <f>3000</f>
        <v>3000</v>
      </c>
      <c r="E95" s="295"/>
      <c r="F95" s="295"/>
      <c r="G95" s="298">
        <f t="shared" si="4"/>
        <v>2000</v>
      </c>
      <c r="H95" s="298">
        <f t="shared" si="1"/>
        <v>300</v>
      </c>
    </row>
    <row r="96" spans="1:8" ht="30" x14ac:dyDescent="0.25">
      <c r="A96" s="1077" t="s">
        <v>288</v>
      </c>
      <c r="B96" s="1004" t="s">
        <v>1412</v>
      </c>
      <c r="C96" s="290">
        <v>0</v>
      </c>
      <c r="D96" s="290">
        <v>9420</v>
      </c>
      <c r="E96" s="295"/>
      <c r="F96" s="295"/>
      <c r="G96" s="298">
        <f t="shared" si="4"/>
        <v>9420</v>
      </c>
      <c r="H96" s="298"/>
    </row>
    <row r="97" spans="1:8" ht="45" x14ac:dyDescent="0.25">
      <c r="A97" s="1077" t="s">
        <v>288</v>
      </c>
      <c r="B97" s="1004" t="s">
        <v>1407</v>
      </c>
      <c r="C97" s="290">
        <v>0</v>
      </c>
      <c r="D97" s="290">
        <v>560</v>
      </c>
      <c r="E97" s="295"/>
      <c r="F97" s="295"/>
      <c r="G97" s="298">
        <f t="shared" si="4"/>
        <v>560</v>
      </c>
      <c r="H97" s="298"/>
    </row>
    <row r="98" spans="1:8" x14ac:dyDescent="0.25">
      <c r="A98" s="1077" t="s">
        <v>288</v>
      </c>
      <c r="B98" s="1005" t="s">
        <v>1408</v>
      </c>
      <c r="C98" s="290">
        <v>0</v>
      </c>
      <c r="D98" s="290">
        <v>17024</v>
      </c>
      <c r="E98" s="295"/>
      <c r="F98" s="295"/>
      <c r="G98" s="298">
        <f t="shared" si="4"/>
        <v>17024</v>
      </c>
      <c r="H98" s="298"/>
    </row>
    <row r="99" spans="1:8" ht="60" x14ac:dyDescent="0.25">
      <c r="A99" s="1077" t="s">
        <v>288</v>
      </c>
      <c r="B99" s="1006" t="s">
        <v>1409</v>
      </c>
      <c r="C99" s="290">
        <v>0</v>
      </c>
      <c r="D99" s="290">
        <v>3372</v>
      </c>
      <c r="E99" s="295"/>
      <c r="F99" s="295"/>
      <c r="G99" s="298">
        <f t="shared" si="4"/>
        <v>3372</v>
      </c>
      <c r="H99" s="298"/>
    </row>
    <row r="100" spans="1:8" x14ac:dyDescent="0.25">
      <c r="A100" s="1077" t="s">
        <v>288</v>
      </c>
      <c r="B100" s="409" t="s">
        <v>1410</v>
      </c>
      <c r="C100" s="290">
        <v>0</v>
      </c>
      <c r="D100" s="290">
        <v>10404</v>
      </c>
      <c r="E100" s="295"/>
      <c r="F100" s="295"/>
      <c r="G100" s="298">
        <f t="shared" si="4"/>
        <v>10404</v>
      </c>
      <c r="H100" s="298"/>
    </row>
    <row r="101" spans="1:8" ht="30" x14ac:dyDescent="0.25">
      <c r="A101" s="1077" t="s">
        <v>288</v>
      </c>
      <c r="B101" s="1007" t="s">
        <v>1413</v>
      </c>
      <c r="C101" s="290">
        <v>0</v>
      </c>
      <c r="D101" s="290">
        <v>1423</v>
      </c>
      <c r="E101" s="295"/>
      <c r="F101" s="295"/>
      <c r="G101" s="298">
        <f t="shared" si="4"/>
        <v>1423</v>
      </c>
      <c r="H101" s="298"/>
    </row>
    <row r="102" spans="1:8" x14ac:dyDescent="0.25">
      <c r="A102" s="1077" t="s">
        <v>288</v>
      </c>
      <c r="B102" s="1007" t="s">
        <v>1267</v>
      </c>
      <c r="C102" s="290">
        <v>0</v>
      </c>
      <c r="D102" s="290">
        <v>92</v>
      </c>
      <c r="E102" s="295"/>
      <c r="F102" s="295"/>
      <c r="G102" s="298">
        <f t="shared" si="4"/>
        <v>92</v>
      </c>
      <c r="H102" s="298"/>
    </row>
    <row r="103" spans="1:8" ht="30" x14ac:dyDescent="0.25">
      <c r="A103" s="1016" t="s">
        <v>288</v>
      </c>
      <c r="B103" s="1249" t="s">
        <v>1414</v>
      </c>
      <c r="C103" s="290">
        <v>0</v>
      </c>
      <c r="D103" s="290">
        <v>8319</v>
      </c>
      <c r="E103" s="295"/>
      <c r="F103" s="295"/>
      <c r="G103" s="298">
        <f t="shared" si="4"/>
        <v>8319</v>
      </c>
      <c r="H103" s="298"/>
    </row>
    <row r="104" spans="1:8" ht="30" x14ac:dyDescent="0.25">
      <c r="A104" s="1016" t="s">
        <v>288</v>
      </c>
      <c r="B104" s="413" t="s">
        <v>1266</v>
      </c>
      <c r="C104" s="290">
        <v>0</v>
      </c>
      <c r="D104" s="290">
        <v>4061</v>
      </c>
      <c r="E104" s="295"/>
      <c r="F104" s="295"/>
      <c r="G104" s="298">
        <f t="shared" si="4"/>
        <v>4061</v>
      </c>
      <c r="H104" s="298"/>
    </row>
    <row r="105" spans="1:8" x14ac:dyDescent="0.25">
      <c r="A105" s="1016" t="s">
        <v>288</v>
      </c>
      <c r="B105" s="413" t="s">
        <v>1411</v>
      </c>
      <c r="C105" s="290">
        <v>0</v>
      </c>
      <c r="D105" s="290">
        <v>1087</v>
      </c>
      <c r="E105" s="295"/>
      <c r="F105" s="295"/>
      <c r="G105" s="298">
        <f t="shared" si="4"/>
        <v>1087</v>
      </c>
      <c r="H105" s="298"/>
    </row>
    <row r="106" spans="1:8" ht="30" x14ac:dyDescent="0.25">
      <c r="A106" s="1077" t="s">
        <v>288</v>
      </c>
      <c r="B106" s="1008" t="s">
        <v>556</v>
      </c>
      <c r="C106" s="290">
        <v>2530</v>
      </c>
      <c r="D106" s="290">
        <v>2530</v>
      </c>
      <c r="E106" s="295"/>
      <c r="F106" s="295"/>
      <c r="G106" s="298">
        <f t="shared" si="4"/>
        <v>0</v>
      </c>
      <c r="H106" s="298">
        <f t="shared" si="1"/>
        <v>100</v>
      </c>
    </row>
    <row r="107" spans="1:8" x14ac:dyDescent="0.25">
      <c r="A107" s="1077" t="s">
        <v>288</v>
      </c>
      <c r="B107" s="1008" t="s">
        <v>934</v>
      </c>
      <c r="C107" s="290">
        <v>10000</v>
      </c>
      <c r="D107" s="290">
        <v>10000</v>
      </c>
      <c r="E107" s="295"/>
      <c r="F107" s="295"/>
      <c r="G107" s="298">
        <f t="shared" si="4"/>
        <v>0</v>
      </c>
      <c r="H107" s="298">
        <f t="shared" si="1"/>
        <v>100</v>
      </c>
    </row>
    <row r="108" spans="1:8" ht="19.5" customHeight="1" x14ac:dyDescent="0.25">
      <c r="A108" s="1121" t="s">
        <v>4</v>
      </c>
      <c r="B108" s="1122" t="s">
        <v>286</v>
      </c>
      <c r="C108" s="304"/>
      <c r="D108" s="303" t="e">
        <f>'Biểu 12'!D29</f>
        <v>#REF!</v>
      </c>
      <c r="E108" s="304"/>
      <c r="F108" s="304"/>
      <c r="G108" s="304"/>
      <c r="H108" s="304"/>
    </row>
    <row r="109" spans="1:8" x14ac:dyDescent="0.25">
      <c r="A109" s="1976"/>
      <c r="B109" s="1976"/>
      <c r="C109" s="1976"/>
      <c r="D109" s="1976"/>
      <c r="E109" s="1976"/>
      <c r="F109" s="1976"/>
      <c r="G109" s="1976"/>
      <c r="H109" s="1976"/>
    </row>
  </sheetData>
  <mergeCells count="11">
    <mergeCell ref="A109:H109"/>
    <mergeCell ref="A1:H1"/>
    <mergeCell ref="A2:H2"/>
    <mergeCell ref="G3:H3"/>
    <mergeCell ref="A4:A5"/>
    <mergeCell ref="B4:B5"/>
    <mergeCell ref="C4:C5"/>
    <mergeCell ref="D4:D5"/>
    <mergeCell ref="G4:H4"/>
    <mergeCell ref="E4:E5"/>
    <mergeCell ref="F4:F5"/>
  </mergeCells>
  <pageMargins left="0.89" right="0.2" top="0.76" bottom="0.59" header="0.5" footer="0.24"/>
  <pageSetup paperSize="9" firstPageNumber="74" orientation="portrait" useFirstPageNumber="1" r:id="rId1"/>
  <headerFooter>
    <oddHeader>&amp;RBiểu mẫu số 14</oddHeader>
    <oddFooter>&amp;C&amp;P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17"/>
  <sheetViews>
    <sheetView workbookViewId="0">
      <pane xSplit="1" ySplit="4" topLeftCell="B5" activePane="bottomRight" state="frozen"/>
      <selection pane="topRight" activeCell="B1" sqref="B1"/>
      <selection pane="bottomLeft" activeCell="A4" sqref="A4"/>
      <selection pane="bottomRight" activeCell="H11" sqref="H11"/>
    </sheetView>
  </sheetViews>
  <sheetFormatPr defaultRowHeight="15.75" x14ac:dyDescent="0.25"/>
  <cols>
    <col min="1" max="1" width="5.125" style="384" customWidth="1"/>
    <col min="2" max="2" width="15.125" style="389" customWidth="1"/>
    <col min="3" max="3" width="56.125" style="384" customWidth="1"/>
    <col min="4" max="4" width="41.75" style="384" hidden="1" customWidth="1"/>
    <col min="5" max="5" width="7.75" style="393" customWidth="1"/>
    <col min="6" max="16384" width="9" style="384"/>
  </cols>
  <sheetData>
    <row r="1" spans="1:5" ht="18.75" x14ac:dyDescent="0.25">
      <c r="B1" s="1983" t="s">
        <v>1177</v>
      </c>
      <c r="C1" s="1983"/>
      <c r="D1" s="1983"/>
    </row>
    <row r="2" spans="1:5" ht="17.25" customHeight="1" x14ac:dyDescent="0.25">
      <c r="A2" s="1985" t="s">
        <v>1176</v>
      </c>
      <c r="B2" s="1985"/>
      <c r="C2" s="1985"/>
      <c r="D2" s="1985"/>
      <c r="E2" s="1985"/>
    </row>
    <row r="3" spans="1:5" ht="19.5" customHeight="1" x14ac:dyDescent="0.25">
      <c r="A3" s="1986" t="e">
        <f>#REF!</f>
        <v>#REF!</v>
      </c>
      <c r="B3" s="1987"/>
      <c r="C3" s="1987"/>
      <c r="D3" s="1987"/>
      <c r="E3" s="1987"/>
    </row>
    <row r="4" spans="1:5" s="386" customFormat="1" ht="27" customHeight="1" x14ac:dyDescent="0.25">
      <c r="A4" s="385" t="s">
        <v>0</v>
      </c>
      <c r="B4" s="385" t="s">
        <v>1165</v>
      </c>
      <c r="C4" s="385" t="s">
        <v>1</v>
      </c>
      <c r="D4" s="385" t="s">
        <v>1166</v>
      </c>
      <c r="E4" s="385" t="s">
        <v>1171</v>
      </c>
    </row>
    <row r="5" spans="1:5" ht="37.5" customHeight="1" x14ac:dyDescent="0.25">
      <c r="A5" s="394">
        <v>1</v>
      </c>
      <c r="B5" s="391" t="s">
        <v>2432</v>
      </c>
      <c r="C5" s="387" t="s">
        <v>2434</v>
      </c>
      <c r="D5" s="387" t="s">
        <v>1169</v>
      </c>
      <c r="E5" s="394">
        <v>2</v>
      </c>
    </row>
    <row r="6" spans="1:5" ht="32.25" customHeight="1" x14ac:dyDescent="0.25">
      <c r="A6" s="394">
        <v>2</v>
      </c>
      <c r="B6" s="391" t="s">
        <v>2433</v>
      </c>
      <c r="C6" s="387" t="s">
        <v>2435</v>
      </c>
      <c r="D6" s="387" t="s">
        <v>1170</v>
      </c>
      <c r="E6" s="394">
        <v>3</v>
      </c>
    </row>
    <row r="7" spans="1:5" ht="32.25" customHeight="1" x14ac:dyDescent="0.25">
      <c r="A7" s="394">
        <v>3</v>
      </c>
      <c r="B7" s="391" t="s">
        <v>2436</v>
      </c>
      <c r="C7" s="387" t="s">
        <v>2437</v>
      </c>
      <c r="D7" s="387" t="s">
        <v>1170</v>
      </c>
      <c r="E7" s="394">
        <v>4</v>
      </c>
    </row>
    <row r="8" spans="1:5" ht="35.25" customHeight="1" x14ac:dyDescent="0.25">
      <c r="A8" s="394">
        <v>4</v>
      </c>
      <c r="B8" s="391" t="s">
        <v>2438</v>
      </c>
      <c r="C8" s="387" t="s">
        <v>2439</v>
      </c>
      <c r="D8" s="387" t="s">
        <v>1170</v>
      </c>
      <c r="E8" s="394">
        <v>5</v>
      </c>
    </row>
    <row r="9" spans="1:5" ht="36" customHeight="1" x14ac:dyDescent="0.25">
      <c r="A9" s="394">
        <v>5</v>
      </c>
      <c r="B9" s="391" t="s">
        <v>2440</v>
      </c>
      <c r="C9" s="387" t="s">
        <v>2441</v>
      </c>
      <c r="D9" s="387" t="s">
        <v>1168</v>
      </c>
      <c r="E9" s="394">
        <v>6</v>
      </c>
    </row>
    <row r="10" spans="1:5" ht="39.75" customHeight="1" x14ac:dyDescent="0.25">
      <c r="A10" s="394">
        <v>6</v>
      </c>
      <c r="B10" s="391" t="s">
        <v>2442</v>
      </c>
      <c r="C10" s="387" t="s">
        <v>2443</v>
      </c>
      <c r="D10" s="390"/>
      <c r="E10" s="395">
        <v>8</v>
      </c>
    </row>
    <row r="11" spans="1:5" ht="33.75" customHeight="1" x14ac:dyDescent="0.25">
      <c r="A11" s="394">
        <v>7</v>
      </c>
      <c r="B11" s="391" t="s">
        <v>2444</v>
      </c>
      <c r="C11" s="387" t="s">
        <v>2446</v>
      </c>
      <c r="D11" s="1984"/>
      <c r="E11" s="394">
        <v>12</v>
      </c>
    </row>
    <row r="12" spans="1:5" ht="33.75" customHeight="1" x14ac:dyDescent="0.25">
      <c r="A12" s="394">
        <v>8</v>
      </c>
      <c r="B12" s="391" t="s">
        <v>2445</v>
      </c>
      <c r="C12" s="387" t="s">
        <v>2447</v>
      </c>
      <c r="D12" s="1984"/>
      <c r="E12" s="394">
        <v>14</v>
      </c>
    </row>
    <row r="13" spans="1:5" ht="36" customHeight="1" x14ac:dyDescent="0.25">
      <c r="A13" s="394">
        <v>9</v>
      </c>
      <c r="B13" s="391" t="s">
        <v>2448</v>
      </c>
      <c r="C13" s="387" t="s">
        <v>2449</v>
      </c>
      <c r="D13" s="1984"/>
      <c r="E13" s="394">
        <v>18</v>
      </c>
    </row>
    <row r="14" spans="1:5" ht="32.25" customHeight="1" x14ac:dyDescent="0.25">
      <c r="A14" s="394">
        <v>10</v>
      </c>
      <c r="B14" s="391" t="s">
        <v>2450</v>
      </c>
      <c r="C14" s="387" t="s">
        <v>2451</v>
      </c>
      <c r="D14" s="1984"/>
      <c r="E14" s="394">
        <v>19</v>
      </c>
    </row>
    <row r="15" spans="1:5" ht="33.75" customHeight="1" x14ac:dyDescent="0.25">
      <c r="A15" s="394">
        <v>11</v>
      </c>
      <c r="B15" s="391" t="s">
        <v>2431</v>
      </c>
      <c r="C15" s="387" t="s">
        <v>2416</v>
      </c>
      <c r="D15" s="1984"/>
      <c r="E15" s="394">
        <v>20</v>
      </c>
    </row>
    <row r="16" spans="1:5" ht="36.75" customHeight="1" x14ac:dyDescent="0.25">
      <c r="A16" s="394">
        <v>12</v>
      </c>
      <c r="B16" s="391" t="s">
        <v>2452</v>
      </c>
      <c r="C16" s="387" t="s">
        <v>2417</v>
      </c>
      <c r="D16" s="1984"/>
      <c r="E16" s="394">
        <v>21</v>
      </c>
    </row>
    <row r="17" spans="1:5" ht="38.25" customHeight="1" x14ac:dyDescent="0.25">
      <c r="A17" s="396">
        <v>27</v>
      </c>
      <c r="B17" s="392" t="s">
        <v>1182</v>
      </c>
      <c r="C17" s="398" t="s">
        <v>1183</v>
      </c>
      <c r="D17" s="388" t="s">
        <v>1170</v>
      </c>
      <c r="E17" s="396">
        <v>31</v>
      </c>
    </row>
  </sheetData>
  <mergeCells count="4">
    <mergeCell ref="B1:D1"/>
    <mergeCell ref="D11:D16"/>
    <mergeCell ref="A2:E2"/>
    <mergeCell ref="A3:E3"/>
  </mergeCells>
  <hyperlinks>
    <hyperlink ref="B17" location="'53'!A1" display="Biểu mẫu số 53"/>
    <hyperlink ref="B5" location="'50'!A1" display="Biểu mẫu số 50"/>
    <hyperlink ref="B6" location="'50'!A1" display="Biểu mẫu số 50"/>
    <hyperlink ref="B7" location="'50'!A1" display="Biểu mẫu số 50"/>
    <hyperlink ref="B8" location="'50'!A1" display="Biểu mẫu số 50"/>
    <hyperlink ref="B9" location="'50'!A1" display="Biểu mẫu số 50"/>
    <hyperlink ref="B10" location="'50'!A1" display="Biểu mẫu số 50"/>
    <hyperlink ref="B11:B12" location="'50'!A1" display="Biểu mẫu số 50"/>
    <hyperlink ref="B13" location="'50'!A1" display="Biểu mẫu số 50"/>
    <hyperlink ref="B14" location="'50'!A1" display="Biểu mẫu số 50"/>
    <hyperlink ref="B15" location="'50'!A1" display="Biểu mẫu số 50"/>
    <hyperlink ref="B16" location="'50'!A1" display="Biểu mẫu số 50"/>
  </hyperlinks>
  <pageMargins left="0.92" right="0.2" top="0.63" bottom="0.75" header="0.3" footer="0.3"/>
  <pageSetup paperSize="9" firstPageNumber="4" orientation="portrait" r:id="rId1"/>
  <headerFooter>
    <oddFooter>&amp;C&amp;P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C3A8DEC-1525-4C1F-A0B9-1EA6AA4CC196}"/>
</file>

<file path=customXml/itemProps2.xml><?xml version="1.0" encoding="utf-8"?>
<ds:datastoreItem xmlns:ds="http://schemas.openxmlformats.org/officeDocument/2006/customXml" ds:itemID="{42D738A2-1681-42D1-9A3D-99406DB86DE3}"/>
</file>

<file path=customXml/itemProps3.xml><?xml version="1.0" encoding="utf-8"?>
<ds:datastoreItem xmlns:ds="http://schemas.openxmlformats.org/officeDocument/2006/customXml" ds:itemID="{09F9EB10-D291-4B92-BF6E-358BB196155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58</vt:i4>
      </vt:variant>
      <vt:variant>
        <vt:lpstr>Named Ranges</vt:lpstr>
      </vt:variant>
      <vt:variant>
        <vt:i4>37</vt:i4>
      </vt:variant>
    </vt:vector>
  </HeadingPairs>
  <TitlesOfParts>
    <vt:vector size="95" baseType="lpstr">
      <vt:lpstr>03N Biểu 07</vt:lpstr>
      <vt:lpstr>03N Biểu 08</vt:lpstr>
      <vt:lpstr>03N Biểu 09</vt:lpstr>
      <vt:lpstr>03N Biểu 10</vt:lpstr>
      <vt:lpstr>03N Biểu 11</vt:lpstr>
      <vt:lpstr>Biểu 12</vt:lpstr>
      <vt:lpstr>Biểu 13</vt:lpstr>
      <vt:lpstr>Biểu 14</vt:lpstr>
      <vt:lpstr>Danh mục báo cáo</vt:lpstr>
      <vt:lpstr>Biểu 16</vt:lpstr>
      <vt:lpstr>Biểu 16a</vt:lpstr>
      <vt:lpstr>Biểu số 48</vt:lpstr>
      <vt:lpstr>Biểu 17</vt:lpstr>
      <vt:lpstr>Biểu 18</vt:lpstr>
      <vt:lpstr>Biểu 19</vt:lpstr>
      <vt:lpstr>Biểu 20</vt:lpstr>
      <vt:lpstr>Biểu 21</vt:lpstr>
      <vt:lpstr>Biểu 22</vt:lpstr>
      <vt:lpstr>Biểu 23</vt:lpstr>
      <vt:lpstr>Biểu 24</vt:lpstr>
      <vt:lpstr>Biểu 25</vt:lpstr>
      <vt:lpstr>Biểu 26</vt:lpstr>
      <vt:lpstr>Biểu 27</vt:lpstr>
      <vt:lpstr>Biểu 29.</vt:lpstr>
      <vt:lpstr>Biểu 31</vt:lpstr>
      <vt:lpstr>Biểu 32</vt:lpstr>
      <vt:lpstr>Biểu 37</vt:lpstr>
      <vt:lpstr>Biểu 37 a DT SC Tr.sơ</vt:lpstr>
      <vt:lpstr>Biểu 41</vt:lpstr>
      <vt:lpstr>Biểu 43.</vt:lpstr>
      <vt:lpstr>Biểu 44.</vt:lpstr>
      <vt:lpstr>Biểu 47.</vt:lpstr>
      <vt:lpstr>Biểu 29</vt:lpstr>
      <vt:lpstr>Biểu 38</vt:lpstr>
      <vt:lpstr>Biểu 40</vt:lpstr>
      <vt:lpstr>Biểu 43</vt:lpstr>
      <vt:lpstr>Biểu 44</vt:lpstr>
      <vt:lpstr>Biểu 45</vt:lpstr>
      <vt:lpstr>Biểu 47</vt:lpstr>
      <vt:lpstr>Biểu 34</vt:lpstr>
      <vt:lpstr>Biểu 35</vt:lpstr>
      <vt:lpstr>Biểu 36</vt:lpstr>
      <vt:lpstr>Biểu 46.</vt:lpstr>
      <vt:lpstr>Biểu 28</vt:lpstr>
      <vt:lpstr>TL 1390</vt:lpstr>
      <vt:lpstr>TLg1300</vt:lpstr>
      <vt:lpstr>VĐT</vt:lpstr>
      <vt:lpstr>Biểu 07 DT</vt:lpstr>
      <vt:lpstr>Biểu 09DT</vt:lpstr>
      <vt:lpstr>Biểu 10DT TG thu</vt:lpstr>
      <vt:lpstr>Biểu 11.1.DT</vt:lpstr>
      <vt:lpstr>Biểu 03</vt:lpstr>
      <vt:lpstr>Biểu 08DT phí, LP</vt:lpstr>
      <vt:lpstr>Biểu 11 DT</vt:lpstr>
      <vt:lpstr>Biểu 11 DT SKH</vt:lpstr>
      <vt:lpstr>Biểu 06 DT </vt:lpstr>
      <vt:lpstr>CTMT TPMT</vt:lpstr>
      <vt:lpstr>3 năm Thuế gửi</vt:lpstr>
      <vt:lpstr>'Danh mục báo cáo'!chuong_phuluc_1_name</vt:lpstr>
      <vt:lpstr>'Biểu 35'!chuong_phuluc_35_name</vt:lpstr>
      <vt:lpstr>'Biểu 36'!chuong_phuluc_36_name</vt:lpstr>
      <vt:lpstr>'Biểu 38'!chuong_phuluc_38_name</vt:lpstr>
      <vt:lpstr>'Biểu 41'!chuong_phuluc_41_name</vt:lpstr>
      <vt:lpstr>'Biểu 43'!chuong_phuluc_43_name</vt:lpstr>
      <vt:lpstr>'Biểu 44'!chuong_phuluc_44_name</vt:lpstr>
      <vt:lpstr>'Biểu 44'!chuong_phuluc_44_name_name</vt:lpstr>
      <vt:lpstr>'03N Biểu 07'!Print_Titles</vt:lpstr>
      <vt:lpstr>'03N Biểu 08'!Print_Titles</vt:lpstr>
      <vt:lpstr>'03N Biểu 11'!Print_Titles</vt:lpstr>
      <vt:lpstr>'Biểu 03'!Print_Titles</vt:lpstr>
      <vt:lpstr>'Biểu 06 DT '!Print_Titles</vt:lpstr>
      <vt:lpstr>'Biểu 07 DT'!Print_Titles</vt:lpstr>
      <vt:lpstr>'Biểu 08DT phí, LP'!Print_Titles</vt:lpstr>
      <vt:lpstr>'Biểu 09DT'!Print_Titles</vt:lpstr>
      <vt:lpstr>'Biểu 11 DT'!Print_Titles</vt:lpstr>
      <vt:lpstr>'Biểu 11 DT SKH'!Print_Titles</vt:lpstr>
      <vt:lpstr>'Biểu 11.1.DT'!Print_Titles</vt:lpstr>
      <vt:lpstr>'Biểu 13'!Print_Titles</vt:lpstr>
      <vt:lpstr>'Biểu 14'!Print_Titles</vt:lpstr>
      <vt:lpstr>'Biểu 17'!Print_Titles</vt:lpstr>
      <vt:lpstr>'Biểu 18'!Print_Titles</vt:lpstr>
      <vt:lpstr>'Biểu 22'!Print_Titles</vt:lpstr>
      <vt:lpstr>'Biểu 23'!Print_Titles</vt:lpstr>
      <vt:lpstr>'Biểu 24'!Print_Titles</vt:lpstr>
      <vt:lpstr>'Biểu 25'!Print_Titles</vt:lpstr>
      <vt:lpstr>'Biểu 26'!Print_Titles</vt:lpstr>
      <vt:lpstr>'Biểu 34'!Print_Titles</vt:lpstr>
      <vt:lpstr>'Biểu 35'!Print_Titles</vt:lpstr>
      <vt:lpstr>'Biểu 36'!Print_Titles</vt:lpstr>
      <vt:lpstr>'Biểu 37'!Print_Titles</vt:lpstr>
      <vt:lpstr>'Biểu 37 a DT SC Tr.sơ'!Print_Titles</vt:lpstr>
      <vt:lpstr>'Biểu 44.'!Print_Titles</vt:lpstr>
      <vt:lpstr>'Biểu 46.'!Print_Titles</vt:lpstr>
      <vt:lpstr>'CTMT TPMT'!Print_Titles</vt:lpstr>
      <vt:lpstr>'Danh mục báo cáo'!Print_Titles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hien</dc:creator>
  <cp:lastModifiedBy>toi_pc</cp:lastModifiedBy>
  <cp:lastPrinted>2020-06-11T03:44:42Z</cp:lastPrinted>
  <dcterms:created xsi:type="dcterms:W3CDTF">2017-06-24T08:14:12Z</dcterms:created>
  <dcterms:modified xsi:type="dcterms:W3CDTF">2020-06-11T03:44:47Z</dcterms:modified>
</cp:coreProperties>
</file>