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firstSheet="2" activeTab="2"/>
  </bookViews>
  <sheets>
    <sheet name="Nganh-Linh vuc" sheetId="7" state="hidden" r:id="rId1"/>
    <sheet name="Chu dau tu" sheetId="9" state="hidden" r:id="rId2"/>
    <sheet name="PL XI - Bieu 46" sheetId="10" r:id="rId3"/>
    <sheet name="Sheet1" sheetId="8" r:id="rId4"/>
  </sheets>
  <definedNames>
    <definedName name="_xlnm._FilterDatabase" localSheetId="1" hidden="1">'Chu dau tu'!$A$13:$AH$172</definedName>
    <definedName name="_xlnm._FilterDatabase" localSheetId="0" hidden="1">'Nganh-Linh vuc'!$A$12:$AH$159</definedName>
    <definedName name="_xlnm._FilterDatabase" localSheetId="2" hidden="1">'PL XI - Bieu 46'!#REF!</definedName>
    <definedName name="_xlnm.Print_Area" localSheetId="0">'Nganh-Linh vuc'!$A$1:$AF$159</definedName>
    <definedName name="_xlnm.Print_Area" localSheetId="2">'PL XI - Bieu 46'!$A$1:$V$252</definedName>
    <definedName name="_xlnm.Print_Titles" localSheetId="1">'Chu dau tu'!$8:$12</definedName>
    <definedName name="_xlnm.Print_Titles" localSheetId="0">'Nganh-Linh vuc'!$7:$11</definedName>
    <definedName name="_xlnm.Print_Titles" localSheetId="2">'PL XI - Bieu 46'!$7:$11</definedName>
  </definedNames>
  <calcPr calcId="162913"/>
</workbook>
</file>

<file path=xl/calcChain.xml><?xml version="1.0" encoding="utf-8"?>
<calcChain xmlns="http://schemas.openxmlformats.org/spreadsheetml/2006/main">
  <c r="O251" i="10" l="1"/>
  <c r="O250" i="10"/>
  <c r="L250" i="10"/>
  <c r="O249" i="10"/>
  <c r="O248" i="10"/>
  <c r="S247" i="10"/>
  <c r="R247" i="10"/>
  <c r="Q247" i="10"/>
  <c r="Q245" i="10" s="1"/>
  <c r="P247" i="10"/>
  <c r="P245" i="10" s="1"/>
  <c r="N247" i="10"/>
  <c r="M247" i="10"/>
  <c r="M245" i="10" s="1"/>
  <c r="L247" i="10"/>
  <c r="L245" i="10" s="1"/>
  <c r="K247" i="10"/>
  <c r="J247" i="10"/>
  <c r="I247" i="10"/>
  <c r="I245" i="10" s="1"/>
  <c r="O246" i="10"/>
  <c r="L246" i="10"/>
  <c r="S245" i="10"/>
  <c r="R245" i="10"/>
  <c r="N245" i="10"/>
  <c r="K245" i="10"/>
  <c r="J245" i="10"/>
  <c r="O244" i="10"/>
  <c r="K244" i="10"/>
  <c r="K239" i="10" s="1"/>
  <c r="K237" i="10" s="1"/>
  <c r="O243" i="10"/>
  <c r="O242" i="10"/>
  <c r="O241" i="10"/>
  <c r="O240" i="10"/>
  <c r="N240" i="10"/>
  <c r="M240" i="10"/>
  <c r="M239" i="10" s="1"/>
  <c r="M237" i="10" s="1"/>
  <c r="L240" i="10"/>
  <c r="L239" i="10" s="1"/>
  <c r="S239" i="10"/>
  <c r="S237" i="10" s="1"/>
  <c r="R239" i="10"/>
  <c r="R237" i="10" s="1"/>
  <c r="Q239" i="10"/>
  <c r="Q237" i="10" s="1"/>
  <c r="P239" i="10"/>
  <c r="P237" i="10" s="1"/>
  <c r="N239" i="10"/>
  <c r="N237" i="10" s="1"/>
  <c r="J239" i="10"/>
  <c r="J237" i="10" s="1"/>
  <c r="I239" i="10"/>
  <c r="I237" i="10" s="1"/>
  <c r="O238" i="10"/>
  <c r="L238" i="10"/>
  <c r="O236" i="10"/>
  <c r="O235" i="10"/>
  <c r="N235" i="10"/>
  <c r="M235" i="10"/>
  <c r="L235" i="10"/>
  <c r="O234" i="10"/>
  <c r="O233" i="10"/>
  <c r="N233" i="10"/>
  <c r="M233" i="10"/>
  <c r="L233" i="10"/>
  <c r="K233" i="10"/>
  <c r="K231" i="10" s="1"/>
  <c r="K229" i="10" s="1"/>
  <c r="O232" i="10"/>
  <c r="S231" i="10"/>
  <c r="R231" i="10"/>
  <c r="R229" i="10" s="1"/>
  <c r="Q231" i="10"/>
  <c r="Q229" i="10" s="1"/>
  <c r="P231" i="10"/>
  <c r="P229" i="10" s="1"/>
  <c r="J231" i="10"/>
  <c r="J229" i="10" s="1"/>
  <c r="I231" i="10"/>
  <c r="I229" i="10" s="1"/>
  <c r="O230" i="10"/>
  <c r="L230" i="10"/>
  <c r="S229" i="10"/>
  <c r="O228" i="10"/>
  <c r="P227" i="10"/>
  <c r="K227" i="10"/>
  <c r="O226" i="10"/>
  <c r="N226" i="10"/>
  <c r="M226" i="10"/>
  <c r="L226" i="10"/>
  <c r="K226" i="10"/>
  <c r="O225" i="10"/>
  <c r="N225" i="10"/>
  <c r="M225" i="10"/>
  <c r="L225" i="10"/>
  <c r="O224" i="10"/>
  <c r="N224" i="10"/>
  <c r="M224" i="10"/>
  <c r="L224" i="10"/>
  <c r="O223" i="10"/>
  <c r="L223" i="10"/>
  <c r="K223" i="10"/>
  <c r="S222" i="10"/>
  <c r="R222" i="10"/>
  <c r="R220" i="10" s="1"/>
  <c r="Q222" i="10"/>
  <c r="Q220" i="10" s="1"/>
  <c r="M222" i="10"/>
  <c r="M220" i="10" s="1"/>
  <c r="J222" i="10"/>
  <c r="J220" i="10" s="1"/>
  <c r="I222" i="10"/>
  <c r="I220" i="10" s="1"/>
  <c r="O221" i="10"/>
  <c r="L221" i="10"/>
  <c r="S220" i="10"/>
  <c r="O219" i="10"/>
  <c r="O218" i="10"/>
  <c r="K218" i="10"/>
  <c r="O217" i="10"/>
  <c r="P216" i="10"/>
  <c r="O216" i="10" s="1"/>
  <c r="N216" i="10"/>
  <c r="M216" i="10"/>
  <c r="L216" i="10"/>
  <c r="K216" i="10"/>
  <c r="O215" i="10"/>
  <c r="R214" i="10"/>
  <c r="O214" i="10" s="1"/>
  <c r="N214" i="10"/>
  <c r="M214" i="10"/>
  <c r="L214" i="10"/>
  <c r="R213" i="10"/>
  <c r="O213" i="10" s="1"/>
  <c r="N213" i="10"/>
  <c r="M213" i="10"/>
  <c r="L213" i="10"/>
  <c r="S212" i="10"/>
  <c r="S210" i="10" s="1"/>
  <c r="Q212" i="10"/>
  <c r="Q210" i="10" s="1"/>
  <c r="P212" i="10"/>
  <c r="P210" i="10" s="1"/>
  <c r="J212" i="10"/>
  <c r="J210" i="10" s="1"/>
  <c r="I212" i="10"/>
  <c r="I210" i="10" s="1"/>
  <c r="O211" i="10"/>
  <c r="L211" i="10"/>
  <c r="O209" i="10"/>
  <c r="O208" i="10" s="1"/>
  <c r="O206" i="10" s="1"/>
  <c r="S208" i="10"/>
  <c r="S206" i="10" s="1"/>
  <c r="R208" i="10"/>
  <c r="R206" i="10" s="1"/>
  <c r="Q208" i="10"/>
  <c r="Q206" i="10" s="1"/>
  <c r="P208" i="10"/>
  <c r="P206" i="10" s="1"/>
  <c r="N208" i="10"/>
  <c r="N206" i="10" s="1"/>
  <c r="M208" i="10"/>
  <c r="M206" i="10" s="1"/>
  <c r="L208" i="10"/>
  <c r="K208" i="10"/>
  <c r="K206" i="10" s="1"/>
  <c r="J208" i="10"/>
  <c r="J206" i="10" s="1"/>
  <c r="I208" i="10"/>
  <c r="I206" i="10" s="1"/>
  <c r="L207" i="10"/>
  <c r="L206" i="10" s="1"/>
  <c r="O205" i="10"/>
  <c r="O204" i="10"/>
  <c r="N204" i="10"/>
  <c r="N202" i="10" s="1"/>
  <c r="N200" i="10" s="1"/>
  <c r="M204" i="10"/>
  <c r="M202" i="10" s="1"/>
  <c r="M200" i="10" s="1"/>
  <c r="O203" i="10"/>
  <c r="S202" i="10"/>
  <c r="S200" i="10" s="1"/>
  <c r="R202" i="10"/>
  <c r="R200" i="10" s="1"/>
  <c r="Q202" i="10"/>
  <c r="P202" i="10"/>
  <c r="P200" i="10" s="1"/>
  <c r="L202" i="10"/>
  <c r="K202" i="10"/>
  <c r="K200" i="10" s="1"/>
  <c r="J202" i="10"/>
  <c r="J200" i="10" s="1"/>
  <c r="I202" i="10"/>
  <c r="I200" i="10" s="1"/>
  <c r="O201" i="10"/>
  <c r="L201" i="10"/>
  <c r="Q200" i="10"/>
  <c r="P199" i="10"/>
  <c r="O199" i="10" s="1"/>
  <c r="O198" i="10"/>
  <c r="J198" i="10"/>
  <c r="J196" i="10" s="1"/>
  <c r="J194" i="10" s="1"/>
  <c r="O197" i="10"/>
  <c r="N197" i="10"/>
  <c r="M197" i="10"/>
  <c r="M196" i="10" s="1"/>
  <c r="M194" i="10" s="1"/>
  <c r="L197" i="10"/>
  <c r="L196" i="10" s="1"/>
  <c r="S196" i="10"/>
  <c r="S194" i="10" s="1"/>
  <c r="R196" i="10"/>
  <c r="Q196" i="10"/>
  <c r="P196" i="10"/>
  <c r="P194" i="10" s="1"/>
  <c r="N196" i="10"/>
  <c r="N194" i="10" s="1"/>
  <c r="K196" i="10"/>
  <c r="K194" i="10" s="1"/>
  <c r="I196" i="10"/>
  <c r="I194" i="10" s="1"/>
  <c r="O195" i="10"/>
  <c r="L195" i="10"/>
  <c r="R194" i="10"/>
  <c r="Q194" i="10"/>
  <c r="O193" i="10"/>
  <c r="P192" i="10"/>
  <c r="O192" i="10" s="1"/>
  <c r="O190" i="10" s="1"/>
  <c r="K192" i="10"/>
  <c r="K190" i="10" s="1"/>
  <c r="K188" i="10" s="1"/>
  <c r="O191" i="10"/>
  <c r="N191" i="10"/>
  <c r="M191" i="10"/>
  <c r="L191" i="10"/>
  <c r="L190" i="10" s="1"/>
  <c r="L188" i="10" s="1"/>
  <c r="S190" i="10"/>
  <c r="S188" i="10" s="1"/>
  <c r="R190" i="10"/>
  <c r="Q190" i="10"/>
  <c r="P190" i="10"/>
  <c r="P188" i="10" s="1"/>
  <c r="N190" i="10"/>
  <c r="M190" i="10"/>
  <c r="J190" i="10"/>
  <c r="J188" i="10" s="1"/>
  <c r="I190" i="10"/>
  <c r="I188" i="10" s="1"/>
  <c r="O189" i="10"/>
  <c r="N189" i="10"/>
  <c r="M189" i="10"/>
  <c r="L189" i="10"/>
  <c r="R188" i="10"/>
  <c r="Q188" i="10"/>
  <c r="O185" i="10"/>
  <c r="O184" i="10" s="1"/>
  <c r="O183" i="10" s="1"/>
  <c r="K185" i="10"/>
  <c r="K184" i="10" s="1"/>
  <c r="K183" i="10" s="1"/>
  <c r="Q184" i="10"/>
  <c r="Q183" i="10" s="1"/>
  <c r="P184" i="10"/>
  <c r="P183" i="10" s="1"/>
  <c r="N184" i="10"/>
  <c r="M184" i="10"/>
  <c r="M183" i="10" s="1"/>
  <c r="L184" i="10"/>
  <c r="L183" i="10" s="1"/>
  <c r="J184" i="10"/>
  <c r="J183" i="10" s="1"/>
  <c r="I184" i="10"/>
  <c r="I183" i="10" s="1"/>
  <c r="V183" i="10"/>
  <c r="U183" i="10"/>
  <c r="T183" i="10"/>
  <c r="S183" i="10"/>
  <c r="R183" i="10"/>
  <c r="N183" i="10"/>
  <c r="O182" i="10"/>
  <c r="N182" i="10"/>
  <c r="M182" i="10"/>
  <c r="L182" i="10"/>
  <c r="L181" i="10" s="1"/>
  <c r="S181" i="10"/>
  <c r="R181" i="10"/>
  <c r="Q181" i="10"/>
  <c r="P181" i="10"/>
  <c r="O181" i="10"/>
  <c r="N181" i="10"/>
  <c r="M181" i="10"/>
  <c r="K181" i="10"/>
  <c r="J181" i="10"/>
  <c r="I181" i="10"/>
  <c r="O180" i="10"/>
  <c r="O179" i="10" s="1"/>
  <c r="S179" i="10"/>
  <c r="S178" i="10" s="1"/>
  <c r="R179" i="10"/>
  <c r="R178" i="10" s="1"/>
  <c r="Q179" i="10"/>
  <c r="P179" i="10"/>
  <c r="N179" i="10"/>
  <c r="M179" i="10"/>
  <c r="L179" i="10"/>
  <c r="K179" i="10"/>
  <c r="J179" i="10"/>
  <c r="I179" i="10"/>
  <c r="Q178" i="10"/>
  <c r="P178" i="10"/>
  <c r="O177" i="10"/>
  <c r="O176" i="10" s="1"/>
  <c r="L177" i="10"/>
  <c r="S176" i="10"/>
  <c r="R176" i="10"/>
  <c r="Q176" i="10"/>
  <c r="Q173" i="10" s="1"/>
  <c r="P176" i="10"/>
  <c r="N176" i="10"/>
  <c r="M176" i="10"/>
  <c r="L176" i="10"/>
  <c r="K176" i="10"/>
  <c r="J176" i="10"/>
  <c r="I176" i="10"/>
  <c r="I173" i="10" s="1"/>
  <c r="O175" i="10"/>
  <c r="O174" i="10" s="1"/>
  <c r="S174" i="10"/>
  <c r="R174" i="10"/>
  <c r="Q174" i="10"/>
  <c r="P174" i="10"/>
  <c r="P173" i="10" s="1"/>
  <c r="N174" i="10"/>
  <c r="N173" i="10" s="1"/>
  <c r="M174" i="10"/>
  <c r="L174" i="10"/>
  <c r="K174" i="10"/>
  <c r="K173" i="10" s="1"/>
  <c r="J174" i="10"/>
  <c r="J173" i="10" s="1"/>
  <c r="I174" i="10"/>
  <c r="S173" i="10"/>
  <c r="M173" i="10"/>
  <c r="O172" i="10"/>
  <c r="O171" i="10" s="1"/>
  <c r="S171" i="10"/>
  <c r="R171" i="10"/>
  <c r="Q171" i="10"/>
  <c r="P171" i="10"/>
  <c r="N171" i="10"/>
  <c r="M171" i="10"/>
  <c r="L171" i="10"/>
  <c r="K171" i="10"/>
  <c r="J171" i="10"/>
  <c r="I171" i="10"/>
  <c r="O170" i="10"/>
  <c r="N170" i="10"/>
  <c r="M170" i="10"/>
  <c r="L170" i="10"/>
  <c r="S169" i="10"/>
  <c r="R169" i="10"/>
  <c r="Q169" i="10"/>
  <c r="P169" i="10"/>
  <c r="O169" i="10"/>
  <c r="N169" i="10"/>
  <c r="M169" i="10"/>
  <c r="L169" i="10"/>
  <c r="K169" i="10"/>
  <c r="J169" i="10"/>
  <c r="I169" i="10"/>
  <c r="O167" i="10"/>
  <c r="O166" i="10"/>
  <c r="N166" i="10"/>
  <c r="M166" i="10"/>
  <c r="L166" i="10"/>
  <c r="O165" i="10"/>
  <c r="N165" i="10"/>
  <c r="M165" i="10"/>
  <c r="L165" i="10"/>
  <c r="L163" i="10" s="1"/>
  <c r="L160" i="10" s="1"/>
  <c r="R164" i="10"/>
  <c r="R163" i="10" s="1"/>
  <c r="Q164" i="10"/>
  <c r="P164" i="10"/>
  <c r="P163" i="10" s="1"/>
  <c r="N164" i="10"/>
  <c r="N163" i="10" s="1"/>
  <c r="M164" i="10"/>
  <c r="L164" i="10"/>
  <c r="S163" i="10"/>
  <c r="Q163" i="10"/>
  <c r="K163" i="10"/>
  <c r="J163" i="10"/>
  <c r="I163" i="10"/>
  <c r="O162" i="10"/>
  <c r="O161" i="10" s="1"/>
  <c r="S161" i="10"/>
  <c r="R161" i="10"/>
  <c r="Q161" i="10"/>
  <c r="P161" i="10"/>
  <c r="N161" i="10"/>
  <c r="M161" i="10"/>
  <c r="L161" i="10"/>
  <c r="K161" i="10"/>
  <c r="J161" i="10"/>
  <c r="I161" i="10"/>
  <c r="O159" i="10"/>
  <c r="K159" i="10"/>
  <c r="O158" i="10"/>
  <c r="K158" i="10"/>
  <c r="O157" i="10"/>
  <c r="K157" i="10"/>
  <c r="S156" i="10"/>
  <c r="R156" i="10"/>
  <c r="Q156" i="10"/>
  <c r="P156" i="10"/>
  <c r="N156" i="10"/>
  <c r="M156" i="10"/>
  <c r="L156" i="10"/>
  <c r="J156" i="10"/>
  <c r="I156" i="10"/>
  <c r="O155" i="10"/>
  <c r="O154" i="10" s="1"/>
  <c r="S154" i="10"/>
  <c r="S153" i="10" s="1"/>
  <c r="R154" i="10"/>
  <c r="Q154" i="10"/>
  <c r="P154" i="10"/>
  <c r="N154" i="10"/>
  <c r="M154" i="10"/>
  <c r="L154" i="10"/>
  <c r="K154" i="10"/>
  <c r="J154" i="10"/>
  <c r="I154" i="10"/>
  <c r="O152" i="10"/>
  <c r="O151" i="10" s="1"/>
  <c r="O150" i="10" s="1"/>
  <c r="S151" i="10"/>
  <c r="S150" i="10" s="1"/>
  <c r="R151" i="10"/>
  <c r="R150" i="10" s="1"/>
  <c r="Q151" i="10"/>
  <c r="Q150" i="10" s="1"/>
  <c r="P151" i="10"/>
  <c r="P150" i="10" s="1"/>
  <c r="M151" i="10"/>
  <c r="M150" i="10" s="1"/>
  <c r="L151" i="10"/>
  <c r="L150" i="10" s="1"/>
  <c r="K151" i="10"/>
  <c r="K150" i="10" s="1"/>
  <c r="J151" i="10"/>
  <c r="J150" i="10" s="1"/>
  <c r="I151" i="10"/>
  <c r="I150" i="10" s="1"/>
  <c r="N150" i="10"/>
  <c r="O149" i="10"/>
  <c r="O148" i="10" s="1"/>
  <c r="S148" i="10"/>
  <c r="R148" i="10"/>
  <c r="Q148" i="10"/>
  <c r="P148" i="10"/>
  <c r="N148" i="10"/>
  <c r="M148" i="10"/>
  <c r="L148" i="10"/>
  <c r="K148" i="10"/>
  <c r="J148" i="10"/>
  <c r="I148" i="10"/>
  <c r="R147" i="10"/>
  <c r="O147" i="10" s="1"/>
  <c r="N147" i="10"/>
  <c r="N145" i="10" s="1"/>
  <c r="M147" i="10"/>
  <c r="K147" i="10"/>
  <c r="J147" i="10"/>
  <c r="J145" i="10" s="1"/>
  <c r="O146" i="10"/>
  <c r="K146" i="10"/>
  <c r="S145" i="10"/>
  <c r="Q145" i="10"/>
  <c r="P145" i="10"/>
  <c r="M145" i="10"/>
  <c r="L145" i="10"/>
  <c r="I145" i="10"/>
  <c r="O144" i="10"/>
  <c r="O143" i="10"/>
  <c r="O142" i="10" s="1"/>
  <c r="S142" i="10"/>
  <c r="R142" i="10"/>
  <c r="Q142" i="10"/>
  <c r="P142" i="10"/>
  <c r="P141" i="10" s="1"/>
  <c r="N142" i="10"/>
  <c r="M142" i="10"/>
  <c r="L142" i="10"/>
  <c r="K142" i="10"/>
  <c r="J142" i="10"/>
  <c r="I142" i="10"/>
  <c r="I141" i="10" s="1"/>
  <c r="O140" i="10"/>
  <c r="O139" i="10"/>
  <c r="S138" i="10"/>
  <c r="S137" i="10" s="1"/>
  <c r="R138" i="10"/>
  <c r="R137" i="10" s="1"/>
  <c r="Q138" i="10"/>
  <c r="P138" i="10"/>
  <c r="N138" i="10"/>
  <c r="N137" i="10" s="1"/>
  <c r="M138" i="10"/>
  <c r="M137" i="10" s="1"/>
  <c r="L138" i="10"/>
  <c r="L137" i="10" s="1"/>
  <c r="K138" i="10"/>
  <c r="K137" i="10" s="1"/>
  <c r="J138" i="10"/>
  <c r="J137" i="10" s="1"/>
  <c r="I138" i="10"/>
  <c r="I137" i="10" s="1"/>
  <c r="Q137" i="10"/>
  <c r="P137" i="10"/>
  <c r="O136" i="10"/>
  <c r="O135" i="10" s="1"/>
  <c r="S135" i="10"/>
  <c r="R135" i="10"/>
  <c r="Q135" i="10"/>
  <c r="P135" i="10"/>
  <c r="N135" i="10"/>
  <c r="M135" i="10"/>
  <c r="L135" i="10"/>
  <c r="K135" i="10"/>
  <c r="J135" i="10"/>
  <c r="I135" i="10"/>
  <c r="O134" i="10"/>
  <c r="O133" i="10"/>
  <c r="O131" i="10" s="1"/>
  <c r="O132" i="10"/>
  <c r="N132" i="10"/>
  <c r="M132" i="10"/>
  <c r="M131" i="10" s="1"/>
  <c r="L132" i="10"/>
  <c r="L131" i="10" s="1"/>
  <c r="S131" i="10"/>
  <c r="R131" i="10"/>
  <c r="Q131" i="10"/>
  <c r="P131" i="10"/>
  <c r="N131" i="10"/>
  <c r="K131" i="10"/>
  <c r="J131" i="10"/>
  <c r="I131" i="10"/>
  <c r="O130" i="10"/>
  <c r="O129" i="10" s="1"/>
  <c r="V129" i="10"/>
  <c r="S129" i="10"/>
  <c r="R129" i="10"/>
  <c r="Q129" i="10"/>
  <c r="P129" i="10"/>
  <c r="N129" i="10"/>
  <c r="M129" i="10"/>
  <c r="L129" i="10"/>
  <c r="K129" i="10"/>
  <c r="J129" i="10"/>
  <c r="I129" i="10"/>
  <c r="S128" i="10"/>
  <c r="O127" i="10"/>
  <c r="K127" i="10"/>
  <c r="O126" i="10"/>
  <c r="K126" i="10"/>
  <c r="O125" i="10"/>
  <c r="O124" i="10"/>
  <c r="K124" i="10"/>
  <c r="S123" i="10"/>
  <c r="R123" i="10"/>
  <c r="Q123" i="10"/>
  <c r="P123" i="10"/>
  <c r="N123" i="10"/>
  <c r="M123" i="10"/>
  <c r="L123" i="10"/>
  <c r="J123" i="10"/>
  <c r="I123" i="10"/>
  <c r="O122" i="10"/>
  <c r="O121" i="10" s="1"/>
  <c r="N122" i="10"/>
  <c r="M122" i="10"/>
  <c r="L122" i="10"/>
  <c r="L121" i="10" s="1"/>
  <c r="K122" i="10"/>
  <c r="K121" i="10" s="1"/>
  <c r="S121" i="10"/>
  <c r="R121" i="10"/>
  <c r="Q121" i="10"/>
  <c r="P121" i="10"/>
  <c r="N121" i="10"/>
  <c r="M121" i="10"/>
  <c r="J121" i="10"/>
  <c r="I121" i="10"/>
  <c r="O120" i="10"/>
  <c r="O119" i="10" s="1"/>
  <c r="N120" i="10"/>
  <c r="M120" i="10"/>
  <c r="L120" i="10"/>
  <c r="L119" i="10" s="1"/>
  <c r="K120" i="10"/>
  <c r="K119" i="10" s="1"/>
  <c r="S119" i="10"/>
  <c r="R119" i="10"/>
  <c r="R118" i="10" s="1"/>
  <c r="Q119" i="10"/>
  <c r="P119" i="10"/>
  <c r="N119" i="10"/>
  <c r="M119" i="10"/>
  <c r="J119" i="10"/>
  <c r="I119" i="10"/>
  <c r="O117" i="10"/>
  <c r="N117" i="10"/>
  <c r="M117" i="10"/>
  <c r="L117" i="10"/>
  <c r="S116" i="10"/>
  <c r="R116" i="10"/>
  <c r="Q116" i="10"/>
  <c r="P116" i="10"/>
  <c r="O116" i="10"/>
  <c r="N116" i="10"/>
  <c r="M116" i="10"/>
  <c r="L116" i="10"/>
  <c r="K116" i="10"/>
  <c r="J116" i="10"/>
  <c r="I116" i="10"/>
  <c r="O115" i="10"/>
  <c r="O114" i="10"/>
  <c r="N114" i="10"/>
  <c r="N113" i="10" s="1"/>
  <c r="N112" i="10" s="1"/>
  <c r="M114" i="10"/>
  <c r="L114" i="10"/>
  <c r="K114" i="10"/>
  <c r="K113" i="10" s="1"/>
  <c r="K112" i="10" s="1"/>
  <c r="J114" i="10"/>
  <c r="J113" i="10" s="1"/>
  <c r="J112" i="10" s="1"/>
  <c r="S113" i="10"/>
  <c r="R113" i="10"/>
  <c r="Q113" i="10"/>
  <c r="P113" i="10"/>
  <c r="M113" i="10"/>
  <c r="M112" i="10" s="1"/>
  <c r="L113" i="10"/>
  <c r="L112" i="10" s="1"/>
  <c r="I113" i="10"/>
  <c r="O111" i="10"/>
  <c r="J111" i="10"/>
  <c r="O110" i="10"/>
  <c r="J110" i="10"/>
  <c r="S109" i="10"/>
  <c r="R109" i="10"/>
  <c r="Q109" i="10"/>
  <c r="P109" i="10"/>
  <c r="N109" i="10"/>
  <c r="N106" i="10" s="1"/>
  <c r="M109" i="10"/>
  <c r="L109" i="10"/>
  <c r="K109" i="10"/>
  <c r="J109" i="10"/>
  <c r="J106" i="10" s="1"/>
  <c r="I109" i="10"/>
  <c r="O108" i="10"/>
  <c r="L108" i="10"/>
  <c r="S107" i="10"/>
  <c r="S106" i="10" s="1"/>
  <c r="R107" i="10"/>
  <c r="Q107" i="10"/>
  <c r="P107" i="10"/>
  <c r="P106" i="10" s="1"/>
  <c r="O107" i="10"/>
  <c r="N107" i="10"/>
  <c r="M107" i="10"/>
  <c r="L107" i="10"/>
  <c r="L106" i="10" s="1"/>
  <c r="K107" i="10"/>
  <c r="K106" i="10" s="1"/>
  <c r="J107" i="10"/>
  <c r="I107" i="10"/>
  <c r="R106" i="10"/>
  <c r="Q106" i="10"/>
  <c r="M106" i="10"/>
  <c r="I106" i="10"/>
  <c r="O105" i="10"/>
  <c r="O104" i="10" s="1"/>
  <c r="K105" i="10"/>
  <c r="K104" i="10" s="1"/>
  <c r="S104" i="10"/>
  <c r="R104" i="10"/>
  <c r="Q104" i="10"/>
  <c r="P104" i="10"/>
  <c r="N104" i="10"/>
  <c r="M104" i="10"/>
  <c r="L104" i="10"/>
  <c r="J104" i="10"/>
  <c r="I104" i="10"/>
  <c r="O103" i="10"/>
  <c r="L103" i="10"/>
  <c r="O102" i="10"/>
  <c r="K102" i="10"/>
  <c r="O101" i="10"/>
  <c r="O100" i="10"/>
  <c r="N100" i="10"/>
  <c r="N99" i="10" s="1"/>
  <c r="L100" i="10"/>
  <c r="K100" i="10"/>
  <c r="K99" i="10" s="1"/>
  <c r="S99" i="10"/>
  <c r="S98" i="10" s="1"/>
  <c r="R99" i="10"/>
  <c r="Q99" i="10"/>
  <c r="P99" i="10"/>
  <c r="M99" i="10"/>
  <c r="J99" i="10"/>
  <c r="I99" i="10"/>
  <c r="I98" i="10" s="1"/>
  <c r="O97" i="10"/>
  <c r="L97" i="10"/>
  <c r="O96" i="10"/>
  <c r="L96" i="10"/>
  <c r="K96" i="10"/>
  <c r="K95" i="10" s="1"/>
  <c r="K92" i="10" s="1"/>
  <c r="S95" i="10"/>
  <c r="R95" i="10"/>
  <c r="Q95" i="10"/>
  <c r="P95" i="10"/>
  <c r="N95" i="10"/>
  <c r="M95" i="10"/>
  <c r="J95" i="10"/>
  <c r="I95" i="10"/>
  <c r="O94" i="10"/>
  <c r="O93" i="10" s="1"/>
  <c r="K94" i="10"/>
  <c r="K93" i="10" s="1"/>
  <c r="S93" i="10"/>
  <c r="R93" i="10"/>
  <c r="R92" i="10" s="1"/>
  <c r="Q93" i="10"/>
  <c r="P93" i="10"/>
  <c r="N93" i="10"/>
  <c r="M93" i="10"/>
  <c r="L93" i="10"/>
  <c r="J93" i="10"/>
  <c r="J92" i="10" s="1"/>
  <c r="I93" i="10"/>
  <c r="I92" i="10" s="1"/>
  <c r="O91" i="10"/>
  <c r="O90" i="10" s="1"/>
  <c r="O89" i="10" s="1"/>
  <c r="S90" i="10"/>
  <c r="S89" i="10" s="1"/>
  <c r="R90" i="10"/>
  <c r="R89" i="10" s="1"/>
  <c r="Q90" i="10"/>
  <c r="Q89" i="10" s="1"/>
  <c r="P90" i="10"/>
  <c r="P89" i="10" s="1"/>
  <c r="N90" i="10"/>
  <c r="N89" i="10" s="1"/>
  <c r="M90" i="10"/>
  <c r="M89" i="10" s="1"/>
  <c r="L90" i="10"/>
  <c r="L89" i="10" s="1"/>
  <c r="K90" i="10"/>
  <c r="K89" i="10" s="1"/>
  <c r="J90" i="10"/>
  <c r="I90" i="10"/>
  <c r="I89" i="10" s="1"/>
  <c r="J89" i="10"/>
  <c r="O88" i="10"/>
  <c r="O87" i="10" s="1"/>
  <c r="K88" i="10"/>
  <c r="K87" i="10" s="1"/>
  <c r="S87" i="10"/>
  <c r="R87" i="10"/>
  <c r="Q87" i="10"/>
  <c r="P87" i="10"/>
  <c r="N87" i="10"/>
  <c r="M87" i="10"/>
  <c r="L87" i="10"/>
  <c r="J87" i="10"/>
  <c r="I87" i="10"/>
  <c r="O86" i="10"/>
  <c r="O85" i="10" s="1"/>
  <c r="K86" i="10"/>
  <c r="K85" i="10" s="1"/>
  <c r="S85" i="10"/>
  <c r="R85" i="10"/>
  <c r="Q85" i="10"/>
  <c r="Q82" i="10" s="1"/>
  <c r="P85" i="10"/>
  <c r="N85" i="10"/>
  <c r="M85" i="10"/>
  <c r="L85" i="10"/>
  <c r="J85" i="10"/>
  <c r="I85" i="10"/>
  <c r="O84" i="10"/>
  <c r="O83" i="10" s="1"/>
  <c r="S83" i="10"/>
  <c r="R83" i="10"/>
  <c r="Q83" i="10"/>
  <c r="P83" i="10"/>
  <c r="N83" i="10"/>
  <c r="M83" i="10"/>
  <c r="L83" i="10"/>
  <c r="K83" i="10"/>
  <c r="J83" i="10"/>
  <c r="I83" i="10"/>
  <c r="O81" i="10"/>
  <c r="J81" i="10"/>
  <c r="O80" i="10"/>
  <c r="J80" i="10"/>
  <c r="R79" i="10"/>
  <c r="O79" i="10" s="1"/>
  <c r="K79" i="10"/>
  <c r="K78" i="10" s="1"/>
  <c r="K77" i="10" s="1"/>
  <c r="J79" i="10"/>
  <c r="S78" i="10"/>
  <c r="S77" i="10" s="1"/>
  <c r="Q78" i="10"/>
  <c r="Q77" i="10" s="1"/>
  <c r="P78" i="10"/>
  <c r="P77" i="10" s="1"/>
  <c r="N78" i="10"/>
  <c r="N77" i="10" s="1"/>
  <c r="M78" i="10"/>
  <c r="M77" i="10" s="1"/>
  <c r="L78" i="10"/>
  <c r="L77" i="10" s="1"/>
  <c r="I78" i="10"/>
  <c r="I77" i="10" s="1"/>
  <c r="O76" i="10"/>
  <c r="N76" i="10"/>
  <c r="N75" i="10" s="1"/>
  <c r="N74" i="10" s="1"/>
  <c r="L76" i="10"/>
  <c r="L75" i="10" s="1"/>
  <c r="L74" i="10" s="1"/>
  <c r="S75" i="10"/>
  <c r="S74" i="10" s="1"/>
  <c r="R75" i="10"/>
  <c r="R74" i="10" s="1"/>
  <c r="Q75" i="10"/>
  <c r="Q74" i="10" s="1"/>
  <c r="P75" i="10"/>
  <c r="P74" i="10" s="1"/>
  <c r="M75" i="10"/>
  <c r="M74" i="10" s="1"/>
  <c r="K75" i="10"/>
  <c r="K74" i="10" s="1"/>
  <c r="J75" i="10"/>
  <c r="J74" i="10" s="1"/>
  <c r="I75" i="10"/>
  <c r="I74" i="10" s="1"/>
  <c r="O73" i="10"/>
  <c r="O72" i="10" s="1"/>
  <c r="S72" i="10"/>
  <c r="R72" i="10"/>
  <c r="Q72" i="10"/>
  <c r="P72" i="10"/>
  <c r="N72" i="10"/>
  <c r="M72" i="10"/>
  <c r="L72" i="10"/>
  <c r="K72" i="10"/>
  <c r="J72" i="10"/>
  <c r="I72" i="10"/>
  <c r="O71" i="10"/>
  <c r="N71" i="10"/>
  <c r="M71" i="10"/>
  <c r="L71" i="10"/>
  <c r="K71" i="10"/>
  <c r="O70" i="10"/>
  <c r="O69" i="10" s="1"/>
  <c r="K70" i="10"/>
  <c r="V69" i="10"/>
  <c r="S69" i="10"/>
  <c r="R69" i="10"/>
  <c r="Q69" i="10"/>
  <c r="P69" i="10"/>
  <c r="N69" i="10"/>
  <c r="M69" i="10"/>
  <c r="L69" i="10"/>
  <c r="J69" i="10"/>
  <c r="I69" i="10"/>
  <c r="I62" i="10" s="1"/>
  <c r="O68" i="10"/>
  <c r="O67" i="10"/>
  <c r="O66" i="10"/>
  <c r="N66" i="10"/>
  <c r="M66" i="10"/>
  <c r="L66" i="10"/>
  <c r="O65" i="10"/>
  <c r="N65" i="10"/>
  <c r="M65" i="10"/>
  <c r="L65" i="10"/>
  <c r="O64" i="10"/>
  <c r="N64" i="10"/>
  <c r="N63" i="10" s="1"/>
  <c r="N62" i="10" s="1"/>
  <c r="M64" i="10"/>
  <c r="M63" i="10" s="1"/>
  <c r="M62" i="10" s="1"/>
  <c r="L64" i="10"/>
  <c r="L63" i="10" s="1"/>
  <c r="S63" i="10"/>
  <c r="R63" i="10"/>
  <c r="Q63" i="10"/>
  <c r="P63" i="10"/>
  <c r="K63" i="10"/>
  <c r="J63" i="10"/>
  <c r="I63" i="10"/>
  <c r="P61" i="10"/>
  <c r="O61" i="10" s="1"/>
  <c r="K61" i="10"/>
  <c r="O60" i="10"/>
  <c r="K60" i="10"/>
  <c r="O59" i="10"/>
  <c r="O58" i="10"/>
  <c r="K58" i="10"/>
  <c r="K57" i="10" s="1"/>
  <c r="S57" i="10"/>
  <c r="R57" i="10"/>
  <c r="Q57" i="10"/>
  <c r="P57" i="10"/>
  <c r="N57" i="10"/>
  <c r="M57" i="10"/>
  <c r="L57" i="10"/>
  <c r="J57" i="10"/>
  <c r="I57" i="10"/>
  <c r="O56" i="10"/>
  <c r="O55" i="10"/>
  <c r="N55" i="10"/>
  <c r="N53" i="10" s="1"/>
  <c r="N52" i="10" s="1"/>
  <c r="M55" i="10"/>
  <c r="L55" i="10"/>
  <c r="K55" i="10"/>
  <c r="O54" i="10"/>
  <c r="O53" i="10" s="1"/>
  <c r="N54" i="10"/>
  <c r="M54" i="10"/>
  <c r="L54" i="10"/>
  <c r="L53" i="10" s="1"/>
  <c r="K54" i="10"/>
  <c r="K53" i="10" s="1"/>
  <c r="K52" i="10" s="1"/>
  <c r="S53" i="10"/>
  <c r="R53" i="10"/>
  <c r="Q53" i="10"/>
  <c r="Q52" i="10" s="1"/>
  <c r="P53" i="10"/>
  <c r="P52" i="10" s="1"/>
  <c r="J53" i="10"/>
  <c r="I53" i="10"/>
  <c r="S52" i="10"/>
  <c r="R52" i="10"/>
  <c r="S51" i="10"/>
  <c r="S50" i="10" s="1"/>
  <c r="S49" i="10" s="1"/>
  <c r="R51" i="10"/>
  <c r="R50" i="10" s="1"/>
  <c r="R49" i="10" s="1"/>
  <c r="Q51" i="10"/>
  <c r="Q50" i="10" s="1"/>
  <c r="Q49" i="10" s="1"/>
  <c r="P51" i="10"/>
  <c r="N51" i="10"/>
  <c r="N50" i="10" s="1"/>
  <c r="N49" i="10" s="1"/>
  <c r="M51" i="10"/>
  <c r="M50" i="10" s="1"/>
  <c r="M49" i="10" s="1"/>
  <c r="L51" i="10"/>
  <c r="L50" i="10" s="1"/>
  <c r="L49" i="10" s="1"/>
  <c r="K51" i="10"/>
  <c r="K50" i="10" s="1"/>
  <c r="K49" i="10" s="1"/>
  <c r="J50" i="10"/>
  <c r="J49" i="10" s="1"/>
  <c r="I50" i="10"/>
  <c r="I49" i="10" s="1"/>
  <c r="O48" i="10"/>
  <c r="J48" i="10"/>
  <c r="J46" i="10" s="1"/>
  <c r="O47" i="10"/>
  <c r="N47" i="10"/>
  <c r="L47" i="10"/>
  <c r="L46" i="10" s="1"/>
  <c r="K47" i="10"/>
  <c r="K46" i="10" s="1"/>
  <c r="S46" i="10"/>
  <c r="R46" i="10"/>
  <c r="Q46" i="10"/>
  <c r="P46" i="10"/>
  <c r="M46" i="10"/>
  <c r="I46" i="10"/>
  <c r="O45" i="10"/>
  <c r="L45" i="10"/>
  <c r="O44" i="10"/>
  <c r="K44" i="10"/>
  <c r="O43" i="10"/>
  <c r="L43" i="10"/>
  <c r="L41" i="10" s="1"/>
  <c r="K43" i="10"/>
  <c r="O42" i="10"/>
  <c r="K42" i="10"/>
  <c r="J42" i="10"/>
  <c r="J41" i="10" s="1"/>
  <c r="S41" i="10"/>
  <c r="R41" i="10"/>
  <c r="Q41" i="10"/>
  <c r="P41" i="10"/>
  <c r="N41" i="10"/>
  <c r="M41" i="10"/>
  <c r="I41" i="10"/>
  <c r="O40" i="10"/>
  <c r="L40" i="10"/>
  <c r="O39" i="10"/>
  <c r="S38" i="10"/>
  <c r="R38" i="10"/>
  <c r="Q38" i="10"/>
  <c r="P38" i="10"/>
  <c r="N38" i="10"/>
  <c r="M38" i="10"/>
  <c r="M37" i="10" s="1"/>
  <c r="L38" i="10"/>
  <c r="K38" i="10"/>
  <c r="J38" i="10"/>
  <c r="I38" i="10"/>
  <c r="Q36" i="10"/>
  <c r="O36" i="10" s="1"/>
  <c r="O35" i="10"/>
  <c r="O34" i="10"/>
  <c r="O33" i="10"/>
  <c r="Q32" i="10"/>
  <c r="O32" i="10" s="1"/>
  <c r="J32" i="10"/>
  <c r="J27" i="10" s="1"/>
  <c r="O31" i="10"/>
  <c r="N31" i="10"/>
  <c r="M31" i="10"/>
  <c r="M27" i="10" s="1"/>
  <c r="L31" i="10"/>
  <c r="K31" i="10"/>
  <c r="K27" i="10" s="1"/>
  <c r="O30" i="10"/>
  <c r="L30" i="10"/>
  <c r="O29" i="10"/>
  <c r="N29" i="10"/>
  <c r="M29" i="10"/>
  <c r="L29" i="10"/>
  <c r="O28" i="10"/>
  <c r="L28" i="10"/>
  <c r="S27" i="10"/>
  <c r="R27" i="10"/>
  <c r="P27" i="10"/>
  <c r="I27" i="10"/>
  <c r="O26" i="10"/>
  <c r="L26" i="10"/>
  <c r="O25" i="10"/>
  <c r="O24" i="10"/>
  <c r="N24" i="10"/>
  <c r="M24" i="10"/>
  <c r="M20" i="10" s="1"/>
  <c r="L24" i="10"/>
  <c r="O23" i="10"/>
  <c r="K23" i="10"/>
  <c r="O22" i="10"/>
  <c r="O21" i="10"/>
  <c r="L21" i="10"/>
  <c r="S20" i="10"/>
  <c r="R20" i="10"/>
  <c r="R19" i="10" s="1"/>
  <c r="Q20" i="10"/>
  <c r="P20" i="10"/>
  <c r="N20" i="10"/>
  <c r="K20" i="10"/>
  <c r="K19" i="10" s="1"/>
  <c r="J20" i="10"/>
  <c r="I20" i="10"/>
  <c r="O16" i="10"/>
  <c r="O15" i="10"/>
  <c r="O14" i="10"/>
  <c r="K14" i="10"/>
  <c r="O13" i="10"/>
  <c r="N13" i="10"/>
  <c r="M13" i="10"/>
  <c r="L13" i="10"/>
  <c r="U12" i="10"/>
  <c r="T12" i="10"/>
  <c r="AE7" i="10"/>
  <c r="AD7" i="10"/>
  <c r="AC7" i="10"/>
  <c r="M19" i="10" l="1"/>
  <c r="P82" i="10"/>
  <c r="N141" i="10"/>
  <c r="P160" i="10"/>
  <c r="L173" i="10"/>
  <c r="K178" i="10"/>
  <c r="S19" i="10"/>
  <c r="N27" i="10"/>
  <c r="Q37" i="10"/>
  <c r="I52" i="10"/>
  <c r="M98" i="10"/>
  <c r="P112" i="10"/>
  <c r="M141" i="10"/>
  <c r="J141" i="10"/>
  <c r="I160" i="10"/>
  <c r="N168" i="10"/>
  <c r="R168" i="10"/>
  <c r="L178" i="10"/>
  <c r="M178" i="10"/>
  <c r="N188" i="10"/>
  <c r="N187" i="10" s="1"/>
  <c r="K222" i="10"/>
  <c r="K220" i="10" s="1"/>
  <c r="N92" i="10"/>
  <c r="Q160" i="10"/>
  <c r="O178" i="10"/>
  <c r="L237" i="10"/>
  <c r="J19" i="10"/>
  <c r="Q62" i="10"/>
  <c r="K69" i="10"/>
  <c r="K62" i="10" s="1"/>
  <c r="J98" i="10"/>
  <c r="Q98" i="10"/>
  <c r="O138" i="10"/>
  <c r="O137" i="10" s="1"/>
  <c r="K145" i="10"/>
  <c r="K141" i="10" s="1"/>
  <c r="L153" i="10"/>
  <c r="Q153" i="10"/>
  <c r="I153" i="10"/>
  <c r="S168" i="10"/>
  <c r="L212" i="10"/>
  <c r="N231" i="10"/>
  <c r="N229" i="10" s="1"/>
  <c r="L141" i="10"/>
  <c r="I82" i="10"/>
  <c r="M82" i="10"/>
  <c r="O123" i="10"/>
  <c r="O118" i="10" s="1"/>
  <c r="Q141" i="10"/>
  <c r="O168" i="10"/>
  <c r="O202" i="10"/>
  <c r="O200" i="10" s="1"/>
  <c r="M212" i="10"/>
  <c r="M210" i="10" s="1"/>
  <c r="M231" i="10"/>
  <c r="M229" i="10" s="1"/>
  <c r="P19" i="10"/>
  <c r="L20" i="10"/>
  <c r="I19" i="10"/>
  <c r="Q27" i="10"/>
  <c r="Q19" i="10" s="1"/>
  <c r="J37" i="10"/>
  <c r="N37" i="10"/>
  <c r="S37" i="10"/>
  <c r="I37" i="10"/>
  <c r="M53" i="10"/>
  <c r="M52" i="10" s="1"/>
  <c r="J78" i="10"/>
  <c r="J77" i="10" s="1"/>
  <c r="P92" i="10"/>
  <c r="O109" i="10"/>
  <c r="O106" i="10" s="1"/>
  <c r="J118" i="10"/>
  <c r="R128" i="10"/>
  <c r="J153" i="10"/>
  <c r="N153" i="10"/>
  <c r="O156" i="10"/>
  <c r="O153" i="10" s="1"/>
  <c r="J160" i="10"/>
  <c r="S160" i="10"/>
  <c r="K160" i="10"/>
  <c r="L168" i="10"/>
  <c r="P168" i="10"/>
  <c r="I178" i="10"/>
  <c r="N222" i="10"/>
  <c r="N220" i="10" s="1"/>
  <c r="R82" i="10"/>
  <c r="P118" i="10"/>
  <c r="K168" i="10"/>
  <c r="O38" i="10"/>
  <c r="O41" i="10"/>
  <c r="O46" i="10"/>
  <c r="J62" i="10"/>
  <c r="L62" i="10"/>
  <c r="O63" i="10"/>
  <c r="O62" i="10" s="1"/>
  <c r="S62" i="10"/>
  <c r="O78" i="10"/>
  <c r="O77" i="10" s="1"/>
  <c r="O95" i="10"/>
  <c r="O92" i="10" s="1"/>
  <c r="N98" i="10"/>
  <c r="L99" i="10"/>
  <c r="I112" i="10"/>
  <c r="Q112" i="10"/>
  <c r="O113" i="10"/>
  <c r="O112" i="10" s="1"/>
  <c r="S112" i="10"/>
  <c r="M118" i="10"/>
  <c r="N118" i="10"/>
  <c r="S118" i="10"/>
  <c r="L128" i="10"/>
  <c r="P128" i="10"/>
  <c r="K128" i="10"/>
  <c r="J128" i="10"/>
  <c r="N128" i="10"/>
  <c r="S141" i="10"/>
  <c r="P153" i="10"/>
  <c r="M153" i="10"/>
  <c r="K156" i="10"/>
  <c r="K153" i="10" s="1"/>
  <c r="M163" i="10"/>
  <c r="M160" i="10" s="1"/>
  <c r="J168" i="10"/>
  <c r="M188" i="10"/>
  <c r="L231" i="10"/>
  <c r="S187" i="10"/>
  <c r="O212" i="10"/>
  <c r="O210" i="10" s="1"/>
  <c r="L27" i="10"/>
  <c r="P37" i="10"/>
  <c r="K41" i="10"/>
  <c r="K37" i="10" s="1"/>
  <c r="J52" i="10"/>
  <c r="O57" i="10"/>
  <c r="O52" i="10" s="1"/>
  <c r="N82" i="10"/>
  <c r="K82" i="10"/>
  <c r="S82" i="10"/>
  <c r="S92" i="10"/>
  <c r="K98" i="10"/>
  <c r="O99" i="10"/>
  <c r="O98" i="10" s="1"/>
  <c r="J178" i="10"/>
  <c r="N178" i="10"/>
  <c r="L222" i="10"/>
  <c r="L220" i="10" s="1"/>
  <c r="O27" i="10"/>
  <c r="O128" i="10"/>
  <c r="O20" i="10"/>
  <c r="L37" i="10"/>
  <c r="O51" i="10"/>
  <c r="O50" i="10" s="1"/>
  <c r="O49" i="10" s="1"/>
  <c r="O82" i="10"/>
  <c r="I118" i="10"/>
  <c r="O145" i="10"/>
  <c r="O141" i="10" s="1"/>
  <c r="R153" i="10"/>
  <c r="Q168" i="10"/>
  <c r="O188" i="10"/>
  <c r="L194" i="10"/>
  <c r="L210" i="10"/>
  <c r="R212" i="10"/>
  <c r="R210" i="10" s="1"/>
  <c r="R187" i="10" s="1"/>
  <c r="J187" i="10"/>
  <c r="L229" i="10"/>
  <c r="O239" i="10"/>
  <c r="O237" i="10" s="1"/>
  <c r="O173" i="10"/>
  <c r="R37" i="10"/>
  <c r="R78" i="10"/>
  <c r="R77" i="10" s="1"/>
  <c r="M92" i="10"/>
  <c r="Q92" i="10"/>
  <c r="R112" i="10"/>
  <c r="L118" i="10"/>
  <c r="I128" i="10"/>
  <c r="M128" i="10"/>
  <c r="Q128" i="10"/>
  <c r="R145" i="10"/>
  <c r="R141" i="10" s="1"/>
  <c r="I168" i="10"/>
  <c r="M168" i="10"/>
  <c r="O196" i="10"/>
  <c r="O194" i="10" s="1"/>
  <c r="L200" i="10"/>
  <c r="N212" i="10"/>
  <c r="N210" i="10" s="1"/>
  <c r="K212" i="10"/>
  <c r="K210" i="10" s="1"/>
  <c r="K187" i="10" s="1"/>
  <c r="O37" i="10"/>
  <c r="N19" i="10"/>
  <c r="P50" i="10"/>
  <c r="P49" i="10" s="1"/>
  <c r="O227" i="10"/>
  <c r="P222" i="10"/>
  <c r="P220" i="10" s="1"/>
  <c r="P62" i="10"/>
  <c r="J82" i="10"/>
  <c r="P98" i="10"/>
  <c r="Q118" i="10"/>
  <c r="R160" i="10"/>
  <c r="O164" i="10"/>
  <c r="O163" i="10" s="1"/>
  <c r="O160" i="10" s="1"/>
  <c r="R173" i="10"/>
  <c r="O222" i="10"/>
  <c r="O220" i="10" s="1"/>
  <c r="O231" i="10"/>
  <c r="O229" i="10" s="1"/>
  <c r="L95" i="10"/>
  <c r="L92" i="10" s="1"/>
  <c r="L98" i="10"/>
  <c r="N160" i="10"/>
  <c r="Q187" i="10"/>
  <c r="L52" i="10"/>
  <c r="R62" i="10"/>
  <c r="O75" i="10"/>
  <c r="O74" i="10" s="1"/>
  <c r="L82" i="10"/>
  <c r="R98" i="10"/>
  <c r="K123" i="10"/>
  <c r="K118" i="10" s="1"/>
  <c r="P187" i="10"/>
  <c r="I187" i="10"/>
  <c r="O247" i="10"/>
  <c r="O245" i="10" s="1"/>
  <c r="I18" i="10" l="1"/>
  <c r="J18" i="10"/>
  <c r="J17" i="10" s="1"/>
  <c r="J12" i="10" s="1"/>
  <c r="M187" i="10"/>
  <c r="O19" i="10"/>
  <c r="S18" i="10"/>
  <c r="S17" i="10" s="1"/>
  <c r="S12" i="10" s="1"/>
  <c r="R18" i="10"/>
  <c r="R17" i="10" s="1"/>
  <c r="R12" i="10" s="1"/>
  <c r="L187" i="10"/>
  <c r="M18" i="10"/>
  <c r="M17" i="10" s="1"/>
  <c r="M12" i="10" s="1"/>
  <c r="L19" i="10"/>
  <c r="L18" i="10" s="1"/>
  <c r="Q18" i="10"/>
  <c r="Q17" i="10" s="1"/>
  <c r="Q12" i="10" s="1"/>
  <c r="I17" i="10"/>
  <c r="I12" i="10" s="1"/>
  <c r="K18" i="10"/>
  <c r="K17" i="10" s="1"/>
  <c r="K12" i="10" s="1"/>
  <c r="P18" i="10"/>
  <c r="P17" i="10" s="1"/>
  <c r="P12" i="10" s="1"/>
  <c r="O187" i="10"/>
  <c r="N18" i="10"/>
  <c r="N17" i="10" s="1"/>
  <c r="N12" i="10" s="1"/>
  <c r="O18" i="10"/>
  <c r="O17" i="10" s="1"/>
  <c r="O12" i="10" s="1"/>
  <c r="L17" i="10" l="1"/>
  <c r="L12" i="10" s="1"/>
  <c r="A3" i="7"/>
  <c r="R125" i="7" l="1"/>
  <c r="R141" i="9"/>
  <c r="AB14" i="9"/>
  <c r="AB13" i="7"/>
  <c r="AE5" i="9" l="1"/>
  <c r="AF5" i="9"/>
  <c r="L144" i="9"/>
  <c r="M144" i="9"/>
  <c r="N144" i="9"/>
  <c r="O144" i="9"/>
  <c r="R144" i="9"/>
  <c r="S144" i="9"/>
  <c r="V144" i="9"/>
  <c r="W144" i="9"/>
  <c r="Z144" i="9"/>
  <c r="AA144" i="9"/>
  <c r="AB144" i="9"/>
  <c r="AC144" i="9"/>
  <c r="AD144" i="9"/>
  <c r="AE144" i="9"/>
  <c r="P145" i="9"/>
  <c r="T145" i="9"/>
  <c r="T144" i="9" s="1"/>
  <c r="X145" i="9"/>
  <c r="X144" i="9" s="1"/>
  <c r="Y145" i="9"/>
  <c r="Y144" i="9" s="1"/>
  <c r="L146" i="9"/>
  <c r="M146" i="9"/>
  <c r="N146" i="9"/>
  <c r="O146" i="9"/>
  <c r="R146" i="9"/>
  <c r="S146" i="9"/>
  <c r="V146" i="9"/>
  <c r="W146" i="9"/>
  <c r="Z146" i="9"/>
  <c r="AA146" i="9"/>
  <c r="AB146" i="9"/>
  <c r="AC146" i="9"/>
  <c r="AD146" i="9"/>
  <c r="AE146" i="9"/>
  <c r="P147" i="9"/>
  <c r="T147" i="9"/>
  <c r="T146" i="9" s="1"/>
  <c r="X147" i="9"/>
  <c r="X146" i="9" s="1"/>
  <c r="Y147" i="9"/>
  <c r="Y146" i="9" s="1"/>
  <c r="P149" i="9"/>
  <c r="T149" i="9"/>
  <c r="Q149" i="9" s="1"/>
  <c r="X149" i="9"/>
  <c r="Y149" i="9"/>
  <c r="M150" i="9"/>
  <c r="M148" i="9" s="1"/>
  <c r="N150" i="9"/>
  <c r="N148" i="9" s="1"/>
  <c r="O150" i="9"/>
  <c r="O148" i="9" s="1"/>
  <c r="P150" i="9"/>
  <c r="Q150" i="9"/>
  <c r="R150" i="9"/>
  <c r="R148" i="9" s="1"/>
  <c r="S150" i="9"/>
  <c r="S148" i="9" s="1"/>
  <c r="T150" i="9"/>
  <c r="V150" i="9"/>
  <c r="V148" i="9" s="1"/>
  <c r="W150" i="9"/>
  <c r="W148" i="9" s="1"/>
  <c r="X150" i="9"/>
  <c r="Z150" i="9"/>
  <c r="Z148" i="9" s="1"/>
  <c r="AA150" i="9"/>
  <c r="AA148" i="9" s="1"/>
  <c r="AB150" i="9"/>
  <c r="AB148" i="9" s="1"/>
  <c r="AC150" i="9"/>
  <c r="AC148" i="9" s="1"/>
  <c r="AD150" i="9"/>
  <c r="AD148" i="9" s="1"/>
  <c r="AE150" i="9"/>
  <c r="AE148" i="9" s="1"/>
  <c r="L151" i="9"/>
  <c r="L150" i="9" s="1"/>
  <c r="L148" i="9" s="1"/>
  <c r="U151" i="9"/>
  <c r="U150" i="9" s="1"/>
  <c r="Y151" i="9"/>
  <c r="Y150" i="9" s="1"/>
  <c r="L152" i="9"/>
  <c r="M152" i="9"/>
  <c r="N152" i="9"/>
  <c r="O152" i="9"/>
  <c r="R152" i="9"/>
  <c r="S152" i="9"/>
  <c r="V152" i="9"/>
  <c r="W152" i="9"/>
  <c r="Z152" i="9"/>
  <c r="AA152" i="9"/>
  <c r="AB152" i="9"/>
  <c r="AC152" i="9"/>
  <c r="AD152" i="9"/>
  <c r="AE152" i="9"/>
  <c r="P153" i="9"/>
  <c r="T153" i="9"/>
  <c r="Q153" i="9" s="1"/>
  <c r="Q152" i="9" s="1"/>
  <c r="X153" i="9"/>
  <c r="X152" i="9" s="1"/>
  <c r="Y153" i="9"/>
  <c r="Y152" i="9" s="1"/>
  <c r="L154" i="9"/>
  <c r="M154" i="9"/>
  <c r="N154" i="9"/>
  <c r="O154" i="9"/>
  <c r="R154" i="9"/>
  <c r="S154" i="9"/>
  <c r="V154" i="9"/>
  <c r="W154" i="9"/>
  <c r="Z154" i="9"/>
  <c r="AA154" i="9"/>
  <c r="AB154" i="9"/>
  <c r="AC154" i="9"/>
  <c r="AD154" i="9"/>
  <c r="AE154" i="9"/>
  <c r="P155" i="9"/>
  <c r="T155" i="9"/>
  <c r="T154" i="9" s="1"/>
  <c r="X155" i="9"/>
  <c r="X154" i="9" s="1"/>
  <c r="Y155" i="9"/>
  <c r="Y154" i="9" s="1"/>
  <c r="P157" i="9"/>
  <c r="T157" i="9"/>
  <c r="Q157" i="9" s="1"/>
  <c r="X157" i="9"/>
  <c r="Y157" i="9"/>
  <c r="M158" i="9"/>
  <c r="M156" i="9" s="1"/>
  <c r="N158" i="9"/>
  <c r="N156" i="9" s="1"/>
  <c r="O158" i="9"/>
  <c r="O156" i="9" s="1"/>
  <c r="P158" i="9"/>
  <c r="R158" i="9"/>
  <c r="R156" i="9" s="1"/>
  <c r="S158" i="9"/>
  <c r="S156" i="9" s="1"/>
  <c r="T158" i="9"/>
  <c r="V158" i="9"/>
  <c r="V156" i="9" s="1"/>
  <c r="W158" i="9"/>
  <c r="W156" i="9" s="1"/>
  <c r="X158" i="9"/>
  <c r="Z158" i="9"/>
  <c r="Z156" i="9" s="1"/>
  <c r="AA158" i="9"/>
  <c r="AA156" i="9" s="1"/>
  <c r="AB158" i="9"/>
  <c r="AB156" i="9" s="1"/>
  <c r="AC158" i="9"/>
  <c r="AC156" i="9" s="1"/>
  <c r="AD158" i="9"/>
  <c r="AD156" i="9" s="1"/>
  <c r="AE158" i="9"/>
  <c r="AE156" i="9" s="1"/>
  <c r="L159" i="9"/>
  <c r="Q159" i="9"/>
  <c r="U159" i="9"/>
  <c r="Y159" i="9"/>
  <c r="L160" i="9"/>
  <c r="Q160" i="9"/>
  <c r="U160" i="9"/>
  <c r="Y160" i="9"/>
  <c r="L161" i="9"/>
  <c r="M161" i="9"/>
  <c r="N161" i="9"/>
  <c r="O161" i="9"/>
  <c r="R161" i="9"/>
  <c r="S161" i="9"/>
  <c r="V161" i="9"/>
  <c r="W161" i="9"/>
  <c r="Z161" i="9"/>
  <c r="AA161" i="9"/>
  <c r="AB161" i="9"/>
  <c r="AC161" i="9"/>
  <c r="AD161" i="9"/>
  <c r="AE161" i="9"/>
  <c r="P162" i="9"/>
  <c r="T162" i="9"/>
  <c r="Q162" i="9" s="1"/>
  <c r="Q161" i="9" s="1"/>
  <c r="X162" i="9"/>
  <c r="X161" i="9" s="1"/>
  <c r="Y162" i="9"/>
  <c r="Y161" i="9" s="1"/>
  <c r="P164" i="9"/>
  <c r="T164" i="9"/>
  <c r="X164" i="9"/>
  <c r="Y164" i="9"/>
  <c r="M165" i="9"/>
  <c r="M163" i="9" s="1"/>
  <c r="N165" i="9"/>
  <c r="N163" i="9" s="1"/>
  <c r="O165" i="9"/>
  <c r="O163" i="9" s="1"/>
  <c r="P165" i="9"/>
  <c r="R165" i="9"/>
  <c r="R163" i="9" s="1"/>
  <c r="S165" i="9"/>
  <c r="S163" i="9" s="1"/>
  <c r="V165" i="9"/>
  <c r="V163" i="9" s="1"/>
  <c r="W165" i="9"/>
  <c r="W163" i="9" s="1"/>
  <c r="Z165" i="9"/>
  <c r="Z163" i="9" s="1"/>
  <c r="AA165" i="9"/>
  <c r="AA163" i="9" s="1"/>
  <c r="AB165" i="9"/>
  <c r="AB163" i="9" s="1"/>
  <c r="AC165" i="9"/>
  <c r="AC163" i="9" s="1"/>
  <c r="AD165" i="9"/>
  <c r="AD163" i="9" s="1"/>
  <c r="AE165" i="9"/>
  <c r="AE163" i="9" s="1"/>
  <c r="L166" i="9"/>
  <c r="Y166" i="9"/>
  <c r="AH166" i="9" s="1"/>
  <c r="L167" i="9"/>
  <c r="T167" i="9"/>
  <c r="T165" i="9" s="1"/>
  <c r="X167" i="9"/>
  <c r="X165" i="9" s="1"/>
  <c r="Y167" i="9"/>
  <c r="P169" i="9"/>
  <c r="T169" i="9"/>
  <c r="Q169" i="9" s="1"/>
  <c r="X169" i="9"/>
  <c r="U169" i="9" s="1"/>
  <c r="Y169" i="9"/>
  <c r="M170" i="9"/>
  <c r="M168" i="9" s="1"/>
  <c r="N170" i="9"/>
  <c r="N168" i="9" s="1"/>
  <c r="O170" i="9"/>
  <c r="O168" i="9" s="1"/>
  <c r="P170" i="9"/>
  <c r="R170" i="9"/>
  <c r="R168" i="9" s="1"/>
  <c r="S170" i="9"/>
  <c r="S168" i="9" s="1"/>
  <c r="V170" i="9"/>
  <c r="V168" i="9" s="1"/>
  <c r="W170" i="9"/>
  <c r="W168" i="9" s="1"/>
  <c r="Z170" i="9"/>
  <c r="Z168" i="9" s="1"/>
  <c r="AA170" i="9"/>
  <c r="AA168" i="9" s="1"/>
  <c r="AB170" i="9"/>
  <c r="AB168" i="9" s="1"/>
  <c r="AC170" i="9"/>
  <c r="AC168" i="9" s="1"/>
  <c r="AD170" i="9"/>
  <c r="AD168" i="9" s="1"/>
  <c r="AE170" i="9"/>
  <c r="AE168" i="9" s="1"/>
  <c r="L171" i="9"/>
  <c r="T171" i="9"/>
  <c r="X171" i="9"/>
  <c r="Y171" i="9"/>
  <c r="L172" i="9"/>
  <c r="T172" i="9"/>
  <c r="Q172" i="9" s="1"/>
  <c r="X172" i="9"/>
  <c r="U172" i="9" s="1"/>
  <c r="Y172" i="9"/>
  <c r="M140" i="9"/>
  <c r="M139" i="9" s="1"/>
  <c r="N140" i="9"/>
  <c r="N139" i="9" s="1"/>
  <c r="O140" i="9"/>
  <c r="O139" i="9" s="1"/>
  <c r="P140" i="9"/>
  <c r="S140" i="9"/>
  <c r="S139" i="9" s="1"/>
  <c r="W140" i="9"/>
  <c r="W139" i="9" s="1"/>
  <c r="Z140" i="9"/>
  <c r="Z139" i="9" s="1"/>
  <c r="AA140" i="9"/>
  <c r="AA139" i="9" s="1"/>
  <c r="AB140" i="9"/>
  <c r="AB139" i="9" s="1"/>
  <c r="AD140" i="9"/>
  <c r="AD139" i="9" s="1"/>
  <c r="AE140" i="9"/>
  <c r="AE139" i="9" s="1"/>
  <c r="M63" i="9"/>
  <c r="N63" i="9"/>
  <c r="O63" i="9"/>
  <c r="P63" i="9"/>
  <c r="R63" i="9"/>
  <c r="S63" i="9"/>
  <c r="T63" i="9"/>
  <c r="V63" i="9"/>
  <c r="W63" i="9"/>
  <c r="Z63" i="9"/>
  <c r="AA63" i="9"/>
  <c r="AC63" i="9"/>
  <c r="AD63" i="9"/>
  <c r="AE63" i="9"/>
  <c r="L141" i="9"/>
  <c r="T141" i="9"/>
  <c r="Q141" i="9" s="1"/>
  <c r="V141" i="9"/>
  <c r="X141" i="9"/>
  <c r="AC141" i="9"/>
  <c r="Y141" i="9" s="1"/>
  <c r="L142" i="9"/>
  <c r="T142" i="9"/>
  <c r="Q142" i="9" s="1"/>
  <c r="X142" i="9"/>
  <c r="U142" i="9" s="1"/>
  <c r="Y142" i="9"/>
  <c r="L64" i="9"/>
  <c r="L63" i="9" s="1"/>
  <c r="Q64" i="9"/>
  <c r="Q63" i="9" s="1"/>
  <c r="X64" i="9"/>
  <c r="U64" i="9" s="1"/>
  <c r="U63" i="9" s="1"/>
  <c r="AB64" i="9"/>
  <c r="Y64" i="9" s="1"/>
  <c r="M65" i="9"/>
  <c r="N65" i="9"/>
  <c r="O65" i="9"/>
  <c r="P65" i="9"/>
  <c r="R65" i="9"/>
  <c r="S65" i="9"/>
  <c r="T65" i="9"/>
  <c r="V65" i="9"/>
  <c r="W65" i="9"/>
  <c r="X65" i="9"/>
  <c r="Z65" i="9"/>
  <c r="AA65" i="9"/>
  <c r="AB65" i="9"/>
  <c r="AC65" i="9"/>
  <c r="AD65" i="9"/>
  <c r="AE65" i="9"/>
  <c r="Y66" i="9"/>
  <c r="U66" i="9"/>
  <c r="Q66" i="9"/>
  <c r="L66" i="9"/>
  <c r="Y62" i="9"/>
  <c r="Y61" i="9" s="1"/>
  <c r="X62" i="9"/>
  <c r="U62" i="9" s="1"/>
  <c r="U61" i="9" s="1"/>
  <c r="T62" i="9"/>
  <c r="Q62" i="9" s="1"/>
  <c r="Q61" i="9" s="1"/>
  <c r="L62" i="9"/>
  <c r="L61" i="9" s="1"/>
  <c r="AE61" i="9"/>
  <c r="AD61" i="9"/>
  <c r="AC61" i="9"/>
  <c r="AB61" i="9"/>
  <c r="AA61" i="9"/>
  <c r="Z61" i="9"/>
  <c r="W61" i="9"/>
  <c r="V61" i="9"/>
  <c r="S61" i="9"/>
  <c r="R61" i="9"/>
  <c r="P61" i="9"/>
  <c r="O61" i="9"/>
  <c r="N61" i="9"/>
  <c r="M61" i="9"/>
  <c r="AE132" i="9"/>
  <c r="AD132" i="9"/>
  <c r="AC132" i="9"/>
  <c r="AB132" i="9"/>
  <c r="AA132" i="9"/>
  <c r="Z132" i="9"/>
  <c r="W132" i="9"/>
  <c r="V132" i="9"/>
  <c r="S132" i="9"/>
  <c r="R132" i="9"/>
  <c r="P132" i="9"/>
  <c r="O132" i="9"/>
  <c r="N132" i="9"/>
  <c r="M132" i="9"/>
  <c r="L133" i="9"/>
  <c r="L132" i="9" s="1"/>
  <c r="T133" i="9"/>
  <c r="Q133" i="9" s="1"/>
  <c r="Q132" i="9" s="1"/>
  <c r="X133" i="9"/>
  <c r="U133" i="9" s="1"/>
  <c r="U132" i="9" s="1"/>
  <c r="Y133" i="9"/>
  <c r="Y132" i="9" s="1"/>
  <c r="AH132" i="9" s="1"/>
  <c r="M134" i="9"/>
  <c r="N134" i="9"/>
  <c r="O134" i="9"/>
  <c r="P134" i="9"/>
  <c r="R134" i="9"/>
  <c r="S134" i="9"/>
  <c r="V134" i="9"/>
  <c r="W134" i="9"/>
  <c r="Z134" i="9"/>
  <c r="AA134" i="9"/>
  <c r="AB134" i="9"/>
  <c r="AC134" i="9"/>
  <c r="AD134" i="9"/>
  <c r="AE134" i="9"/>
  <c r="L135" i="9"/>
  <c r="T135" i="9"/>
  <c r="T134" i="9" s="1"/>
  <c r="X135" i="9"/>
  <c r="X134" i="9" s="1"/>
  <c r="Y135" i="9"/>
  <c r="L136" i="9"/>
  <c r="Q136" i="9"/>
  <c r="U136" i="9"/>
  <c r="Y136" i="9"/>
  <c r="M137" i="9"/>
  <c r="N137" i="9"/>
  <c r="O137" i="9"/>
  <c r="P137" i="9"/>
  <c r="R137" i="9"/>
  <c r="S137" i="9"/>
  <c r="T137" i="9"/>
  <c r="V137" i="9"/>
  <c r="W137" i="9"/>
  <c r="X137" i="9"/>
  <c r="Z137" i="9"/>
  <c r="AA137" i="9"/>
  <c r="AB137" i="9"/>
  <c r="AC137" i="9"/>
  <c r="AD137" i="9"/>
  <c r="AE137" i="9"/>
  <c r="L138" i="9"/>
  <c r="L137" i="9" s="1"/>
  <c r="Q138" i="9"/>
  <c r="Q137" i="9" s="1"/>
  <c r="U138" i="9"/>
  <c r="U137" i="9" s="1"/>
  <c r="Y138" i="9"/>
  <c r="Y137" i="9" s="1"/>
  <c r="M121" i="9"/>
  <c r="O121" i="9"/>
  <c r="P121" i="9"/>
  <c r="R121" i="9"/>
  <c r="T121" i="9"/>
  <c r="V121" i="9"/>
  <c r="W121" i="9"/>
  <c r="X121" i="9"/>
  <c r="Z121" i="9"/>
  <c r="AA121" i="9"/>
  <c r="AB121" i="9"/>
  <c r="AC121" i="9"/>
  <c r="AD121" i="9"/>
  <c r="AE121" i="9"/>
  <c r="M124" i="9"/>
  <c r="N124" i="9"/>
  <c r="O124" i="9"/>
  <c r="P124" i="9"/>
  <c r="R124" i="9"/>
  <c r="S124" i="9"/>
  <c r="V124" i="9"/>
  <c r="W124" i="9"/>
  <c r="Z124" i="9"/>
  <c r="AA124" i="9"/>
  <c r="AB124" i="9"/>
  <c r="AC124" i="9"/>
  <c r="AD124" i="9"/>
  <c r="AE124" i="9"/>
  <c r="M128" i="9"/>
  <c r="N128" i="9"/>
  <c r="O128" i="9"/>
  <c r="P128" i="9"/>
  <c r="R128" i="9"/>
  <c r="S128" i="9"/>
  <c r="T128" i="9"/>
  <c r="V128" i="9"/>
  <c r="W128" i="9"/>
  <c r="X128" i="9"/>
  <c r="Z128" i="9"/>
  <c r="AA128" i="9"/>
  <c r="AB128" i="9"/>
  <c r="AC128" i="9"/>
  <c r="AD128" i="9"/>
  <c r="AE128" i="9"/>
  <c r="L129" i="9"/>
  <c r="Q129" i="9"/>
  <c r="U129" i="9"/>
  <c r="Y129" i="9"/>
  <c r="L130" i="9"/>
  <c r="Q130" i="9"/>
  <c r="U130" i="9"/>
  <c r="Y130" i="9"/>
  <c r="L126" i="9"/>
  <c r="T126" i="9"/>
  <c r="Q126" i="9" s="1"/>
  <c r="X126" i="9"/>
  <c r="U126" i="9" s="1"/>
  <c r="Y126" i="9"/>
  <c r="L125" i="9"/>
  <c r="T125" i="9"/>
  <c r="Q125" i="9" s="1"/>
  <c r="X125" i="9"/>
  <c r="U125" i="9" s="1"/>
  <c r="Y125" i="9"/>
  <c r="L127" i="9"/>
  <c r="T127" i="9"/>
  <c r="Q127" i="9" s="1"/>
  <c r="X127" i="9"/>
  <c r="U127" i="9" s="1"/>
  <c r="Y127" i="9"/>
  <c r="N123" i="9"/>
  <c r="L123" i="9" s="1"/>
  <c r="S123" i="9"/>
  <c r="S121" i="9" s="1"/>
  <c r="U123" i="9"/>
  <c r="Y123" i="9"/>
  <c r="L122" i="9"/>
  <c r="Q122" i="9"/>
  <c r="Q121" i="9" s="1"/>
  <c r="U122" i="9"/>
  <c r="U121" i="9" s="1"/>
  <c r="Y122" i="9"/>
  <c r="Y121" i="9" s="1"/>
  <c r="M118" i="9"/>
  <c r="M117" i="9" s="1"/>
  <c r="N118" i="9"/>
  <c r="N117" i="9" s="1"/>
  <c r="O118" i="9"/>
  <c r="O117" i="9" s="1"/>
  <c r="P118" i="9"/>
  <c r="R118" i="9"/>
  <c r="R117" i="9" s="1"/>
  <c r="S118" i="9"/>
  <c r="S117" i="9" s="1"/>
  <c r="T118" i="9"/>
  <c r="T117" i="9" s="1"/>
  <c r="V118" i="9"/>
  <c r="V117" i="9" s="1"/>
  <c r="W118" i="9"/>
  <c r="W117" i="9" s="1"/>
  <c r="X118" i="9"/>
  <c r="X117" i="9" s="1"/>
  <c r="Z118" i="9"/>
  <c r="Z117" i="9" s="1"/>
  <c r="AA118" i="9"/>
  <c r="AA117" i="9" s="1"/>
  <c r="AB118" i="9"/>
  <c r="AB117" i="9" s="1"/>
  <c r="AC118" i="9"/>
  <c r="AC117" i="9" s="1"/>
  <c r="AD118" i="9"/>
  <c r="AD117" i="9" s="1"/>
  <c r="AE118" i="9"/>
  <c r="AE117" i="9" s="1"/>
  <c r="L119" i="9"/>
  <c r="L118" i="9" s="1"/>
  <c r="L117" i="9" s="1"/>
  <c r="Q119" i="9"/>
  <c r="Q118" i="9" s="1"/>
  <c r="Q117" i="9" s="1"/>
  <c r="U119" i="9"/>
  <c r="U118" i="9" s="1"/>
  <c r="U117" i="9" s="1"/>
  <c r="Y119" i="9"/>
  <c r="Y118" i="9" s="1"/>
  <c r="Y117" i="9" s="1"/>
  <c r="Y21" i="9"/>
  <c r="M111" i="9"/>
  <c r="N111" i="9"/>
  <c r="O111" i="9"/>
  <c r="P111" i="9"/>
  <c r="R111" i="9"/>
  <c r="S111" i="9"/>
  <c r="V111" i="9"/>
  <c r="Z111" i="9"/>
  <c r="AA111" i="9"/>
  <c r="AB111" i="9"/>
  <c r="AC111" i="9"/>
  <c r="AD111" i="9"/>
  <c r="AE111" i="9"/>
  <c r="M113" i="9"/>
  <c r="N113" i="9"/>
  <c r="O113" i="9"/>
  <c r="P113" i="9"/>
  <c r="R113" i="9"/>
  <c r="S113" i="9"/>
  <c r="V113" i="9"/>
  <c r="W113" i="9"/>
  <c r="Z113" i="9"/>
  <c r="AA113" i="9"/>
  <c r="AB113" i="9"/>
  <c r="AC113" i="9"/>
  <c r="AD113" i="9"/>
  <c r="AE113" i="9"/>
  <c r="L112" i="9"/>
  <c r="L111" i="9" s="1"/>
  <c r="T112" i="9"/>
  <c r="T111" i="9" s="1"/>
  <c r="W112" i="9"/>
  <c r="X112" i="9"/>
  <c r="X111" i="9" s="1"/>
  <c r="Y112" i="9"/>
  <c r="Y111" i="9" s="1"/>
  <c r="L114" i="9"/>
  <c r="T114" i="9"/>
  <c r="Q114" i="9" s="1"/>
  <c r="X114" i="9"/>
  <c r="U114" i="9" s="1"/>
  <c r="Y114" i="9"/>
  <c r="L115" i="9"/>
  <c r="T115" i="9"/>
  <c r="Q115" i="9" s="1"/>
  <c r="X115" i="9"/>
  <c r="U115" i="9" s="1"/>
  <c r="Y115" i="9"/>
  <c r="L116" i="9"/>
  <c r="T116" i="9"/>
  <c r="Q116" i="9" s="1"/>
  <c r="X116" i="9"/>
  <c r="U116" i="9" s="1"/>
  <c r="Y116" i="9"/>
  <c r="AD20" i="9"/>
  <c r="Y20" i="9" s="1"/>
  <c r="M106" i="9"/>
  <c r="N106" i="9"/>
  <c r="O106" i="9"/>
  <c r="P106" i="9"/>
  <c r="R106" i="9"/>
  <c r="S106" i="9"/>
  <c r="T106" i="9"/>
  <c r="V106" i="9"/>
  <c r="W106" i="9"/>
  <c r="X106" i="9"/>
  <c r="Z106" i="9"/>
  <c r="AA106" i="9"/>
  <c r="AB106" i="9"/>
  <c r="AC106" i="9"/>
  <c r="AD106" i="9"/>
  <c r="AE106" i="9"/>
  <c r="M108" i="9"/>
  <c r="N108" i="9"/>
  <c r="O108" i="9"/>
  <c r="P108" i="9"/>
  <c r="R108" i="9"/>
  <c r="S108" i="9"/>
  <c r="T108" i="9"/>
  <c r="V108" i="9"/>
  <c r="W108" i="9"/>
  <c r="X108" i="9"/>
  <c r="Z108" i="9"/>
  <c r="AA108" i="9"/>
  <c r="AB108" i="9"/>
  <c r="AC108" i="9"/>
  <c r="AD108" i="9"/>
  <c r="AE108" i="9"/>
  <c r="L107" i="9"/>
  <c r="L106" i="9" s="1"/>
  <c r="Q107" i="9"/>
  <c r="Q106" i="9" s="1"/>
  <c r="U107" i="9"/>
  <c r="U106" i="9" s="1"/>
  <c r="Y107" i="9"/>
  <c r="Y106" i="9" s="1"/>
  <c r="L109" i="9"/>
  <c r="L108" i="9" s="1"/>
  <c r="Q109" i="9"/>
  <c r="Q108" i="9" s="1"/>
  <c r="U109" i="9"/>
  <c r="U108" i="9" s="1"/>
  <c r="Y109" i="9"/>
  <c r="Y108" i="9" s="1"/>
  <c r="M103" i="9"/>
  <c r="M102" i="9" s="1"/>
  <c r="N103" i="9"/>
  <c r="N102" i="9" s="1"/>
  <c r="O103" i="9"/>
  <c r="O102" i="9" s="1"/>
  <c r="P103" i="9"/>
  <c r="R103" i="9"/>
  <c r="R102" i="9" s="1"/>
  <c r="S103" i="9"/>
  <c r="S102" i="9" s="1"/>
  <c r="V103" i="9"/>
  <c r="V102" i="9" s="1"/>
  <c r="W103" i="9"/>
  <c r="W102" i="9" s="1"/>
  <c r="Z103" i="9"/>
  <c r="Z102" i="9" s="1"/>
  <c r="AA103" i="9"/>
  <c r="AA102" i="9" s="1"/>
  <c r="AB103" i="9"/>
  <c r="AB102" i="9" s="1"/>
  <c r="AC103" i="9"/>
  <c r="AC102" i="9" s="1"/>
  <c r="AD103" i="9"/>
  <c r="AD102" i="9" s="1"/>
  <c r="AE103" i="9"/>
  <c r="AE102" i="9" s="1"/>
  <c r="L104" i="9"/>
  <c r="T104" i="9"/>
  <c r="T103" i="9" s="1"/>
  <c r="T102" i="9" s="1"/>
  <c r="X104" i="9"/>
  <c r="U104" i="9" s="1"/>
  <c r="Y104" i="9"/>
  <c r="Y103" i="9" s="1"/>
  <c r="Y102" i="9" s="1"/>
  <c r="M92" i="9"/>
  <c r="N92" i="9"/>
  <c r="O92" i="9"/>
  <c r="P92" i="9"/>
  <c r="Q92" i="9"/>
  <c r="R92" i="9"/>
  <c r="S92" i="9"/>
  <c r="T92" i="9"/>
  <c r="V92" i="9"/>
  <c r="W92" i="9"/>
  <c r="X92" i="9"/>
  <c r="Z92" i="9"/>
  <c r="AA92" i="9"/>
  <c r="AB92" i="9"/>
  <c r="AC92" i="9"/>
  <c r="AD92" i="9"/>
  <c r="AE92" i="9"/>
  <c r="M94" i="9"/>
  <c r="N94" i="9"/>
  <c r="O94" i="9"/>
  <c r="P94" i="9"/>
  <c r="R94" i="9"/>
  <c r="S94" i="9"/>
  <c r="V94" i="9"/>
  <c r="W94" i="9"/>
  <c r="Z94" i="9"/>
  <c r="AA94" i="9"/>
  <c r="AB94" i="9"/>
  <c r="AC94" i="9"/>
  <c r="AD94" i="9"/>
  <c r="AE94" i="9"/>
  <c r="L95" i="9"/>
  <c r="T95" i="9"/>
  <c r="X95" i="9"/>
  <c r="U95" i="9" s="1"/>
  <c r="Y95" i="9"/>
  <c r="L96" i="9"/>
  <c r="T96" i="9"/>
  <c r="Q96" i="9" s="1"/>
  <c r="X96" i="9"/>
  <c r="U96" i="9" s="1"/>
  <c r="Y96" i="9"/>
  <c r="L97" i="9"/>
  <c r="T97" i="9"/>
  <c r="Q97" i="9" s="1"/>
  <c r="X97" i="9"/>
  <c r="U97" i="9" s="1"/>
  <c r="Y97" i="9"/>
  <c r="L98" i="9"/>
  <c r="T98" i="9"/>
  <c r="Q98" i="9" s="1"/>
  <c r="X98" i="9"/>
  <c r="U98" i="9" s="1"/>
  <c r="Y98" i="9"/>
  <c r="L99" i="9"/>
  <c r="T99" i="9"/>
  <c r="Q99" i="9" s="1"/>
  <c r="X99" i="9"/>
  <c r="U99" i="9" s="1"/>
  <c r="Y99" i="9"/>
  <c r="L100" i="9"/>
  <c r="Q100" i="9"/>
  <c r="X100" i="9"/>
  <c r="U100" i="9" s="1"/>
  <c r="Y100" i="9"/>
  <c r="L101" i="9"/>
  <c r="T101" i="9"/>
  <c r="Q101" i="9" s="1"/>
  <c r="X101" i="9"/>
  <c r="U101" i="9" s="1"/>
  <c r="Y101" i="9"/>
  <c r="L93" i="9"/>
  <c r="U93" i="9"/>
  <c r="U92" i="9" s="1"/>
  <c r="Y93" i="9"/>
  <c r="Y92" i="9" s="1"/>
  <c r="M82" i="9"/>
  <c r="N82" i="9"/>
  <c r="O82" i="9"/>
  <c r="P82" i="9"/>
  <c r="R82" i="9"/>
  <c r="S82" i="9"/>
  <c r="V82" i="9"/>
  <c r="W82" i="9"/>
  <c r="Z82" i="9"/>
  <c r="AA82" i="9"/>
  <c r="AB82" i="9"/>
  <c r="AC82" i="9"/>
  <c r="AD82" i="9"/>
  <c r="AE82" i="9"/>
  <c r="L83" i="9"/>
  <c r="T83" i="9"/>
  <c r="Q83" i="9" s="1"/>
  <c r="X83" i="9"/>
  <c r="U83" i="9" s="1"/>
  <c r="Y83" i="9"/>
  <c r="L84" i="9"/>
  <c r="T84" i="9"/>
  <c r="Q84" i="9" s="1"/>
  <c r="U84" i="9"/>
  <c r="Y84" i="9"/>
  <c r="L85" i="9"/>
  <c r="T85" i="9"/>
  <c r="Q85" i="9" s="1"/>
  <c r="X85" i="9"/>
  <c r="U85" i="9" s="1"/>
  <c r="Y85" i="9"/>
  <c r="L86" i="9"/>
  <c r="T86" i="9"/>
  <c r="Q86" i="9" s="1"/>
  <c r="X86" i="9"/>
  <c r="U86" i="9" s="1"/>
  <c r="Y86" i="9"/>
  <c r="L87" i="9"/>
  <c r="T87" i="9"/>
  <c r="Q87" i="9" s="1"/>
  <c r="U87" i="9"/>
  <c r="Y87" i="9"/>
  <c r="L88" i="9"/>
  <c r="T88" i="9"/>
  <c r="Q88" i="9" s="1"/>
  <c r="X88" i="9"/>
  <c r="U88" i="9" s="1"/>
  <c r="Y88" i="9"/>
  <c r="M89" i="9"/>
  <c r="N89" i="9"/>
  <c r="O89" i="9"/>
  <c r="P89" i="9"/>
  <c r="R89" i="9"/>
  <c r="S89" i="9"/>
  <c r="V89" i="9"/>
  <c r="W89" i="9"/>
  <c r="Z89" i="9"/>
  <c r="AA89" i="9"/>
  <c r="AB89" i="9"/>
  <c r="AC89" i="9"/>
  <c r="AD89" i="9"/>
  <c r="AE89" i="9"/>
  <c r="L90" i="9"/>
  <c r="L89" i="9" s="1"/>
  <c r="T90" i="9"/>
  <c r="Q90" i="9" s="1"/>
  <c r="Q89" i="9" s="1"/>
  <c r="X90" i="9"/>
  <c r="X89" i="9" s="1"/>
  <c r="Y90" i="9"/>
  <c r="Y89" i="9" s="1"/>
  <c r="M79" i="9"/>
  <c r="M78" i="9" s="1"/>
  <c r="N79" i="9"/>
  <c r="N78" i="9" s="1"/>
  <c r="O79" i="9"/>
  <c r="O78" i="9" s="1"/>
  <c r="P79" i="9"/>
  <c r="R79" i="9"/>
  <c r="R78" i="9" s="1"/>
  <c r="S79" i="9"/>
  <c r="S78" i="9" s="1"/>
  <c r="T79" i="9"/>
  <c r="T78" i="9" s="1"/>
  <c r="V79" i="9"/>
  <c r="V78" i="9" s="1"/>
  <c r="W79" i="9"/>
  <c r="W78" i="9" s="1"/>
  <c r="X79" i="9"/>
  <c r="X78" i="9" s="1"/>
  <c r="Z79" i="9"/>
  <c r="Z78" i="9" s="1"/>
  <c r="AA79" i="9"/>
  <c r="AA78" i="9" s="1"/>
  <c r="AB79" i="9"/>
  <c r="AB78" i="9" s="1"/>
  <c r="AC79" i="9"/>
  <c r="AC78" i="9" s="1"/>
  <c r="AD79" i="9"/>
  <c r="AD78" i="9" s="1"/>
  <c r="AE79" i="9"/>
  <c r="AE78" i="9" s="1"/>
  <c r="L80" i="9"/>
  <c r="Q80" i="9"/>
  <c r="Q79" i="9" s="1"/>
  <c r="Q78" i="9" s="1"/>
  <c r="U80" i="9"/>
  <c r="Y80" i="9"/>
  <c r="M75" i="9"/>
  <c r="M74" i="9" s="1"/>
  <c r="N75" i="9"/>
  <c r="N74" i="9" s="1"/>
  <c r="O75" i="9"/>
  <c r="O74" i="9" s="1"/>
  <c r="P75" i="9"/>
  <c r="R75" i="9"/>
  <c r="R74" i="9" s="1"/>
  <c r="S75" i="9"/>
  <c r="S74" i="9" s="1"/>
  <c r="V75" i="9"/>
  <c r="W75" i="9"/>
  <c r="Z75" i="9"/>
  <c r="Z74" i="9" s="1"/>
  <c r="AA75" i="9"/>
  <c r="AA74" i="9" s="1"/>
  <c r="AB75" i="9"/>
  <c r="AB74" i="9" s="1"/>
  <c r="AC75" i="9"/>
  <c r="AC74" i="9" s="1"/>
  <c r="AD75" i="9"/>
  <c r="AE75" i="9"/>
  <c r="AE74" i="9" s="1"/>
  <c r="L77" i="9"/>
  <c r="T77" i="9"/>
  <c r="Q77" i="9" s="1"/>
  <c r="X77" i="9"/>
  <c r="U77" i="9" s="1"/>
  <c r="Y77" i="9"/>
  <c r="L76" i="9"/>
  <c r="T76" i="9"/>
  <c r="X76" i="9"/>
  <c r="Y76" i="9"/>
  <c r="Y55" i="9"/>
  <c r="X55" i="9"/>
  <c r="U55" i="9" s="1"/>
  <c r="T55" i="9"/>
  <c r="Q55" i="9" s="1"/>
  <c r="L55" i="9"/>
  <c r="Y58" i="9"/>
  <c r="X58" i="9"/>
  <c r="U58" i="9" s="1"/>
  <c r="T58" i="9"/>
  <c r="Q58" i="9" s="1"/>
  <c r="L58" i="9"/>
  <c r="Y57" i="9"/>
  <c r="X57" i="9"/>
  <c r="U57" i="9" s="1"/>
  <c r="T57" i="9"/>
  <c r="Q57" i="9" s="1"/>
  <c r="L57" i="9"/>
  <c r="Y56" i="9"/>
  <c r="X56" i="9"/>
  <c r="U56" i="9" s="1"/>
  <c r="T56" i="9"/>
  <c r="Q56" i="9" s="1"/>
  <c r="L56" i="9"/>
  <c r="Y54" i="9"/>
  <c r="X54" i="9"/>
  <c r="U54" i="9" s="1"/>
  <c r="T54" i="9"/>
  <c r="Q54" i="9" s="1"/>
  <c r="L54" i="9"/>
  <c r="Y53" i="9"/>
  <c r="X53" i="9"/>
  <c r="U53" i="9" s="1"/>
  <c r="T53" i="9"/>
  <c r="Q53" i="9" s="1"/>
  <c r="L53" i="9"/>
  <c r="M72" i="9"/>
  <c r="M71" i="9" s="1"/>
  <c r="N72" i="9"/>
  <c r="N71" i="9" s="1"/>
  <c r="O72" i="9"/>
  <c r="O71" i="9" s="1"/>
  <c r="P72" i="9"/>
  <c r="R72" i="9"/>
  <c r="R71" i="9" s="1"/>
  <c r="S72" i="9"/>
  <c r="S71" i="9" s="1"/>
  <c r="V72" i="9"/>
  <c r="V71" i="9" s="1"/>
  <c r="W72" i="9"/>
  <c r="W71" i="9" s="1"/>
  <c r="Z72" i="9"/>
  <c r="Z71" i="9" s="1"/>
  <c r="AA72" i="9"/>
  <c r="AA71" i="9" s="1"/>
  <c r="AB72" i="9"/>
  <c r="AB71" i="9" s="1"/>
  <c r="AC72" i="9"/>
  <c r="AC71" i="9" s="1"/>
  <c r="AD72" i="9"/>
  <c r="AD71" i="9" s="1"/>
  <c r="AE72" i="9"/>
  <c r="AE71" i="9" s="1"/>
  <c r="L73" i="9"/>
  <c r="L72" i="9" s="1"/>
  <c r="L71" i="9" s="1"/>
  <c r="T73" i="9"/>
  <c r="T72" i="9" s="1"/>
  <c r="T71" i="9" s="1"/>
  <c r="X73" i="9"/>
  <c r="X72" i="9" s="1"/>
  <c r="X71" i="9" s="1"/>
  <c r="Y73" i="9"/>
  <c r="Y72" i="9" s="1"/>
  <c r="Y71" i="9" s="1"/>
  <c r="M69" i="9"/>
  <c r="M68" i="9" s="1"/>
  <c r="N69" i="9"/>
  <c r="N68" i="9" s="1"/>
  <c r="O69" i="9"/>
  <c r="O68" i="9" s="1"/>
  <c r="P69" i="9"/>
  <c r="R69" i="9"/>
  <c r="R68" i="9" s="1"/>
  <c r="V69" i="9"/>
  <c r="V68" i="9" s="1"/>
  <c r="Z69" i="9"/>
  <c r="Z68" i="9" s="1"/>
  <c r="AA69" i="9"/>
  <c r="AA68" i="9" s="1"/>
  <c r="AB69" i="9"/>
  <c r="AC69" i="9"/>
  <c r="AC68" i="9" s="1"/>
  <c r="AD69" i="9"/>
  <c r="AD68" i="9" s="1"/>
  <c r="AE69" i="9"/>
  <c r="AE68" i="9" s="1"/>
  <c r="L70" i="9"/>
  <c r="L69" i="9" s="1"/>
  <c r="L68" i="9" s="1"/>
  <c r="S70" i="9"/>
  <c r="T70" i="9"/>
  <c r="W70" i="9"/>
  <c r="W69" i="9" s="1"/>
  <c r="W68" i="9" s="1"/>
  <c r="X70" i="9"/>
  <c r="Y70" i="9"/>
  <c r="Y69" i="9" s="1"/>
  <c r="Y68" i="9" s="1"/>
  <c r="L67" i="9"/>
  <c r="Q67" i="9"/>
  <c r="U67" i="9"/>
  <c r="Y67" i="9"/>
  <c r="M50" i="9"/>
  <c r="M49" i="9" s="1"/>
  <c r="N50" i="9"/>
  <c r="N49" i="9" s="1"/>
  <c r="O50" i="9"/>
  <c r="O49" i="9" s="1"/>
  <c r="R50" i="9"/>
  <c r="R49" i="9" s="1"/>
  <c r="S50" i="9"/>
  <c r="S49" i="9" s="1"/>
  <c r="V50" i="9"/>
  <c r="V49" i="9" s="1"/>
  <c r="W50" i="9"/>
  <c r="W49" i="9" s="1"/>
  <c r="Z50" i="9"/>
  <c r="Z49" i="9" s="1"/>
  <c r="AA50" i="9"/>
  <c r="AA49" i="9" s="1"/>
  <c r="AB50" i="9"/>
  <c r="AB49" i="9" s="1"/>
  <c r="AC50" i="9"/>
  <c r="AC49" i="9" s="1"/>
  <c r="AD50" i="9"/>
  <c r="AD49" i="9" s="1"/>
  <c r="AE50" i="9"/>
  <c r="AE49" i="9" s="1"/>
  <c r="L52" i="9"/>
  <c r="Q52" i="9"/>
  <c r="U52" i="9"/>
  <c r="Y52" i="9"/>
  <c r="L59" i="9"/>
  <c r="P59" i="9"/>
  <c r="T59" i="9"/>
  <c r="Q59" i="9" s="1"/>
  <c r="X59" i="9"/>
  <c r="U59" i="9" s="1"/>
  <c r="Y59" i="9"/>
  <c r="L51" i="9"/>
  <c r="T51" i="9"/>
  <c r="X51" i="9"/>
  <c r="Y51" i="9"/>
  <c r="M47" i="9"/>
  <c r="M46" i="9" s="1"/>
  <c r="N47" i="9"/>
  <c r="N46" i="9" s="1"/>
  <c r="O47" i="9"/>
  <c r="O46" i="9" s="1"/>
  <c r="P47" i="9"/>
  <c r="R47" i="9"/>
  <c r="R46" i="9" s="1"/>
  <c r="S47" i="9"/>
  <c r="S46" i="9" s="1"/>
  <c r="T47" i="9"/>
  <c r="T46" i="9" s="1"/>
  <c r="V47" i="9"/>
  <c r="V46" i="9" s="1"/>
  <c r="W47" i="9"/>
  <c r="W46" i="9" s="1"/>
  <c r="Z47" i="9"/>
  <c r="Z46" i="9" s="1"/>
  <c r="AA47" i="9"/>
  <c r="AA46" i="9" s="1"/>
  <c r="AB47" i="9"/>
  <c r="AB46" i="9" s="1"/>
  <c r="AC47" i="9"/>
  <c r="AC46" i="9" s="1"/>
  <c r="AD47" i="9"/>
  <c r="AD46" i="9" s="1"/>
  <c r="AE47" i="9"/>
  <c r="AE46" i="9" s="1"/>
  <c r="L48" i="9"/>
  <c r="L47" i="9" s="1"/>
  <c r="L46" i="9" s="1"/>
  <c r="Q48" i="9"/>
  <c r="Q47" i="9" s="1"/>
  <c r="Q46" i="9" s="1"/>
  <c r="X48" i="9"/>
  <c r="X47" i="9" s="1"/>
  <c r="X46" i="9" s="1"/>
  <c r="Y48" i="9"/>
  <c r="Y47" i="9" s="1"/>
  <c r="Y46" i="9" s="1"/>
  <c r="M44" i="9"/>
  <c r="M43" i="9" s="1"/>
  <c r="N44" i="9"/>
  <c r="N43" i="9" s="1"/>
  <c r="O44" i="9"/>
  <c r="O43" i="9" s="1"/>
  <c r="P44" i="9"/>
  <c r="R44" i="9"/>
  <c r="R43" i="9" s="1"/>
  <c r="S44" i="9"/>
  <c r="S43" i="9" s="1"/>
  <c r="V44" i="9"/>
  <c r="V43" i="9" s="1"/>
  <c r="W44" i="9"/>
  <c r="W43" i="9" s="1"/>
  <c r="Z44" i="9"/>
  <c r="Z43" i="9" s="1"/>
  <c r="AA44" i="9"/>
  <c r="AA43" i="9" s="1"/>
  <c r="AB44" i="9"/>
  <c r="AB43" i="9" s="1"/>
  <c r="AC44" i="9"/>
  <c r="AC43" i="9" s="1"/>
  <c r="AD44" i="9"/>
  <c r="AD43" i="9" s="1"/>
  <c r="AE44" i="9"/>
  <c r="AE43" i="9" s="1"/>
  <c r="L45" i="9"/>
  <c r="L44" i="9" s="1"/>
  <c r="L43" i="9" s="1"/>
  <c r="T45" i="9"/>
  <c r="T44" i="9" s="1"/>
  <c r="T43" i="9" s="1"/>
  <c r="X45" i="9"/>
  <c r="U45" i="9" s="1"/>
  <c r="Y45" i="9"/>
  <c r="Y44" i="9" s="1"/>
  <c r="Y43" i="9" s="1"/>
  <c r="M41" i="9"/>
  <c r="M40" i="9" s="1"/>
  <c r="N41" i="9"/>
  <c r="N40" i="9" s="1"/>
  <c r="O41" i="9"/>
  <c r="O40" i="9" s="1"/>
  <c r="P41" i="9"/>
  <c r="R41" i="9"/>
  <c r="R40" i="9" s="1"/>
  <c r="S41" i="9"/>
  <c r="S40" i="9" s="1"/>
  <c r="T41" i="9"/>
  <c r="T40" i="9" s="1"/>
  <c r="V41" i="9"/>
  <c r="V40" i="9" s="1"/>
  <c r="W41" i="9"/>
  <c r="W40" i="9" s="1"/>
  <c r="X41" i="9"/>
  <c r="X40" i="9" s="1"/>
  <c r="Z41" i="9"/>
  <c r="Z40" i="9" s="1"/>
  <c r="AA41" i="9"/>
  <c r="AA40" i="9" s="1"/>
  <c r="AB41" i="9"/>
  <c r="AB40" i="9" s="1"/>
  <c r="AC41" i="9"/>
  <c r="AC40" i="9" s="1"/>
  <c r="AD41" i="9"/>
  <c r="AD40" i="9" s="1"/>
  <c r="AE41" i="9"/>
  <c r="AE40" i="9" s="1"/>
  <c r="L42" i="9"/>
  <c r="L41" i="9" s="1"/>
  <c r="L40" i="9" s="1"/>
  <c r="Q42" i="9"/>
  <c r="Q41" i="9" s="1"/>
  <c r="Q40" i="9" s="1"/>
  <c r="U42" i="9"/>
  <c r="U41" i="9" s="1"/>
  <c r="U40" i="9" s="1"/>
  <c r="Y42" i="9"/>
  <c r="Y41" i="9" s="1"/>
  <c r="Y40" i="9" s="1"/>
  <c r="M35" i="9"/>
  <c r="M34" i="9" s="1"/>
  <c r="N35" i="9"/>
  <c r="N34" i="9" s="1"/>
  <c r="O35" i="9"/>
  <c r="O34" i="9" s="1"/>
  <c r="P35" i="9"/>
  <c r="R35" i="9"/>
  <c r="R34" i="9" s="1"/>
  <c r="S35" i="9"/>
  <c r="S34" i="9" s="1"/>
  <c r="V35" i="9"/>
  <c r="V34" i="9" s="1"/>
  <c r="W35" i="9"/>
  <c r="W34" i="9" s="1"/>
  <c r="Z35" i="9"/>
  <c r="Z34" i="9" s="1"/>
  <c r="AA35" i="9"/>
  <c r="AA34" i="9" s="1"/>
  <c r="AB35" i="9"/>
  <c r="AB34" i="9" s="1"/>
  <c r="AC35" i="9"/>
  <c r="AC34" i="9" s="1"/>
  <c r="AD35" i="9"/>
  <c r="AD34" i="9" s="1"/>
  <c r="AE35" i="9"/>
  <c r="AE34" i="9" s="1"/>
  <c r="Y39" i="9"/>
  <c r="X39" i="9"/>
  <c r="U39" i="9" s="1"/>
  <c r="T39" i="9"/>
  <c r="Q39" i="9" s="1"/>
  <c r="L39" i="9"/>
  <c r="Y38" i="9"/>
  <c r="X38" i="9"/>
  <c r="U38" i="9" s="1"/>
  <c r="AG38" i="9" s="1"/>
  <c r="T38" i="9"/>
  <c r="Q38" i="9" s="1"/>
  <c r="L38" i="9"/>
  <c r="Y37" i="9"/>
  <c r="X37" i="9"/>
  <c r="U37" i="9" s="1"/>
  <c r="AG37" i="9" s="1"/>
  <c r="T37" i="9"/>
  <c r="Q37" i="9" s="1"/>
  <c r="L37" i="9"/>
  <c r="L36" i="9"/>
  <c r="T36" i="9"/>
  <c r="Q36" i="9" s="1"/>
  <c r="X36" i="9"/>
  <c r="Y36" i="9"/>
  <c r="M27" i="9"/>
  <c r="M26" i="9" s="1"/>
  <c r="N27" i="9"/>
  <c r="N26" i="9" s="1"/>
  <c r="O27" i="9"/>
  <c r="O26" i="9" s="1"/>
  <c r="P27" i="9"/>
  <c r="R27" i="9"/>
  <c r="R26" i="9" s="1"/>
  <c r="S27" i="9"/>
  <c r="S26" i="9" s="1"/>
  <c r="T27" i="9"/>
  <c r="T26" i="9" s="1"/>
  <c r="V27" i="9"/>
  <c r="V26" i="9" s="1"/>
  <c r="W27" i="9"/>
  <c r="W26" i="9" s="1"/>
  <c r="X27" i="9"/>
  <c r="X26" i="9" s="1"/>
  <c r="Z27" i="9"/>
  <c r="Z26" i="9" s="1"/>
  <c r="AA27" i="9"/>
  <c r="AA26" i="9" s="1"/>
  <c r="AB27" i="9"/>
  <c r="AB26" i="9" s="1"/>
  <c r="AC27" i="9"/>
  <c r="AC26" i="9" s="1"/>
  <c r="AD27" i="9"/>
  <c r="AD26" i="9" s="1"/>
  <c r="AE27" i="9"/>
  <c r="AE26" i="9" s="1"/>
  <c r="M30" i="9"/>
  <c r="M29" i="9" s="1"/>
  <c r="N30" i="9"/>
  <c r="N29" i="9" s="1"/>
  <c r="O30" i="9"/>
  <c r="O29" i="9" s="1"/>
  <c r="P30" i="9"/>
  <c r="R30" i="9"/>
  <c r="R29" i="9" s="1"/>
  <c r="V30" i="9"/>
  <c r="V29" i="9" s="1"/>
  <c r="Z30" i="9"/>
  <c r="Z29" i="9" s="1"/>
  <c r="AA30" i="9"/>
  <c r="AA29" i="9" s="1"/>
  <c r="AB30" i="9"/>
  <c r="AB29" i="9" s="1"/>
  <c r="AC30" i="9"/>
  <c r="AC29" i="9" s="1"/>
  <c r="AD30" i="9"/>
  <c r="AD29" i="9" s="1"/>
  <c r="AE30" i="9"/>
  <c r="AE29" i="9" s="1"/>
  <c r="Y31" i="9"/>
  <c r="X31" i="9"/>
  <c r="U31" i="9" s="1"/>
  <c r="T31" i="9"/>
  <c r="Q31" i="9" s="1"/>
  <c r="L31" i="9"/>
  <c r="L32" i="9"/>
  <c r="T32" i="9"/>
  <c r="Q32" i="9" s="1"/>
  <c r="X32" i="9"/>
  <c r="U32" i="9" s="1"/>
  <c r="Y32" i="9"/>
  <c r="L33" i="9"/>
  <c r="S33" i="9"/>
  <c r="S30" i="9" s="1"/>
  <c r="S29" i="9" s="1"/>
  <c r="T33" i="9"/>
  <c r="W33" i="9"/>
  <c r="W30" i="9" s="1"/>
  <c r="W29" i="9" s="1"/>
  <c r="X33" i="9"/>
  <c r="Y33" i="9"/>
  <c r="Y28" i="9"/>
  <c r="Y27" i="9" s="1"/>
  <c r="Y26" i="9" s="1"/>
  <c r="U28" i="9"/>
  <c r="U27" i="9" s="1"/>
  <c r="U26" i="9" s="1"/>
  <c r="Q28" i="9"/>
  <c r="L28" i="9"/>
  <c r="AC14" i="9"/>
  <c r="AD14" i="9"/>
  <c r="Y15" i="9"/>
  <c r="AG15" i="9" s="1"/>
  <c r="Q16" i="9"/>
  <c r="U16" i="9"/>
  <c r="Y16" i="9"/>
  <c r="AH16" i="9" s="1"/>
  <c r="T17" i="9"/>
  <c r="Q17" i="9" s="1"/>
  <c r="X17" i="9"/>
  <c r="U17" i="9" s="1"/>
  <c r="Y17" i="9"/>
  <c r="AH17" i="9" s="1"/>
  <c r="U19" i="9"/>
  <c r="Y19" i="9"/>
  <c r="U22" i="9"/>
  <c r="Y22" i="9"/>
  <c r="Y23" i="9"/>
  <c r="U145" i="9" l="1"/>
  <c r="AG45" i="9"/>
  <c r="AG101" i="9"/>
  <c r="AG100" i="9"/>
  <c r="AG99" i="9"/>
  <c r="AG98" i="9"/>
  <c r="AG97" i="9"/>
  <c r="AG96" i="9"/>
  <c r="AG95" i="9"/>
  <c r="AG172" i="9"/>
  <c r="AG169" i="9"/>
  <c r="AG160" i="9"/>
  <c r="AG159" i="9"/>
  <c r="AG61" i="9"/>
  <c r="AG127" i="9"/>
  <c r="AG125" i="9"/>
  <c r="U141" i="9"/>
  <c r="AG141" i="9" s="1"/>
  <c r="T61" i="9"/>
  <c r="U147" i="9"/>
  <c r="AG147" i="9" s="1"/>
  <c r="L121" i="9"/>
  <c r="AH122" i="9" s="1"/>
  <c r="AG31" i="9"/>
  <c r="AG39" i="9"/>
  <c r="AG67" i="9"/>
  <c r="AG77" i="9"/>
  <c r="AG83" i="9"/>
  <c r="AG126" i="9"/>
  <c r="AG66" i="9"/>
  <c r="P43" i="9"/>
  <c r="AG150" i="9"/>
  <c r="AH23" i="9"/>
  <c r="AG23" i="9"/>
  <c r="AG19" i="9"/>
  <c r="P46" i="9"/>
  <c r="P68" i="9"/>
  <c r="AG53" i="9"/>
  <c r="AG54" i="9"/>
  <c r="AG56" i="9"/>
  <c r="AG57" i="9"/>
  <c r="AG58" i="9"/>
  <c r="P74" i="9"/>
  <c r="P78" i="9"/>
  <c r="P102" i="9"/>
  <c r="AG108" i="9"/>
  <c r="AG106" i="9"/>
  <c r="P154" i="9"/>
  <c r="U79" i="9"/>
  <c r="U78" i="9" s="1"/>
  <c r="AG80" i="9"/>
  <c r="P161" i="9"/>
  <c r="AG22" i="9"/>
  <c r="AG17" i="9"/>
  <c r="P71" i="9"/>
  <c r="AG92" i="9"/>
  <c r="AG116" i="9"/>
  <c r="AG115" i="9"/>
  <c r="AG114" i="9"/>
  <c r="P117" i="9"/>
  <c r="AG118" i="9"/>
  <c r="AG137" i="9"/>
  <c r="AG142" i="9"/>
  <c r="T170" i="9"/>
  <c r="T168" i="9" s="1"/>
  <c r="U155" i="9"/>
  <c r="U154" i="9" s="1"/>
  <c r="AH154" i="9" s="1"/>
  <c r="P152" i="9"/>
  <c r="Q147" i="9"/>
  <c r="Q146" i="9" s="1"/>
  <c r="Q145" i="9"/>
  <c r="Q144" i="9" s="1"/>
  <c r="P29" i="9"/>
  <c r="P26" i="9"/>
  <c r="AG27" i="9"/>
  <c r="AG16" i="9"/>
  <c r="P34" i="9"/>
  <c r="P40" i="9"/>
  <c r="AG41" i="9"/>
  <c r="P50" i="9"/>
  <c r="AG59" i="9"/>
  <c r="AG104" i="9"/>
  <c r="AG121" i="9"/>
  <c r="AG132" i="9"/>
  <c r="P146" i="9"/>
  <c r="P144" i="9"/>
  <c r="AG145" i="9"/>
  <c r="N60" i="9"/>
  <c r="S60" i="9"/>
  <c r="X61" i="9"/>
  <c r="X140" i="9"/>
  <c r="X139" i="9" s="1"/>
  <c r="Q171" i="9"/>
  <c r="Q170" i="9" s="1"/>
  <c r="Q168" i="9" s="1"/>
  <c r="U167" i="9"/>
  <c r="X170" i="9"/>
  <c r="P60" i="9"/>
  <c r="V60" i="9"/>
  <c r="AE60" i="9"/>
  <c r="T140" i="9"/>
  <c r="T139" i="9" s="1"/>
  <c r="U171" i="9"/>
  <c r="AG171" i="9" s="1"/>
  <c r="Q167" i="9"/>
  <c r="Q165" i="9" s="1"/>
  <c r="M60" i="9"/>
  <c r="R60" i="9"/>
  <c r="AC60" i="9"/>
  <c r="W60" i="9"/>
  <c r="AA60" i="9"/>
  <c r="AH172" i="9"/>
  <c r="P131" i="9"/>
  <c r="W131" i="9"/>
  <c r="AC131" i="9"/>
  <c r="AH159" i="9"/>
  <c r="O60" i="9"/>
  <c r="T60" i="9"/>
  <c r="Z60" i="9"/>
  <c r="O131" i="9"/>
  <c r="V131" i="9"/>
  <c r="AB131" i="9"/>
  <c r="AD60" i="9"/>
  <c r="T148" i="9"/>
  <c r="M131" i="9"/>
  <c r="R131" i="9"/>
  <c r="Z131" i="9"/>
  <c r="AD131" i="9"/>
  <c r="N131" i="9"/>
  <c r="S131" i="9"/>
  <c r="AA131" i="9"/>
  <c r="AE131" i="9"/>
  <c r="AH169" i="9"/>
  <c r="Y170" i="9"/>
  <c r="Y168" i="9" s="1"/>
  <c r="L165" i="9"/>
  <c r="L163" i="9" s="1"/>
  <c r="Q158" i="9"/>
  <c r="Q148" i="9"/>
  <c r="Y140" i="9"/>
  <c r="Y139" i="9" s="1"/>
  <c r="Q140" i="9"/>
  <c r="Q139" i="9" s="1"/>
  <c r="L170" i="9"/>
  <c r="L168" i="9" s="1"/>
  <c r="T163" i="9"/>
  <c r="L158" i="9"/>
  <c r="L156" i="9" s="1"/>
  <c r="P156" i="9"/>
  <c r="P148" i="9"/>
  <c r="L140" i="9"/>
  <c r="L139" i="9" s="1"/>
  <c r="P168" i="9"/>
  <c r="P163" i="9"/>
  <c r="Y158" i="9"/>
  <c r="X148" i="9"/>
  <c r="AH145" i="9"/>
  <c r="Y165" i="9"/>
  <c r="Y163" i="9" s="1"/>
  <c r="U158" i="9"/>
  <c r="AG158" i="9" s="1"/>
  <c r="X156" i="9"/>
  <c r="AA143" i="9"/>
  <c r="U140" i="9"/>
  <c r="U139" i="9" s="1"/>
  <c r="AC143" i="9"/>
  <c r="W143" i="9"/>
  <c r="O143" i="9"/>
  <c r="Y148" i="9"/>
  <c r="S143" i="9"/>
  <c r="X163" i="9"/>
  <c r="Q156" i="9"/>
  <c r="AB143" i="9"/>
  <c r="V143" i="9"/>
  <c r="N143" i="9"/>
  <c r="AE143" i="9"/>
  <c r="M143" i="9"/>
  <c r="X168" i="9"/>
  <c r="AH150" i="9"/>
  <c r="AD143" i="9"/>
  <c r="Z143" i="9"/>
  <c r="R143" i="9"/>
  <c r="U165" i="9"/>
  <c r="Q164" i="9"/>
  <c r="U162" i="9"/>
  <c r="AG162" i="9" s="1"/>
  <c r="U157" i="9"/>
  <c r="AG157" i="9" s="1"/>
  <c r="Q155" i="9"/>
  <c r="Q154" i="9" s="1"/>
  <c r="U153" i="9"/>
  <c r="AH153" i="9" s="1"/>
  <c r="U149" i="9"/>
  <c r="AG149" i="9" s="1"/>
  <c r="U144" i="9"/>
  <c r="AH64" i="9"/>
  <c r="Y63" i="9"/>
  <c r="AH63" i="9" s="1"/>
  <c r="T161" i="9"/>
  <c r="T156" i="9"/>
  <c r="T152" i="9"/>
  <c r="AB63" i="9"/>
  <c r="AB60" i="9" s="1"/>
  <c r="X63" i="9"/>
  <c r="V140" i="9"/>
  <c r="V139" i="9" s="1"/>
  <c r="R140" i="9"/>
  <c r="R139" i="9" s="1"/>
  <c r="U164" i="9"/>
  <c r="AG164" i="9" s="1"/>
  <c r="AH160" i="9"/>
  <c r="AH151" i="9"/>
  <c r="AH147" i="9"/>
  <c r="U146" i="9"/>
  <c r="AC140" i="9"/>
  <c r="AC139" i="9" s="1"/>
  <c r="P139" i="9"/>
  <c r="L65" i="9"/>
  <c r="L60" i="9" s="1"/>
  <c r="Q65" i="9"/>
  <c r="Q60" i="9" s="1"/>
  <c r="Y65" i="9"/>
  <c r="AH142" i="9"/>
  <c r="AH62" i="9"/>
  <c r="U65" i="9"/>
  <c r="U60" i="9" s="1"/>
  <c r="T75" i="9"/>
  <c r="T74" i="9" s="1"/>
  <c r="AH130" i="9"/>
  <c r="AH137" i="9"/>
  <c r="L124" i="9"/>
  <c r="Q128" i="9"/>
  <c r="AE120" i="9"/>
  <c r="AA120" i="9"/>
  <c r="V120" i="9"/>
  <c r="O120" i="9"/>
  <c r="U135" i="9"/>
  <c r="AH135" i="9"/>
  <c r="AH138" i="9"/>
  <c r="AH136" i="9"/>
  <c r="Q124" i="9"/>
  <c r="U128" i="9"/>
  <c r="AB120" i="9"/>
  <c r="W120" i="9"/>
  <c r="P120" i="9"/>
  <c r="L134" i="9"/>
  <c r="L131" i="9" s="1"/>
  <c r="T132" i="9"/>
  <c r="T131" i="9" s="1"/>
  <c r="X132" i="9"/>
  <c r="X131" i="9" s="1"/>
  <c r="Y124" i="9"/>
  <c r="AD120" i="9"/>
  <c r="Z120" i="9"/>
  <c r="M120" i="9"/>
  <c r="S120" i="9"/>
  <c r="U124" i="9"/>
  <c r="Y128" i="9"/>
  <c r="AC120" i="9"/>
  <c r="R120" i="9"/>
  <c r="Y134" i="9"/>
  <c r="Y131" i="9" s="1"/>
  <c r="Q135" i="9"/>
  <c r="Q134" i="9" s="1"/>
  <c r="Q131" i="9" s="1"/>
  <c r="N121" i="9"/>
  <c r="N120" i="9" s="1"/>
  <c r="AH133" i="9"/>
  <c r="L128" i="9"/>
  <c r="X124" i="9"/>
  <c r="X120" i="9" s="1"/>
  <c r="T124" i="9"/>
  <c r="T120" i="9" s="1"/>
  <c r="AH127" i="9"/>
  <c r="AH123" i="9"/>
  <c r="AC110" i="9"/>
  <c r="V110" i="9"/>
  <c r="O110" i="9"/>
  <c r="M110" i="9"/>
  <c r="AH118" i="9"/>
  <c r="AH119" i="9"/>
  <c r="U113" i="9"/>
  <c r="AH95" i="9"/>
  <c r="L113" i="9"/>
  <c r="AE110" i="9"/>
  <c r="AA110" i="9"/>
  <c r="R110" i="9"/>
  <c r="Y113" i="9"/>
  <c r="Y110" i="9" s="1"/>
  <c r="AD110" i="9"/>
  <c r="Z110" i="9"/>
  <c r="P110" i="9"/>
  <c r="Q113" i="9"/>
  <c r="U112" i="9"/>
  <c r="U111" i="9" s="1"/>
  <c r="AH112" i="9" s="1"/>
  <c r="AB110" i="9"/>
  <c r="S110" i="9"/>
  <c r="N110" i="9"/>
  <c r="L110" i="9"/>
  <c r="AB105" i="9"/>
  <c r="W105" i="9"/>
  <c r="R105" i="9"/>
  <c r="M105" i="9"/>
  <c r="X113" i="9"/>
  <c r="X110" i="9" s="1"/>
  <c r="T113" i="9"/>
  <c r="T110" i="9" s="1"/>
  <c r="W111" i="9"/>
  <c r="W110" i="9" s="1"/>
  <c r="AH21" i="9"/>
  <c r="AH116" i="9"/>
  <c r="AH115" i="9"/>
  <c r="L105" i="9"/>
  <c r="AC105" i="9"/>
  <c r="X105" i="9"/>
  <c r="S105" i="9"/>
  <c r="N105" i="9"/>
  <c r="Q112" i="9"/>
  <c r="Q111" i="9" s="1"/>
  <c r="AE105" i="9"/>
  <c r="AA105" i="9"/>
  <c r="V105" i="9"/>
  <c r="P105" i="9"/>
  <c r="AH20" i="9"/>
  <c r="AD105" i="9"/>
  <c r="Z105" i="9"/>
  <c r="T105" i="9"/>
  <c r="O105" i="9"/>
  <c r="Y105" i="9"/>
  <c r="U105" i="9"/>
  <c r="Q105" i="9"/>
  <c r="AH108" i="9"/>
  <c r="AH107" i="9"/>
  <c r="AH80" i="9"/>
  <c r="AH109" i="9"/>
  <c r="T94" i="9"/>
  <c r="T91" i="9" s="1"/>
  <c r="P91" i="9"/>
  <c r="X103" i="9"/>
  <c r="X102" i="9" s="1"/>
  <c r="U103" i="9"/>
  <c r="U102" i="9" s="1"/>
  <c r="AD91" i="9"/>
  <c r="L94" i="9"/>
  <c r="Q95" i="9"/>
  <c r="Q94" i="9" s="1"/>
  <c r="Q91" i="9" s="1"/>
  <c r="X94" i="9"/>
  <c r="X91" i="9" s="1"/>
  <c r="AC91" i="9"/>
  <c r="S91" i="9"/>
  <c r="O91" i="9"/>
  <c r="Q104" i="9"/>
  <c r="Q103" i="9" s="1"/>
  <c r="Q102" i="9" s="1"/>
  <c r="Z91" i="9"/>
  <c r="AH99" i="9"/>
  <c r="Y94" i="9"/>
  <c r="Y91" i="9" s="1"/>
  <c r="AB91" i="9"/>
  <c r="W91" i="9"/>
  <c r="R91" i="9"/>
  <c r="N91" i="9"/>
  <c r="U94" i="9"/>
  <c r="U91" i="9" s="1"/>
  <c r="AE91" i="9"/>
  <c r="AA91" i="9"/>
  <c r="V91" i="9"/>
  <c r="M91" i="9"/>
  <c r="L103" i="9"/>
  <c r="L102" i="9" s="1"/>
  <c r="L92" i="9"/>
  <c r="AH97" i="9"/>
  <c r="AH98" i="9"/>
  <c r="AH101" i="9"/>
  <c r="AH96" i="9"/>
  <c r="AH100" i="9"/>
  <c r="AB81" i="9"/>
  <c r="V81" i="9"/>
  <c r="O81" i="9"/>
  <c r="AC81" i="9"/>
  <c r="W81" i="9"/>
  <c r="Y82" i="9"/>
  <c r="Y81" i="9" s="1"/>
  <c r="AE81" i="9"/>
  <c r="AA81" i="9"/>
  <c r="S81" i="9"/>
  <c r="N81" i="9"/>
  <c r="L82" i="9"/>
  <c r="L81" i="9" s="1"/>
  <c r="AH89" i="9"/>
  <c r="AD81" i="9"/>
  <c r="Z81" i="9"/>
  <c r="R81" i="9"/>
  <c r="M81" i="9"/>
  <c r="Q82" i="9"/>
  <c r="Q81" i="9" s="1"/>
  <c r="AH84" i="9"/>
  <c r="U82" i="9"/>
  <c r="X82" i="9"/>
  <c r="X81" i="9" s="1"/>
  <c r="T82" i="9"/>
  <c r="P81" i="9"/>
  <c r="AH86" i="9"/>
  <c r="L75" i="9"/>
  <c r="L74" i="9" s="1"/>
  <c r="AH87" i="9"/>
  <c r="L79" i="9"/>
  <c r="L78" i="9" s="1"/>
  <c r="X75" i="9"/>
  <c r="X74" i="9" s="1"/>
  <c r="AH88" i="9"/>
  <c r="AH85" i="9"/>
  <c r="AH57" i="9"/>
  <c r="AH58" i="9"/>
  <c r="Y75" i="9"/>
  <c r="Y74" i="9" s="1"/>
  <c r="U90" i="9"/>
  <c r="AG90" i="9" s="1"/>
  <c r="T89" i="9"/>
  <c r="Y79" i="9"/>
  <c r="Y78" i="9" s="1"/>
  <c r="AH54" i="9"/>
  <c r="V74" i="9"/>
  <c r="AH56" i="9"/>
  <c r="Q76" i="9"/>
  <c r="Q75" i="9" s="1"/>
  <c r="Q74" i="9" s="1"/>
  <c r="AD74" i="9"/>
  <c r="W74" i="9"/>
  <c r="L50" i="9"/>
  <c r="L49" i="9" s="1"/>
  <c r="U76" i="9"/>
  <c r="AG76" i="9" s="1"/>
  <c r="AH53" i="9"/>
  <c r="X50" i="9"/>
  <c r="X49" i="9" s="1"/>
  <c r="T50" i="9"/>
  <c r="T49" i="9" s="1"/>
  <c r="X69" i="9"/>
  <c r="X68" i="9" s="1"/>
  <c r="Q73" i="9"/>
  <c r="Q72" i="9" s="1"/>
  <c r="Q71" i="9" s="1"/>
  <c r="Y50" i="9"/>
  <c r="Y49" i="9" s="1"/>
  <c r="U73" i="9"/>
  <c r="T69" i="9"/>
  <c r="T68" i="9" s="1"/>
  <c r="S69" i="9"/>
  <c r="S68" i="9" s="1"/>
  <c r="AB68" i="9"/>
  <c r="U70" i="9"/>
  <c r="AH69" i="9"/>
  <c r="U51" i="9"/>
  <c r="AG51" i="9" s="1"/>
  <c r="Q70" i="9"/>
  <c r="Q69" i="9" s="1"/>
  <c r="Q68" i="9" s="1"/>
  <c r="AH59" i="9"/>
  <c r="Q51" i="9"/>
  <c r="Q50" i="9" s="1"/>
  <c r="Q49" i="9" s="1"/>
  <c r="U48" i="9"/>
  <c r="U47" i="9" s="1"/>
  <c r="U46" i="9" s="1"/>
  <c r="AH51" i="9"/>
  <c r="Q45" i="9"/>
  <c r="Q44" i="9" s="1"/>
  <c r="Q43" i="9" s="1"/>
  <c r="U33" i="9"/>
  <c r="AG33" i="9" s="1"/>
  <c r="AH47" i="9"/>
  <c r="U44" i="9"/>
  <c r="U43" i="9" s="1"/>
  <c r="X44" i="9"/>
  <c r="X43" i="9" s="1"/>
  <c r="AH48" i="9"/>
  <c r="AH44" i="9"/>
  <c r="Y35" i="9"/>
  <c r="Y34" i="9" s="1"/>
  <c r="X35" i="9"/>
  <c r="X34" i="9" s="1"/>
  <c r="Q35" i="9"/>
  <c r="Q34" i="9" s="1"/>
  <c r="AH42" i="9"/>
  <c r="L35" i="9"/>
  <c r="L34" i="9" s="1"/>
  <c r="T35" i="9"/>
  <c r="T34" i="9" s="1"/>
  <c r="AH38" i="9"/>
  <c r="U36" i="9"/>
  <c r="L30" i="9"/>
  <c r="L29" i="9" s="1"/>
  <c r="Y30" i="9"/>
  <c r="Y29" i="9" s="1"/>
  <c r="X30" i="9"/>
  <c r="X29" i="9" s="1"/>
  <c r="AH39" i="9"/>
  <c r="Q33" i="9"/>
  <c r="Q30" i="9" s="1"/>
  <c r="AH15" i="9"/>
  <c r="Y14" i="9"/>
  <c r="AG14" i="9" s="1"/>
  <c r="T30" i="9"/>
  <c r="T29" i="9" s="1"/>
  <c r="L27" i="9"/>
  <c r="L26" i="9" s="1"/>
  <c r="Q27" i="9"/>
  <c r="Q26" i="9" s="1"/>
  <c r="AH33" i="9"/>
  <c r="AH66" i="9"/>
  <c r="AH22" i="9"/>
  <c r="AH19" i="9"/>
  <c r="AH129" i="9"/>
  <c r="L143" i="9" l="1"/>
  <c r="AG82" i="9"/>
  <c r="AH146" i="9"/>
  <c r="Q163" i="9"/>
  <c r="Q143" i="9" s="1"/>
  <c r="X60" i="9"/>
  <c r="X25" i="9" s="1"/>
  <c r="AG113" i="9"/>
  <c r="AG124" i="9"/>
  <c r="AG128" i="9"/>
  <c r="AG165" i="9"/>
  <c r="AG63" i="9"/>
  <c r="AG65" i="9"/>
  <c r="AG140" i="9"/>
  <c r="AH140" i="9"/>
  <c r="AG47" i="9"/>
  <c r="AH72" i="9"/>
  <c r="AG70" i="9"/>
  <c r="AH76" i="9"/>
  <c r="AG73" i="9"/>
  <c r="AH155" i="9"/>
  <c r="AG146" i="9"/>
  <c r="U35" i="9"/>
  <c r="AG36" i="9"/>
  <c r="AG144" i="9"/>
  <c r="AG111" i="9"/>
  <c r="AG155" i="9"/>
  <c r="AG79" i="9"/>
  <c r="AG44" i="9"/>
  <c r="U134" i="9"/>
  <c r="AH126" i="9" s="1"/>
  <c r="AG135" i="9"/>
  <c r="U170" i="9"/>
  <c r="AH171" i="9"/>
  <c r="AH167" i="9"/>
  <c r="AG167" i="9"/>
  <c r="P49" i="9"/>
  <c r="P25" i="9" s="1"/>
  <c r="AG153" i="9"/>
  <c r="AG94" i="9"/>
  <c r="AG154" i="9"/>
  <c r="AG103" i="9"/>
  <c r="AH158" i="9"/>
  <c r="AB25" i="9"/>
  <c r="AB24" i="9" s="1"/>
  <c r="AB18" i="9" s="1"/>
  <c r="AB13" i="9" s="1"/>
  <c r="AB4" i="7" s="1"/>
  <c r="S25" i="9"/>
  <c r="S24" i="9" s="1"/>
  <c r="S18" i="9" s="1"/>
  <c r="S13" i="9" s="1"/>
  <c r="S4" i="7" s="1"/>
  <c r="R25" i="9"/>
  <c r="R24" i="9" s="1"/>
  <c r="R18" i="9" s="1"/>
  <c r="R13" i="9" s="1"/>
  <c r="R4" i="7" s="1"/>
  <c r="AE25" i="9"/>
  <c r="AE24" i="9" s="1"/>
  <c r="AE18" i="9" s="1"/>
  <c r="AE13" i="9" s="1"/>
  <c r="O25" i="9"/>
  <c r="O24" i="9" s="1"/>
  <c r="O18" i="9" s="1"/>
  <c r="O13" i="9" s="1"/>
  <c r="O4" i="7" s="1"/>
  <c r="W25" i="9"/>
  <c r="W24" i="9" s="1"/>
  <c r="W18" i="9" s="1"/>
  <c r="W13" i="9" s="1"/>
  <c r="W4" i="7" s="1"/>
  <c r="Y156" i="9"/>
  <c r="Y143" i="9" s="1"/>
  <c r="AH143" i="9" s="1"/>
  <c r="P143" i="9"/>
  <c r="M25" i="9"/>
  <c r="M24" i="9" s="1"/>
  <c r="M18" i="9" s="1"/>
  <c r="M13" i="9" s="1"/>
  <c r="M4" i="7" s="1"/>
  <c r="AA25" i="9"/>
  <c r="AA24" i="9" s="1"/>
  <c r="AA18" i="9" s="1"/>
  <c r="AA13" i="9" s="1"/>
  <c r="AA4" i="7" s="1"/>
  <c r="AC25" i="9"/>
  <c r="AC24" i="9" s="1"/>
  <c r="AC18" i="9" s="1"/>
  <c r="AC13" i="9" s="1"/>
  <c r="AC4" i="7" s="1"/>
  <c r="Z25" i="9"/>
  <c r="Z24" i="9" s="1"/>
  <c r="Z18" i="9" s="1"/>
  <c r="Z13" i="9" s="1"/>
  <c r="Z4" i="7" s="1"/>
  <c r="N25" i="9"/>
  <c r="N24" i="9" s="1"/>
  <c r="N18" i="9" s="1"/>
  <c r="N13" i="9" s="1"/>
  <c r="N4" i="7" s="1"/>
  <c r="V25" i="9"/>
  <c r="V24" i="9" s="1"/>
  <c r="V18" i="9" s="1"/>
  <c r="V13" i="9" s="1"/>
  <c r="V4" i="7" s="1"/>
  <c r="AD25" i="9"/>
  <c r="AD24" i="9" s="1"/>
  <c r="AD18" i="9" s="1"/>
  <c r="AD13" i="9" s="1"/>
  <c r="X143" i="9"/>
  <c r="AH14" i="9"/>
  <c r="T143" i="9"/>
  <c r="L120" i="9"/>
  <c r="U148" i="9"/>
  <c r="AG148" i="9" s="1"/>
  <c r="AH149" i="9"/>
  <c r="U156" i="9"/>
  <c r="AG156" i="9" s="1"/>
  <c r="AH157" i="9"/>
  <c r="Y60" i="9"/>
  <c r="AH144" i="9"/>
  <c r="U163" i="9"/>
  <c r="AG163" i="9" s="1"/>
  <c r="AH164" i="9"/>
  <c r="U152" i="9"/>
  <c r="AG152" i="9" s="1"/>
  <c r="U161" i="9"/>
  <c r="AG161" i="9" s="1"/>
  <c r="AH162" i="9"/>
  <c r="Y120" i="9"/>
  <c r="AH165" i="9"/>
  <c r="AH128" i="9"/>
  <c r="U120" i="9"/>
  <c r="Q120" i="9"/>
  <c r="AH125" i="9"/>
  <c r="AH134" i="9"/>
  <c r="AH124" i="9"/>
  <c r="U110" i="9"/>
  <c r="Q110" i="9"/>
  <c r="L91" i="9"/>
  <c r="AH113" i="9"/>
  <c r="AH106" i="9"/>
  <c r="AH114" i="9"/>
  <c r="AH93" i="9"/>
  <c r="AH94" i="9"/>
  <c r="AH103" i="9"/>
  <c r="AH82" i="9"/>
  <c r="T81" i="9"/>
  <c r="T25" i="9" s="1"/>
  <c r="U89" i="9"/>
  <c r="AH83" i="9"/>
  <c r="U75" i="9"/>
  <c r="AG75" i="9" s="1"/>
  <c r="AH55" i="9"/>
  <c r="AH67" i="9"/>
  <c r="U72" i="9"/>
  <c r="AG72" i="9" s="1"/>
  <c r="U69" i="9"/>
  <c r="AG69" i="9" s="1"/>
  <c r="AH28" i="9"/>
  <c r="AH52" i="9"/>
  <c r="U50" i="9"/>
  <c r="AG50" i="9" s="1"/>
  <c r="AH31" i="9"/>
  <c r="AH50" i="9"/>
  <c r="AH36" i="9"/>
  <c r="U30" i="9"/>
  <c r="AH35" i="9"/>
  <c r="AH30" i="9"/>
  <c r="AH37" i="9"/>
  <c r="AH41" i="9"/>
  <c r="AH45" i="9"/>
  <c r="Q29" i="9"/>
  <c r="AH141" i="9"/>
  <c r="AH104" i="9"/>
  <c r="AH77" i="9"/>
  <c r="AC7" i="9" l="1"/>
  <c r="P24" i="9"/>
  <c r="U81" i="9"/>
  <c r="AG89" i="9"/>
  <c r="U168" i="9"/>
  <c r="AG170" i="9"/>
  <c r="L25" i="9"/>
  <c r="L24" i="9" s="1"/>
  <c r="L18" i="9" s="1"/>
  <c r="L13" i="9" s="1"/>
  <c r="L4" i="7" s="1"/>
  <c r="U131" i="9"/>
  <c r="AG134" i="9"/>
  <c r="U34" i="9"/>
  <c r="AG35" i="9"/>
  <c r="U29" i="9"/>
  <c r="AG30" i="9"/>
  <c r="AH170" i="9"/>
  <c r="AD7" i="9"/>
  <c r="AD4" i="7"/>
  <c r="AE6" i="9"/>
  <c r="AE4" i="7"/>
  <c r="AE5" i="7" s="1"/>
  <c r="AB7" i="9"/>
  <c r="X24" i="9"/>
  <c r="X18" i="9" s="1"/>
  <c r="X13" i="9" s="1"/>
  <c r="X4" i="7" s="1"/>
  <c r="Q25" i="9"/>
  <c r="Q24" i="9" s="1"/>
  <c r="Q18" i="9" s="1"/>
  <c r="Q13" i="9" s="1"/>
  <c r="Q4" i="7" s="1"/>
  <c r="Y25" i="9"/>
  <c r="Y24" i="9" s="1"/>
  <c r="AH24" i="9" s="1"/>
  <c r="T24" i="9"/>
  <c r="T18" i="9" s="1"/>
  <c r="T13" i="9" s="1"/>
  <c r="T4" i="7" s="1"/>
  <c r="AH152" i="9"/>
  <c r="AH148" i="9"/>
  <c r="AH161" i="9"/>
  <c r="AH156" i="9"/>
  <c r="U143" i="9"/>
  <c r="AG143" i="9" s="1"/>
  <c r="AH163" i="9"/>
  <c r="AH73" i="9"/>
  <c r="AH75" i="9"/>
  <c r="AH90" i="9"/>
  <c r="U74" i="9"/>
  <c r="AH70" i="9"/>
  <c r="AH32" i="9"/>
  <c r="U71" i="9"/>
  <c r="U68" i="9"/>
  <c r="AH79" i="9" s="1"/>
  <c r="U49" i="9"/>
  <c r="AH65" i="9"/>
  <c r="AH111" i="9"/>
  <c r="AH61" i="9"/>
  <c r="AH92" i="9"/>
  <c r="AG168" i="9" l="1"/>
  <c r="AH168" i="9"/>
  <c r="P18" i="9"/>
  <c r="Y18" i="9"/>
  <c r="Y13" i="9" s="1"/>
  <c r="Y4" i="7" s="1"/>
  <c r="U25" i="9"/>
  <c r="AH121" i="9"/>
  <c r="U24" i="9" l="1"/>
  <c r="AH25" i="9" s="1"/>
  <c r="AG25" i="9"/>
  <c r="P13" i="9"/>
  <c r="AH18" i="9"/>
  <c r="AH13" i="9"/>
  <c r="P4" i="7" l="1"/>
  <c r="U18" i="9"/>
  <c r="AG24" i="9"/>
  <c r="AB127" i="7"/>
  <c r="T125" i="7"/>
  <c r="X125" i="7"/>
  <c r="T156" i="7"/>
  <c r="Q156" i="7" s="1"/>
  <c r="T151" i="7"/>
  <c r="Q151" i="7" s="1"/>
  <c r="T149" i="7"/>
  <c r="Q149" i="7" s="1"/>
  <c r="T144" i="7"/>
  <c r="Q144" i="7" s="1"/>
  <c r="T142" i="7"/>
  <c r="Q142" i="7" s="1"/>
  <c r="T140" i="7"/>
  <c r="Q140" i="7" s="1"/>
  <c r="T136" i="7"/>
  <c r="Q136" i="7" s="1"/>
  <c r="T134" i="7"/>
  <c r="Q134" i="7" s="1"/>
  <c r="Q133" i="7" s="1"/>
  <c r="R133" i="7"/>
  <c r="S133" i="7"/>
  <c r="T133" i="7"/>
  <c r="T132" i="7"/>
  <c r="Q132" i="7"/>
  <c r="T34" i="7"/>
  <c r="T16" i="7"/>
  <c r="X16" i="7"/>
  <c r="U13" i="9" l="1"/>
  <c r="AG18" i="9"/>
  <c r="Q16" i="7"/>
  <c r="Q15" i="7"/>
  <c r="T159" i="7"/>
  <c r="T158" i="7"/>
  <c r="T154" i="7"/>
  <c r="T126" i="7"/>
  <c r="Q126" i="7" s="1"/>
  <c r="Q127" i="7"/>
  <c r="T123" i="7"/>
  <c r="Q123" i="7" s="1"/>
  <c r="Q119" i="7"/>
  <c r="Q120" i="7"/>
  <c r="T115" i="7"/>
  <c r="Q115" i="7" s="1"/>
  <c r="T114" i="7"/>
  <c r="Q114" i="7" s="1"/>
  <c r="T113" i="7"/>
  <c r="T112" i="7"/>
  <c r="Q116" i="7"/>
  <c r="S110" i="7"/>
  <c r="T109" i="7"/>
  <c r="Q109" i="7" s="1"/>
  <c r="Q108" i="7"/>
  <c r="T103" i="7"/>
  <c r="X103" i="7"/>
  <c r="T102" i="7"/>
  <c r="Q102" i="7" s="1"/>
  <c r="T96" i="7"/>
  <c r="T95" i="7"/>
  <c r="T94" i="7"/>
  <c r="T93" i="7"/>
  <c r="X93" i="7"/>
  <c r="T92" i="7"/>
  <c r="T91" i="7"/>
  <c r="T89" i="7"/>
  <c r="Q89" i="7" s="1"/>
  <c r="X89" i="7"/>
  <c r="W89" i="7"/>
  <c r="U89" i="7" s="1"/>
  <c r="T37" i="7"/>
  <c r="T39" i="7"/>
  <c r="T41" i="7"/>
  <c r="Q35" i="7"/>
  <c r="Q31" i="7"/>
  <c r="U31" i="7"/>
  <c r="T29" i="7"/>
  <c r="X29" i="7"/>
  <c r="T28" i="7"/>
  <c r="X28" i="7"/>
  <c r="S28" i="7"/>
  <c r="T27" i="7"/>
  <c r="Q27" i="7" s="1"/>
  <c r="Q25" i="7"/>
  <c r="U18" i="7"/>
  <c r="T58" i="7"/>
  <c r="T53" i="7"/>
  <c r="S46" i="7"/>
  <c r="T46" i="7"/>
  <c r="T49" i="7"/>
  <c r="AC13" i="7"/>
  <c r="T83" i="7"/>
  <c r="T81" i="7"/>
  <c r="T80" i="7"/>
  <c r="T79" i="7"/>
  <c r="T78" i="7"/>
  <c r="T77" i="7"/>
  <c r="T76" i="7"/>
  <c r="Q75" i="7"/>
  <c r="T69" i="7"/>
  <c r="T68" i="7"/>
  <c r="T65" i="7"/>
  <c r="T63" i="7"/>
  <c r="Q63" i="7" s="1"/>
  <c r="T62" i="7"/>
  <c r="Q62" i="7" s="1"/>
  <c r="T61" i="7"/>
  <c r="Q61" i="7" s="1"/>
  <c r="T60" i="7"/>
  <c r="Q60" i="7" s="1"/>
  <c r="T59" i="7"/>
  <c r="Q59" i="7" s="1"/>
  <c r="T50" i="7"/>
  <c r="Q43" i="7"/>
  <c r="AD13" i="7"/>
  <c r="U4" i="7" l="1"/>
  <c r="AG13" i="9"/>
  <c r="Y31" i="7"/>
  <c r="Y153" i="7"/>
  <c r="M152" i="7"/>
  <c r="N152" i="7"/>
  <c r="O152" i="7"/>
  <c r="P152" i="7"/>
  <c r="R152" i="7"/>
  <c r="S152" i="7"/>
  <c r="T152" i="7"/>
  <c r="V152" i="7"/>
  <c r="W152" i="7"/>
  <c r="Z152" i="7"/>
  <c r="AA152" i="7"/>
  <c r="AB152" i="7"/>
  <c r="AC152" i="7"/>
  <c r="AD152" i="7"/>
  <c r="AE152" i="7"/>
  <c r="L153" i="7"/>
  <c r="M148" i="7"/>
  <c r="N148" i="7"/>
  <c r="O148" i="7"/>
  <c r="Q148" i="7"/>
  <c r="R148" i="7"/>
  <c r="S148" i="7"/>
  <c r="T148" i="7"/>
  <c r="V148" i="7"/>
  <c r="W148" i="7"/>
  <c r="Z148" i="7"/>
  <c r="AA148" i="7"/>
  <c r="AB148" i="7"/>
  <c r="AC148" i="7"/>
  <c r="AD148" i="7"/>
  <c r="AE148" i="7"/>
  <c r="L148" i="7"/>
  <c r="M141" i="7"/>
  <c r="N141" i="7"/>
  <c r="O141" i="7"/>
  <c r="Q141" i="7"/>
  <c r="R141" i="7"/>
  <c r="S141" i="7"/>
  <c r="T141" i="7"/>
  <c r="V141" i="7"/>
  <c r="W141" i="7"/>
  <c r="Z141" i="7"/>
  <c r="AA141" i="7"/>
  <c r="AB141" i="7"/>
  <c r="AC141" i="7"/>
  <c r="AD141" i="7"/>
  <c r="AE141" i="7"/>
  <c r="L141" i="7"/>
  <c r="M139" i="7"/>
  <c r="N139" i="7"/>
  <c r="O139" i="7"/>
  <c r="Q139" i="7"/>
  <c r="R139" i="7"/>
  <c r="S139" i="7"/>
  <c r="T139" i="7"/>
  <c r="V139" i="7"/>
  <c r="W139" i="7"/>
  <c r="Z139" i="7"/>
  <c r="AA139" i="7"/>
  <c r="AB139" i="7"/>
  <c r="AC139" i="7"/>
  <c r="AD139" i="7"/>
  <c r="AE139" i="7"/>
  <c r="L139" i="7"/>
  <c r="Y138" i="7"/>
  <c r="Y137" i="7" s="1"/>
  <c r="U138" i="7"/>
  <c r="U137" i="7" s="1"/>
  <c r="M137" i="7"/>
  <c r="N137" i="7"/>
  <c r="O137" i="7"/>
  <c r="P137" i="7"/>
  <c r="Q137" i="7"/>
  <c r="R137" i="7"/>
  <c r="S137" i="7"/>
  <c r="T137" i="7"/>
  <c r="V137" i="7"/>
  <c r="W137" i="7"/>
  <c r="X137" i="7"/>
  <c r="Z137" i="7"/>
  <c r="AA137" i="7"/>
  <c r="AB137" i="7"/>
  <c r="AC137" i="7"/>
  <c r="AD137" i="7"/>
  <c r="AE137" i="7"/>
  <c r="L138" i="7"/>
  <c r="L137" i="7" s="1"/>
  <c r="M133" i="7"/>
  <c r="N133" i="7"/>
  <c r="O133" i="7"/>
  <c r="V133" i="7"/>
  <c r="W133" i="7"/>
  <c r="Z133" i="7"/>
  <c r="AA133" i="7"/>
  <c r="AB133" i="7"/>
  <c r="AC133" i="7"/>
  <c r="AD133" i="7"/>
  <c r="AE133" i="7"/>
  <c r="L133" i="7"/>
  <c r="M131" i="7"/>
  <c r="N131" i="7"/>
  <c r="O131" i="7"/>
  <c r="Q131" i="7"/>
  <c r="R131" i="7"/>
  <c r="S131" i="7"/>
  <c r="T131" i="7"/>
  <c r="V131" i="7"/>
  <c r="W131" i="7"/>
  <c r="Z131" i="7"/>
  <c r="AA131" i="7"/>
  <c r="AB131" i="7"/>
  <c r="AC131" i="7"/>
  <c r="AD131" i="7"/>
  <c r="AE131" i="7"/>
  <c r="L131" i="7"/>
  <c r="T74" i="7"/>
  <c r="AD86" i="7"/>
  <c r="AD84" i="7" s="1"/>
  <c r="M84" i="7"/>
  <c r="N84" i="7"/>
  <c r="O84" i="7"/>
  <c r="P84" i="7"/>
  <c r="R84" i="7"/>
  <c r="S84" i="7"/>
  <c r="T84" i="7"/>
  <c r="V84" i="7"/>
  <c r="W84" i="7"/>
  <c r="X84" i="7"/>
  <c r="Z84" i="7"/>
  <c r="AA84" i="7"/>
  <c r="AB84" i="7"/>
  <c r="AC84" i="7"/>
  <c r="AE84" i="7"/>
  <c r="X38" i="7"/>
  <c r="T38" i="7"/>
  <c r="Y86" i="7" l="1"/>
  <c r="AH137" i="7"/>
  <c r="AH138" i="7"/>
  <c r="AH153" i="7"/>
  <c r="X50" i="7" l="1"/>
  <c r="AC125" i="7" l="1"/>
  <c r="Y89" i="7" l="1"/>
  <c r="Y88" i="7" s="1"/>
  <c r="L89" i="7"/>
  <c r="AE88" i="7"/>
  <c r="AD88" i="7"/>
  <c r="AC88" i="7"/>
  <c r="AB88" i="7"/>
  <c r="AA88" i="7"/>
  <c r="Z88" i="7"/>
  <c r="X88" i="7"/>
  <c r="W88" i="7"/>
  <c r="V88" i="7"/>
  <c r="U88" i="7"/>
  <c r="T88" i="7"/>
  <c r="S88" i="7"/>
  <c r="R88" i="7"/>
  <c r="Q88" i="7"/>
  <c r="P88" i="7"/>
  <c r="O88" i="7"/>
  <c r="N88" i="7"/>
  <c r="M88" i="7"/>
  <c r="L88" i="7" l="1"/>
  <c r="AH89" i="7" s="1"/>
  <c r="AG88" i="7"/>
  <c r="X34" i="7" l="1"/>
  <c r="Y127" i="7"/>
  <c r="M124" i="7"/>
  <c r="N124" i="7"/>
  <c r="O124" i="7"/>
  <c r="P124" i="7"/>
  <c r="S124" i="7"/>
  <c r="W124" i="7"/>
  <c r="Z124" i="7"/>
  <c r="AA124" i="7"/>
  <c r="AB124" i="7"/>
  <c r="AC124" i="7"/>
  <c r="AD124" i="7"/>
  <c r="AE124" i="7"/>
  <c r="X127" i="7"/>
  <c r="U127" i="7" s="1"/>
  <c r="L127" i="7"/>
  <c r="Y123" i="7"/>
  <c r="Y122" i="7" s="1"/>
  <c r="X123" i="7"/>
  <c r="U123" i="7" s="1"/>
  <c r="U122" i="7" s="1"/>
  <c r="M122" i="7"/>
  <c r="N122" i="7"/>
  <c r="O122" i="7"/>
  <c r="P122" i="7"/>
  <c r="Q122" i="7"/>
  <c r="R122" i="7"/>
  <c r="S122" i="7"/>
  <c r="T122" i="7"/>
  <c r="V122" i="7"/>
  <c r="W122" i="7"/>
  <c r="Z122" i="7"/>
  <c r="AA122" i="7"/>
  <c r="AB122" i="7"/>
  <c r="AC122" i="7"/>
  <c r="AD122" i="7"/>
  <c r="AE122" i="7"/>
  <c r="L123" i="7"/>
  <c r="M71" i="7"/>
  <c r="N71" i="7"/>
  <c r="O71" i="7"/>
  <c r="P71" i="7"/>
  <c r="Q71" i="7"/>
  <c r="R71" i="7"/>
  <c r="S71" i="7"/>
  <c r="T71" i="7"/>
  <c r="V71" i="7"/>
  <c r="W71" i="7"/>
  <c r="Z71" i="7"/>
  <c r="AA71" i="7"/>
  <c r="AB71" i="7"/>
  <c r="AC71" i="7"/>
  <c r="AD71" i="7"/>
  <c r="AE71" i="7"/>
  <c r="Y72" i="7"/>
  <c r="U72" i="7"/>
  <c r="L72" i="7"/>
  <c r="Z57" i="7"/>
  <c r="AA57" i="7"/>
  <c r="AB57" i="7"/>
  <c r="AC57" i="7"/>
  <c r="AD57" i="7"/>
  <c r="AE57" i="7"/>
  <c r="M57" i="7"/>
  <c r="N57" i="7"/>
  <c r="O57" i="7"/>
  <c r="P57" i="7"/>
  <c r="R57" i="7"/>
  <c r="S57" i="7"/>
  <c r="T57" i="7"/>
  <c r="V57" i="7"/>
  <c r="W57" i="7"/>
  <c r="Y63" i="7"/>
  <c r="X63" i="7"/>
  <c r="U63" i="7" s="1"/>
  <c r="L63" i="7"/>
  <c r="Y62" i="7"/>
  <c r="U62" i="7"/>
  <c r="L62" i="7"/>
  <c r="X61" i="7"/>
  <c r="U61" i="7" s="1"/>
  <c r="Y61" i="7"/>
  <c r="L60" i="7"/>
  <c r="L61" i="7"/>
  <c r="L59" i="7"/>
  <c r="Y60" i="7"/>
  <c r="X60" i="7"/>
  <c r="U60" i="7" s="1"/>
  <c r="Y59" i="7"/>
  <c r="U59" i="7"/>
  <c r="Y119" i="7"/>
  <c r="AH62" i="7" l="1"/>
  <c r="AH61" i="7"/>
  <c r="AH60" i="7"/>
  <c r="AH63" i="7"/>
  <c r="L122" i="7"/>
  <c r="AH123" i="7" s="1"/>
  <c r="X122" i="7"/>
  <c r="AG122" i="7"/>
  <c r="U119" i="7" l="1"/>
  <c r="L119" i="7"/>
  <c r="J37" i="8" l="1"/>
  <c r="I37" i="8"/>
  <c r="D37" i="8"/>
  <c r="C37" i="8" s="1"/>
  <c r="H36" i="8"/>
  <c r="D36" i="8" s="1"/>
  <c r="C36" i="8" s="1"/>
  <c r="I35" i="8"/>
  <c r="H35" i="8" s="1"/>
  <c r="H34" i="8"/>
  <c r="D34" i="8" s="1"/>
  <c r="C34" i="8" s="1"/>
  <c r="K33" i="8"/>
  <c r="F33" i="8"/>
  <c r="O32" i="8"/>
  <c r="K32" i="8"/>
  <c r="H32" i="8" s="1"/>
  <c r="K31" i="8"/>
  <c r="I31" i="8"/>
  <c r="I30" i="8"/>
  <c r="H30" i="8" s="1"/>
  <c r="D30" i="8" s="1"/>
  <c r="C30" i="8" s="1"/>
  <c r="I29" i="8"/>
  <c r="H29" i="8"/>
  <c r="H28" i="8"/>
  <c r="D28" i="8" s="1"/>
  <c r="C28" i="8" s="1"/>
  <c r="H27" i="8"/>
  <c r="D27" i="8"/>
  <c r="C27" i="8" s="1"/>
  <c r="I26" i="8"/>
  <c r="H26" i="8"/>
  <c r="K25" i="8"/>
  <c r="J25" i="8"/>
  <c r="I25" i="8"/>
  <c r="K24" i="8"/>
  <c r="I24" i="8"/>
  <c r="O23" i="8"/>
  <c r="N23" i="8"/>
  <c r="M23" i="8"/>
  <c r="L23" i="8"/>
  <c r="J23" i="8"/>
  <c r="G23" i="8"/>
  <c r="F23" i="8"/>
  <c r="E23" i="8"/>
  <c r="M22" i="8"/>
  <c r="H22" i="8"/>
  <c r="D22" i="8" s="1"/>
  <c r="M21" i="8"/>
  <c r="M18" i="8" s="1"/>
  <c r="M13" i="8" s="1"/>
  <c r="K21" i="8"/>
  <c r="J21" i="8"/>
  <c r="I21" i="8"/>
  <c r="H21" i="8"/>
  <c r="F21" i="8"/>
  <c r="I20" i="8"/>
  <c r="H20" i="8" s="1"/>
  <c r="D20" i="8" s="1"/>
  <c r="C20" i="8" s="1"/>
  <c r="M19" i="8"/>
  <c r="K19" i="8"/>
  <c r="K18" i="8" s="1"/>
  <c r="J19" i="8"/>
  <c r="I19" i="8"/>
  <c r="F19" i="8"/>
  <c r="F18" i="8" s="1"/>
  <c r="O18" i="8"/>
  <c r="O13" i="8" s="1"/>
  <c r="N18" i="8"/>
  <c r="L18" i="8"/>
  <c r="J18" i="8"/>
  <c r="G18" i="8"/>
  <c r="G13" i="8" s="1"/>
  <c r="E18" i="8"/>
  <c r="H17" i="8"/>
  <c r="D17" i="8"/>
  <c r="C17" i="8" s="1"/>
  <c r="H16" i="8"/>
  <c r="D16" i="8"/>
  <c r="C16" i="8" s="1"/>
  <c r="H15" i="8"/>
  <c r="D15" i="8"/>
  <c r="C15" i="8" s="1"/>
  <c r="H14" i="8"/>
  <c r="D14" i="8"/>
  <c r="C14" i="8" s="1"/>
  <c r="L13" i="8"/>
  <c r="E13" i="8"/>
  <c r="Y109" i="7"/>
  <c r="X109" i="7"/>
  <c r="U109" i="7" s="1"/>
  <c r="L109" i="7"/>
  <c r="X83" i="7"/>
  <c r="X82" i="7"/>
  <c r="X79" i="7"/>
  <c r="X81" i="7"/>
  <c r="X78" i="7"/>
  <c r="X77" i="7"/>
  <c r="L31" i="7"/>
  <c r="AE30" i="7"/>
  <c r="AD30" i="7"/>
  <c r="AC30" i="7"/>
  <c r="AB30" i="7"/>
  <c r="AA30" i="7"/>
  <c r="Z30" i="7"/>
  <c r="Y30" i="7"/>
  <c r="X30" i="7"/>
  <c r="W30" i="7"/>
  <c r="V30" i="7"/>
  <c r="U30" i="7"/>
  <c r="T30" i="7"/>
  <c r="S30" i="7"/>
  <c r="R30" i="7"/>
  <c r="Q30" i="7"/>
  <c r="P30" i="7"/>
  <c r="O30" i="7"/>
  <c r="N30" i="7"/>
  <c r="M30" i="7"/>
  <c r="U25" i="7"/>
  <c r="U24" i="7" s="1"/>
  <c r="Y25" i="7"/>
  <c r="Y24" i="7" s="1"/>
  <c r="M24" i="7"/>
  <c r="N24" i="7"/>
  <c r="O24" i="7"/>
  <c r="P24" i="7"/>
  <c r="Q24" i="7"/>
  <c r="R24" i="7"/>
  <c r="S24" i="7"/>
  <c r="T24" i="7"/>
  <c r="V24" i="7"/>
  <c r="W24" i="7"/>
  <c r="X24" i="7"/>
  <c r="Z24" i="7"/>
  <c r="AA24" i="7"/>
  <c r="AB24" i="7"/>
  <c r="AC24" i="7"/>
  <c r="AD24" i="7"/>
  <c r="AE24" i="7"/>
  <c r="L25" i="7"/>
  <c r="X92" i="7"/>
  <c r="X91" i="7"/>
  <c r="I18" i="8" l="1"/>
  <c r="D29" i="8"/>
  <c r="C29" i="8" s="1"/>
  <c r="H19" i="8"/>
  <c r="D19" i="8" s="1"/>
  <c r="C19" i="8" s="1"/>
  <c r="I23" i="8"/>
  <c r="I13" i="8" s="1"/>
  <c r="I41" i="8" s="1"/>
  <c r="H25" i="8"/>
  <c r="D25" i="8" s="1"/>
  <c r="C25" i="8" s="1"/>
  <c r="D32" i="8"/>
  <c r="C32" i="8" s="1"/>
  <c r="F13" i="8"/>
  <c r="D21" i="8"/>
  <c r="C21" i="8" s="1"/>
  <c r="C22" i="8"/>
  <c r="D26" i="8"/>
  <c r="C26" i="8" s="1"/>
  <c r="H31" i="8"/>
  <c r="D31" i="8" s="1"/>
  <c r="C31" i="8" s="1"/>
  <c r="N13" i="8"/>
  <c r="D35" i="8"/>
  <c r="C35" i="8" s="1"/>
  <c r="H18" i="8"/>
  <c r="D18" i="8" s="1"/>
  <c r="L30" i="7"/>
  <c r="AH31" i="7" s="1"/>
  <c r="L24" i="7"/>
  <c r="AH25" i="7" s="1"/>
  <c r="AG30" i="7"/>
  <c r="J13" i="8"/>
  <c r="J41" i="8" s="1"/>
  <c r="K23" i="8"/>
  <c r="K13" i="8" s="1"/>
  <c r="K41" i="8" s="1"/>
  <c r="H24" i="8"/>
  <c r="D24" i="8" s="1"/>
  <c r="C24" i="8" s="1"/>
  <c r="H33" i="8"/>
  <c r="D33" i="8" s="1"/>
  <c r="C33" i="8" s="1"/>
  <c r="AG24" i="7"/>
  <c r="H23" i="8" l="1"/>
  <c r="H13" i="8" s="1"/>
  <c r="C18" i="8"/>
  <c r="D23" i="8"/>
  <c r="C23" i="8" s="1"/>
  <c r="D13" i="8" l="1"/>
  <c r="B38" i="8" s="1"/>
  <c r="C13" i="8"/>
  <c r="P23" i="8" s="1"/>
  <c r="C39" i="8" l="1"/>
  <c r="C40" i="8" s="1"/>
  <c r="P13" i="8"/>
  <c r="P21" i="8"/>
  <c r="P34" i="8"/>
  <c r="P20" i="8"/>
  <c r="P19" i="8"/>
  <c r="P16" i="8"/>
  <c r="P36" i="8"/>
  <c r="P26" i="8"/>
  <c r="P15" i="8"/>
  <c r="P29" i="8"/>
  <c r="P28" i="8"/>
  <c r="P25" i="8"/>
  <c r="P31" i="8"/>
  <c r="P35" i="8"/>
  <c r="P32" i="8"/>
  <c r="P17" i="8"/>
  <c r="P37" i="8"/>
  <c r="P14" i="8"/>
  <c r="P22" i="8"/>
  <c r="P27" i="8"/>
  <c r="P33" i="8"/>
  <c r="P24" i="8"/>
  <c r="P18" i="8"/>
  <c r="Y114" i="7" l="1"/>
  <c r="X114" i="7"/>
  <c r="U114" i="7" s="1"/>
  <c r="L114" i="7"/>
  <c r="U108" i="7"/>
  <c r="Y108" i="7"/>
  <c r="Y110" i="7"/>
  <c r="AH110" i="7" s="1"/>
  <c r="M107" i="7"/>
  <c r="O107" i="7"/>
  <c r="P107" i="7"/>
  <c r="Q107" i="7"/>
  <c r="R107" i="7"/>
  <c r="S107" i="7"/>
  <c r="T107" i="7"/>
  <c r="V107" i="7"/>
  <c r="W107" i="7"/>
  <c r="X107" i="7"/>
  <c r="Z107" i="7"/>
  <c r="AA107" i="7"/>
  <c r="AB107" i="7"/>
  <c r="AC107" i="7"/>
  <c r="AD107" i="7"/>
  <c r="AE107" i="7"/>
  <c r="L108" i="7"/>
  <c r="X112" i="7"/>
  <c r="N110" i="7"/>
  <c r="N107" i="7" s="1"/>
  <c r="U110" i="7"/>
  <c r="Y126" i="7"/>
  <c r="X126" i="7"/>
  <c r="U126" i="7" s="1"/>
  <c r="L126" i="7"/>
  <c r="V125" i="7"/>
  <c r="V124" i="7" s="1"/>
  <c r="X27" i="7"/>
  <c r="Y75" i="7"/>
  <c r="U75" i="7"/>
  <c r="L75" i="7"/>
  <c r="X158" i="7"/>
  <c r="X159" i="7"/>
  <c r="AH109" i="7" l="1"/>
  <c r="AH127" i="7"/>
  <c r="AG126" i="7"/>
  <c r="AG114" i="7"/>
  <c r="L110" i="7"/>
  <c r="U107" i="7"/>
  <c r="Y107" i="7"/>
  <c r="L107" i="7" l="1"/>
  <c r="AG107" i="7"/>
  <c r="AH108" i="7" l="1"/>
  <c r="P41" i="7"/>
  <c r="X39" i="7"/>
  <c r="X96" i="7"/>
  <c r="X94" i="7"/>
  <c r="X76" i="7" l="1"/>
  <c r="Y102" i="7"/>
  <c r="X102" i="7"/>
  <c r="U102" i="7" s="1"/>
  <c r="M101" i="7"/>
  <c r="N101" i="7"/>
  <c r="O101" i="7"/>
  <c r="P101" i="7"/>
  <c r="R101" i="7"/>
  <c r="S101" i="7"/>
  <c r="T101" i="7"/>
  <c r="V101" i="7"/>
  <c r="W101" i="7"/>
  <c r="Z101" i="7"/>
  <c r="AA101" i="7"/>
  <c r="AB101" i="7"/>
  <c r="AC101" i="7"/>
  <c r="AD101" i="7"/>
  <c r="AE101" i="7"/>
  <c r="L102" i="7"/>
  <c r="X68" i="7"/>
  <c r="X37" i="7"/>
  <c r="U16" i="7"/>
  <c r="AC26" i="7" l="1"/>
  <c r="AC23" i="7" s="1"/>
  <c r="AC33" i="7"/>
  <c r="AC36" i="7"/>
  <c r="AC42" i="7"/>
  <c r="AC45" i="7"/>
  <c r="AC44" i="7" s="1"/>
  <c r="AC48" i="7"/>
  <c r="AC47" i="7" s="1"/>
  <c r="AC52" i="7"/>
  <c r="AC54" i="7"/>
  <c r="AC64" i="7"/>
  <c r="AC56" i="7" s="1"/>
  <c r="AC67" i="7"/>
  <c r="AC66" i="7" s="1"/>
  <c r="AC73" i="7"/>
  <c r="AC90" i="7"/>
  <c r="AC87" i="7" s="1"/>
  <c r="AC98" i="7"/>
  <c r="AC97" i="7" s="1"/>
  <c r="AC104" i="7"/>
  <c r="AC100" i="7" s="1"/>
  <c r="AC111" i="7"/>
  <c r="AC117" i="7"/>
  <c r="AC128" i="7"/>
  <c r="AC121" i="7" s="1"/>
  <c r="AC135" i="7"/>
  <c r="AC145" i="7"/>
  <c r="AC143" i="7" s="1"/>
  <c r="AC150" i="7"/>
  <c r="AC157" i="7"/>
  <c r="AC155" i="7" s="1"/>
  <c r="AB26" i="7"/>
  <c r="AB23" i="7" s="1"/>
  <c r="AB33" i="7"/>
  <c r="AB36" i="7"/>
  <c r="AB42" i="7"/>
  <c r="AB45" i="7"/>
  <c r="AB44" i="7" s="1"/>
  <c r="AB48" i="7"/>
  <c r="AB47" i="7" s="1"/>
  <c r="AB52" i="7"/>
  <c r="AB54" i="7"/>
  <c r="AB64" i="7"/>
  <c r="AB67" i="7"/>
  <c r="AB66" i="7" s="1"/>
  <c r="AB73" i="7"/>
  <c r="AB90" i="7"/>
  <c r="AB87" i="7" s="1"/>
  <c r="AB98" i="7"/>
  <c r="AB97" i="7" s="1"/>
  <c r="AB104" i="7"/>
  <c r="AB100" i="7" s="1"/>
  <c r="AB111" i="7"/>
  <c r="AB117" i="7"/>
  <c r="AB128" i="7"/>
  <c r="AB121" i="7" s="1"/>
  <c r="AB135" i="7"/>
  <c r="AB145" i="7"/>
  <c r="AB143" i="7" s="1"/>
  <c r="AB150" i="7"/>
  <c r="AB157" i="7"/>
  <c r="AB155" i="7" s="1"/>
  <c r="AD90" i="7"/>
  <c r="AD87" i="7" s="1"/>
  <c r="AD26" i="7"/>
  <c r="AD23" i="7" s="1"/>
  <c r="AD33" i="7"/>
  <c r="AD36" i="7"/>
  <c r="AD42" i="7"/>
  <c r="AD45" i="7"/>
  <c r="AD44" i="7" s="1"/>
  <c r="AD48" i="7"/>
  <c r="AD47" i="7" s="1"/>
  <c r="AD52" i="7"/>
  <c r="AD54" i="7"/>
  <c r="AD64" i="7"/>
  <c r="AD56" i="7" s="1"/>
  <c r="AD67" i="7"/>
  <c r="AD66" i="7" s="1"/>
  <c r="AD73" i="7"/>
  <c r="AD70" i="7" s="1"/>
  <c r="AD98" i="7"/>
  <c r="AD97" i="7" s="1"/>
  <c r="AD104" i="7"/>
  <c r="AD100" i="7" s="1"/>
  <c r="AD111" i="7"/>
  <c r="AD117" i="7"/>
  <c r="AD128" i="7"/>
  <c r="AD121" i="7" s="1"/>
  <c r="AD135" i="7"/>
  <c r="AD145" i="7"/>
  <c r="AD143" i="7" s="1"/>
  <c r="AD150" i="7"/>
  <c r="AD157" i="7"/>
  <c r="AD155" i="7" s="1"/>
  <c r="M26" i="7"/>
  <c r="M23" i="7" s="1"/>
  <c r="M33" i="7"/>
  <c r="M36" i="7"/>
  <c r="M42" i="7"/>
  <c r="M45" i="7"/>
  <c r="M44" i="7" s="1"/>
  <c r="M48" i="7"/>
  <c r="M47" i="7" s="1"/>
  <c r="M52" i="7"/>
  <c r="M54" i="7"/>
  <c r="M64" i="7"/>
  <c r="M56" i="7" s="1"/>
  <c r="M67" i="7"/>
  <c r="M66" i="7" s="1"/>
  <c r="M73" i="7"/>
  <c r="M70" i="7" s="1"/>
  <c r="M90" i="7"/>
  <c r="M87" i="7" s="1"/>
  <c r="M98" i="7"/>
  <c r="M97" i="7" s="1"/>
  <c r="M104" i="7"/>
  <c r="M100" i="7" s="1"/>
  <c r="M111" i="7"/>
  <c r="M117" i="7"/>
  <c r="M128" i="7"/>
  <c r="M121" i="7" s="1"/>
  <c r="N26" i="7"/>
  <c r="N23" i="7" s="1"/>
  <c r="N33" i="7"/>
  <c r="N36" i="7"/>
  <c r="N42" i="7"/>
  <c r="N45" i="7"/>
  <c r="N44" i="7" s="1"/>
  <c r="N48" i="7"/>
  <c r="N47" i="7" s="1"/>
  <c r="N52" i="7"/>
  <c r="N54" i="7"/>
  <c r="N64" i="7"/>
  <c r="N56" i="7" s="1"/>
  <c r="N67" i="7"/>
  <c r="N66" i="7" s="1"/>
  <c r="N73" i="7"/>
  <c r="N90" i="7"/>
  <c r="N87" i="7" s="1"/>
  <c r="N98" i="7"/>
  <c r="N97" i="7" s="1"/>
  <c r="N104" i="7"/>
  <c r="N100" i="7" s="1"/>
  <c r="N111" i="7"/>
  <c r="N117" i="7"/>
  <c r="N128" i="7"/>
  <c r="N121" i="7" s="1"/>
  <c r="S26" i="7"/>
  <c r="S23" i="7" s="1"/>
  <c r="Q29" i="7"/>
  <c r="Q34" i="7"/>
  <c r="Q33" i="7" s="1"/>
  <c r="Q37" i="7"/>
  <c r="Q38" i="7"/>
  <c r="Q40" i="7"/>
  <c r="Q41" i="7"/>
  <c r="Q42" i="7"/>
  <c r="Q46" i="7"/>
  <c r="Q45" i="7" s="1"/>
  <c r="Q44" i="7" s="1"/>
  <c r="Q49" i="7"/>
  <c r="Q50" i="7"/>
  <c r="Q53" i="7"/>
  <c r="Q52" i="7" s="1"/>
  <c r="Q55" i="7"/>
  <c r="Q54" i="7" s="1"/>
  <c r="Q58" i="7"/>
  <c r="Q57" i="7" s="1"/>
  <c r="Q65" i="7"/>
  <c r="Q64" i="7" s="1"/>
  <c r="Q68" i="7"/>
  <c r="Q69" i="7"/>
  <c r="Q74" i="7"/>
  <c r="Q77" i="7"/>
  <c r="Q78" i="7"/>
  <c r="Q79" i="7"/>
  <c r="Q80" i="7"/>
  <c r="Q81" i="7"/>
  <c r="Q82" i="7"/>
  <c r="Q83" i="7"/>
  <c r="Q85" i="7"/>
  <c r="Q84" i="7" s="1"/>
  <c r="Q92" i="7"/>
  <c r="Q93" i="7"/>
  <c r="Q94" i="7"/>
  <c r="Q95" i="7"/>
  <c r="Q96" i="7"/>
  <c r="Q103" i="7"/>
  <c r="Q105" i="7"/>
  <c r="T111" i="7"/>
  <c r="Q113" i="7"/>
  <c r="Q118" i="7"/>
  <c r="R124" i="7"/>
  <c r="T124" i="7"/>
  <c r="Q129" i="7"/>
  <c r="Q128" i="7" s="1"/>
  <c r="R26" i="7"/>
  <c r="R23" i="7" s="1"/>
  <c r="R33" i="7"/>
  <c r="R36" i="7"/>
  <c r="R42" i="7"/>
  <c r="R45" i="7"/>
  <c r="R44" i="7" s="1"/>
  <c r="R48" i="7"/>
  <c r="R47" i="7" s="1"/>
  <c r="R52" i="7"/>
  <c r="R54" i="7"/>
  <c r="R64" i="7"/>
  <c r="R56" i="7" s="1"/>
  <c r="R67" i="7"/>
  <c r="R66" i="7" s="1"/>
  <c r="R73" i="7"/>
  <c r="R90" i="7"/>
  <c r="R87" i="7" s="1"/>
  <c r="R98" i="7"/>
  <c r="R97" i="7" s="1"/>
  <c r="R104" i="7"/>
  <c r="R100" i="7" s="1"/>
  <c r="R111" i="7"/>
  <c r="R117" i="7"/>
  <c r="R128" i="7"/>
  <c r="S33" i="7"/>
  <c r="S36" i="7"/>
  <c r="S42" i="7"/>
  <c r="S45" i="7"/>
  <c r="S44" i="7" s="1"/>
  <c r="S48" i="7"/>
  <c r="S47" i="7" s="1"/>
  <c r="S52" i="7"/>
  <c r="S54" i="7"/>
  <c r="S64" i="7"/>
  <c r="S67" i="7"/>
  <c r="S66" i="7" s="1"/>
  <c r="S73" i="7"/>
  <c r="S90" i="7"/>
  <c r="S87" i="7" s="1"/>
  <c r="S98" i="7"/>
  <c r="S97" i="7" s="1"/>
  <c r="S104" i="7"/>
  <c r="S100" i="7" s="1"/>
  <c r="S111" i="7"/>
  <c r="S117" i="7"/>
  <c r="S128" i="7"/>
  <c r="S121" i="7" s="1"/>
  <c r="T42" i="7"/>
  <c r="T52" i="7"/>
  <c r="T54" i="7"/>
  <c r="T64" i="7"/>
  <c r="T56" i="7" s="1"/>
  <c r="T98" i="7"/>
  <c r="T97" i="7" s="1"/>
  <c r="T104" i="7"/>
  <c r="T100" i="7" s="1"/>
  <c r="T117" i="7"/>
  <c r="T128" i="7"/>
  <c r="U27" i="7"/>
  <c r="W28" i="7"/>
  <c r="W26" i="7" s="1"/>
  <c r="W23" i="7" s="1"/>
  <c r="U29" i="7"/>
  <c r="U34" i="7"/>
  <c r="X35" i="7"/>
  <c r="U37" i="7"/>
  <c r="U38" i="7"/>
  <c r="U39" i="7"/>
  <c r="U40" i="7"/>
  <c r="X41" i="7"/>
  <c r="U41" i="7" s="1"/>
  <c r="U43" i="7"/>
  <c r="U42" i="7" s="1"/>
  <c r="W46" i="7"/>
  <c r="X46" i="7"/>
  <c r="X45" i="7" s="1"/>
  <c r="X44" i="7" s="1"/>
  <c r="X49" i="7"/>
  <c r="U49" i="7" s="1"/>
  <c r="U50" i="7"/>
  <c r="X53" i="7"/>
  <c r="U53" i="7" s="1"/>
  <c r="U55" i="7"/>
  <c r="U54" i="7" s="1"/>
  <c r="X58" i="7"/>
  <c r="X57" i="7" s="1"/>
  <c r="X65" i="7"/>
  <c r="X64" i="7" s="1"/>
  <c r="U68" i="7"/>
  <c r="X69" i="7"/>
  <c r="X74" i="7"/>
  <c r="U76" i="7"/>
  <c r="U77" i="7"/>
  <c r="U78" i="7"/>
  <c r="U79" i="7"/>
  <c r="X80" i="7"/>
  <c r="U80" i="7" s="1"/>
  <c r="U81" i="7"/>
  <c r="U82" i="7"/>
  <c r="U83" i="7"/>
  <c r="U85" i="7"/>
  <c r="U84" i="7" s="1"/>
  <c r="U91" i="7"/>
  <c r="U93" i="7"/>
  <c r="U94" i="7"/>
  <c r="X95" i="7"/>
  <c r="U95" i="7" s="1"/>
  <c r="U96" i="7"/>
  <c r="X101" i="7"/>
  <c r="U105" i="7"/>
  <c r="U112" i="7"/>
  <c r="X113" i="7"/>
  <c r="U113" i="7" s="1"/>
  <c r="X115" i="7"/>
  <c r="U115" i="7" s="1"/>
  <c r="U116" i="7"/>
  <c r="U118" i="7"/>
  <c r="U120" i="7"/>
  <c r="X124" i="7"/>
  <c r="U129" i="7"/>
  <c r="U128" i="7" s="1"/>
  <c r="V26" i="7"/>
  <c r="V23" i="7" s="1"/>
  <c r="V33" i="7"/>
  <c r="V36" i="7"/>
  <c r="V42" i="7"/>
  <c r="V45" i="7"/>
  <c r="V44" i="7" s="1"/>
  <c r="V48" i="7"/>
  <c r="V47" i="7" s="1"/>
  <c r="V52" i="7"/>
  <c r="V54" i="7"/>
  <c r="V64" i="7"/>
  <c r="V56" i="7" s="1"/>
  <c r="V67" i="7"/>
  <c r="V66" i="7" s="1"/>
  <c r="V73" i="7"/>
  <c r="V90" i="7"/>
  <c r="V87" i="7" s="1"/>
  <c r="V98" i="7"/>
  <c r="V97" i="7" s="1"/>
  <c r="V104" i="7"/>
  <c r="V100" i="7" s="1"/>
  <c r="V111" i="7"/>
  <c r="V117" i="7"/>
  <c r="V128" i="7"/>
  <c r="V121" i="7" s="1"/>
  <c r="W33" i="7"/>
  <c r="W36" i="7"/>
  <c r="W42" i="7"/>
  <c r="W48" i="7"/>
  <c r="W47" i="7" s="1"/>
  <c r="W52" i="7"/>
  <c r="W54" i="7"/>
  <c r="W64" i="7"/>
  <c r="W56" i="7" s="1"/>
  <c r="W67" i="7"/>
  <c r="W66" i="7" s="1"/>
  <c r="W73" i="7"/>
  <c r="W90" i="7"/>
  <c r="W87" i="7" s="1"/>
  <c r="W98" i="7"/>
  <c r="W97" i="7" s="1"/>
  <c r="W104" i="7"/>
  <c r="W100" i="7" s="1"/>
  <c r="W111" i="7"/>
  <c r="W117" i="7"/>
  <c r="W128" i="7"/>
  <c r="W121" i="7" s="1"/>
  <c r="X42" i="7"/>
  <c r="X54" i="7"/>
  <c r="X98" i="7"/>
  <c r="X97" i="7" s="1"/>
  <c r="X104" i="7"/>
  <c r="X117" i="7"/>
  <c r="X128" i="7"/>
  <c r="Z26" i="7"/>
  <c r="Z23" i="7" s="1"/>
  <c r="Z33" i="7"/>
  <c r="Z36" i="7"/>
  <c r="Z42" i="7"/>
  <c r="Z45" i="7"/>
  <c r="Z44" i="7" s="1"/>
  <c r="Z48" i="7"/>
  <c r="Z47" i="7" s="1"/>
  <c r="Z52" i="7"/>
  <c r="Z54" i="7"/>
  <c r="Z64" i="7"/>
  <c r="Z67" i="7"/>
  <c r="Z66" i="7" s="1"/>
  <c r="Z73" i="7"/>
  <c r="Z90" i="7"/>
  <c r="Z87" i="7" s="1"/>
  <c r="Z98" i="7"/>
  <c r="Z97" i="7" s="1"/>
  <c r="Z104" i="7"/>
  <c r="Z100" i="7" s="1"/>
  <c r="Z111" i="7"/>
  <c r="Z106" i="7" s="1"/>
  <c r="Z117" i="7"/>
  <c r="Z128" i="7"/>
  <c r="Z121" i="7" s="1"/>
  <c r="AA26" i="7"/>
  <c r="AA23" i="7" s="1"/>
  <c r="AA33" i="7"/>
  <c r="AA36" i="7"/>
  <c r="AA42" i="7"/>
  <c r="AA45" i="7"/>
  <c r="AA44" i="7" s="1"/>
  <c r="AA48" i="7"/>
  <c r="AA47" i="7" s="1"/>
  <c r="AA52" i="7"/>
  <c r="AA54" i="7"/>
  <c r="AA64" i="7"/>
  <c r="AA56" i="7" s="1"/>
  <c r="AA67" i="7"/>
  <c r="AA66" i="7" s="1"/>
  <c r="AA73" i="7"/>
  <c r="AA90" i="7"/>
  <c r="AA87" i="7" s="1"/>
  <c r="AA98" i="7"/>
  <c r="AA97" i="7" s="1"/>
  <c r="AA104" i="7"/>
  <c r="AA100" i="7" s="1"/>
  <c r="AA111" i="7"/>
  <c r="AA117" i="7"/>
  <c r="AA128" i="7"/>
  <c r="AA121" i="7" s="1"/>
  <c r="AE26" i="7"/>
  <c r="AE23" i="7" s="1"/>
  <c r="AE33" i="7"/>
  <c r="AE36" i="7"/>
  <c r="AE42" i="7"/>
  <c r="AE45" i="7"/>
  <c r="AE44" i="7" s="1"/>
  <c r="AE48" i="7"/>
  <c r="AE47" i="7" s="1"/>
  <c r="AE52" i="7"/>
  <c r="AE54" i="7"/>
  <c r="AE64" i="7"/>
  <c r="AE56" i="7" s="1"/>
  <c r="AE67" i="7"/>
  <c r="AE66" i="7" s="1"/>
  <c r="AE73" i="7"/>
  <c r="AE90" i="7"/>
  <c r="AE87" i="7" s="1"/>
  <c r="AE98" i="7"/>
  <c r="AE97" i="7" s="1"/>
  <c r="AE104" i="7"/>
  <c r="AE100" i="7" s="1"/>
  <c r="AE111" i="7"/>
  <c r="AE117" i="7"/>
  <c r="AE128" i="7"/>
  <c r="AE121" i="7" s="1"/>
  <c r="Y71" i="7"/>
  <c r="L74" i="7"/>
  <c r="L76" i="7"/>
  <c r="L77" i="7"/>
  <c r="L78" i="7"/>
  <c r="L79" i="7"/>
  <c r="L80" i="7"/>
  <c r="L81" i="7"/>
  <c r="L82" i="7"/>
  <c r="L83" i="7"/>
  <c r="L85" i="7"/>
  <c r="L71" i="7"/>
  <c r="O73" i="7"/>
  <c r="P73" i="7"/>
  <c r="Y43" i="7"/>
  <c r="Y42" i="7" s="1"/>
  <c r="Y74" i="7"/>
  <c r="Y85" i="7"/>
  <c r="Y84" i="7" s="1"/>
  <c r="Y27" i="7"/>
  <c r="O90" i="7"/>
  <c r="O87" i="7" s="1"/>
  <c r="P90" i="7"/>
  <c r="P87" i="7" s="1"/>
  <c r="O98" i="7"/>
  <c r="O97" i="7" s="1"/>
  <c r="P98" i="7"/>
  <c r="P97" i="7" s="1"/>
  <c r="L135" i="7"/>
  <c r="O33" i="7"/>
  <c r="P33" i="7"/>
  <c r="Y35" i="7"/>
  <c r="L35" i="7"/>
  <c r="L158" i="7"/>
  <c r="L159" i="7"/>
  <c r="O117" i="7"/>
  <c r="P117" i="7"/>
  <c r="O104" i="7"/>
  <c r="O100" i="7" s="1"/>
  <c r="P104" i="7"/>
  <c r="P100" i="7" s="1"/>
  <c r="Y105" i="7"/>
  <c r="L105" i="7"/>
  <c r="O64" i="7"/>
  <c r="O56" i="7" s="1"/>
  <c r="P64" i="7"/>
  <c r="P56" i="7" s="1"/>
  <c r="Y40" i="7"/>
  <c r="L40" i="7"/>
  <c r="L43" i="7"/>
  <c r="Y129" i="7"/>
  <c r="Y128" i="7" s="1"/>
  <c r="AH128" i="7" s="1"/>
  <c r="L129" i="7"/>
  <c r="L128" i="7" s="1"/>
  <c r="P128" i="7"/>
  <c r="P121" i="7" s="1"/>
  <c r="O128" i="7"/>
  <c r="O121" i="7" s="1"/>
  <c r="Y99" i="7"/>
  <c r="X156" i="7"/>
  <c r="U156" i="7" s="1"/>
  <c r="X151" i="7"/>
  <c r="U151" i="7" s="1"/>
  <c r="X149" i="7"/>
  <c r="X144" i="7"/>
  <c r="U144" i="7" s="1"/>
  <c r="X142" i="7"/>
  <c r="X141" i="7" s="1"/>
  <c r="X140" i="7"/>
  <c r="X139" i="7" s="1"/>
  <c r="X136" i="7"/>
  <c r="U136" i="7" s="1"/>
  <c r="X132" i="7"/>
  <c r="X134" i="7"/>
  <c r="L27" i="7"/>
  <c r="Y55" i="7"/>
  <c r="Y54" i="7" s="1"/>
  <c r="L55" i="7"/>
  <c r="Y116" i="7"/>
  <c r="L116" i="7"/>
  <c r="Y120" i="7"/>
  <c r="AH120" i="7" s="1"/>
  <c r="Y118" i="7"/>
  <c r="L120" i="7"/>
  <c r="L118" i="7"/>
  <c r="X154" i="7"/>
  <c r="X152" i="7" s="1"/>
  <c r="M145" i="7"/>
  <c r="M143" i="7" s="1"/>
  <c r="N145" i="7"/>
  <c r="N143" i="7" s="1"/>
  <c r="O145" i="7"/>
  <c r="O143" i="7" s="1"/>
  <c r="P145" i="7"/>
  <c r="R145" i="7"/>
  <c r="R143" i="7" s="1"/>
  <c r="S145" i="7"/>
  <c r="S143" i="7" s="1"/>
  <c r="T145" i="7"/>
  <c r="T143" i="7" s="1"/>
  <c r="V145" i="7"/>
  <c r="V143" i="7" s="1"/>
  <c r="W145" i="7"/>
  <c r="W143" i="7" s="1"/>
  <c r="Z145" i="7"/>
  <c r="Z143" i="7" s="1"/>
  <c r="AA145" i="7"/>
  <c r="AA143" i="7" s="1"/>
  <c r="AE145" i="7"/>
  <c r="AE143" i="7" s="1"/>
  <c r="M150" i="7"/>
  <c r="N150" i="7"/>
  <c r="O150" i="7"/>
  <c r="R150" i="7"/>
  <c r="S150" i="7"/>
  <c r="T150" i="7"/>
  <c r="V150" i="7"/>
  <c r="W150" i="7"/>
  <c r="Z150" i="7"/>
  <c r="AA150" i="7"/>
  <c r="AE150" i="7"/>
  <c r="M157" i="7"/>
  <c r="M155" i="7" s="1"/>
  <c r="N157" i="7"/>
  <c r="N155" i="7" s="1"/>
  <c r="O157" i="7"/>
  <c r="O155" i="7" s="1"/>
  <c r="P157" i="7"/>
  <c r="R157" i="7"/>
  <c r="R155" i="7" s="1"/>
  <c r="S157" i="7"/>
  <c r="S155" i="7" s="1"/>
  <c r="T157" i="7"/>
  <c r="T155" i="7" s="1"/>
  <c r="V157" i="7"/>
  <c r="V155" i="7" s="1"/>
  <c r="W157" i="7"/>
  <c r="W155" i="7" s="1"/>
  <c r="Z157" i="7"/>
  <c r="Z155" i="7" s="1"/>
  <c r="AA157" i="7"/>
  <c r="AA155" i="7" s="1"/>
  <c r="AE157" i="7"/>
  <c r="AE155" i="7" s="1"/>
  <c r="Y158" i="7"/>
  <c r="Y159" i="7"/>
  <c r="U158" i="7"/>
  <c r="U159" i="7"/>
  <c r="Y146" i="7"/>
  <c r="Y147" i="7"/>
  <c r="Y154" i="7"/>
  <c r="Y152" i="7" s="1"/>
  <c r="Q154" i="7"/>
  <c r="Q152" i="7" s="1"/>
  <c r="L154" i="7"/>
  <c r="L152" i="7" s="1"/>
  <c r="U146" i="7"/>
  <c r="U147" i="7"/>
  <c r="Q146" i="7"/>
  <c r="Q147" i="7"/>
  <c r="L146" i="7"/>
  <c r="L147" i="7"/>
  <c r="Q158" i="7"/>
  <c r="Q159" i="7"/>
  <c r="Y125" i="7"/>
  <c r="Y124" i="7" s="1"/>
  <c r="AH124" i="7" s="1"/>
  <c r="L125" i="7"/>
  <c r="Y103" i="7"/>
  <c r="Y101" i="7" s="1"/>
  <c r="L103" i="7"/>
  <c r="Y65" i="7"/>
  <c r="Y64" i="7" s="1"/>
  <c r="AH64" i="7" s="1"/>
  <c r="L65" i="7"/>
  <c r="Y58" i="7"/>
  <c r="Y57" i="7" s="1"/>
  <c r="L58" i="7"/>
  <c r="Y53" i="7"/>
  <c r="Y52" i="7" s="1"/>
  <c r="L53" i="7"/>
  <c r="O36" i="7"/>
  <c r="P36" i="7"/>
  <c r="O42" i="7"/>
  <c r="P42" i="7"/>
  <c r="O26" i="7"/>
  <c r="O23" i="7" s="1"/>
  <c r="P26" i="7"/>
  <c r="P23" i="7" s="1"/>
  <c r="P45" i="7"/>
  <c r="P44" i="7" s="1"/>
  <c r="P48" i="7"/>
  <c r="P47" i="7" s="1"/>
  <c r="P52" i="7"/>
  <c r="P54" i="7"/>
  <c r="P67" i="7"/>
  <c r="P66" i="7" s="1"/>
  <c r="P111" i="7"/>
  <c r="Y156" i="7"/>
  <c r="P156" i="7"/>
  <c r="Y151" i="7"/>
  <c r="P151" i="7"/>
  <c r="Y149" i="7"/>
  <c r="P149" i="7"/>
  <c r="Y144" i="7"/>
  <c r="P144" i="7"/>
  <c r="Y142" i="7"/>
  <c r="P142" i="7"/>
  <c r="Y140" i="7"/>
  <c r="P140" i="7"/>
  <c r="Q135" i="7"/>
  <c r="AE135" i="7"/>
  <c r="AA135" i="7"/>
  <c r="Z135" i="7"/>
  <c r="W135" i="7"/>
  <c r="V135" i="7"/>
  <c r="S135" i="7"/>
  <c r="R135" i="7"/>
  <c r="O135" i="7"/>
  <c r="N135" i="7"/>
  <c r="M135" i="7"/>
  <c r="Y136" i="7"/>
  <c r="P136" i="7"/>
  <c r="Y134" i="7"/>
  <c r="P134" i="7"/>
  <c r="Y132" i="7"/>
  <c r="P132" i="7"/>
  <c r="Y115" i="7"/>
  <c r="AH115" i="7" s="1"/>
  <c r="L115" i="7"/>
  <c r="Y113" i="7"/>
  <c r="L113" i="7"/>
  <c r="Y112" i="7"/>
  <c r="L112" i="7"/>
  <c r="O111" i="7"/>
  <c r="O106" i="7" s="1"/>
  <c r="O45" i="7"/>
  <c r="O44" i="7" s="1"/>
  <c r="O48" i="7"/>
  <c r="O47" i="7" s="1"/>
  <c r="O52" i="7"/>
  <c r="O54" i="7"/>
  <c r="O67" i="7"/>
  <c r="O66" i="7" s="1"/>
  <c r="Y96" i="7"/>
  <c r="L96" i="7"/>
  <c r="Y95" i="7"/>
  <c r="L95" i="7"/>
  <c r="Y94" i="7"/>
  <c r="L94" i="7"/>
  <c r="Y93" i="7"/>
  <c r="L93" i="7"/>
  <c r="Y92" i="7"/>
  <c r="L92" i="7"/>
  <c r="Y91" i="7"/>
  <c r="L91" i="7"/>
  <c r="Y83" i="7"/>
  <c r="Y82" i="7"/>
  <c r="Y81" i="7"/>
  <c r="Y80" i="7"/>
  <c r="Y79" i="7"/>
  <c r="Y78" i="7"/>
  <c r="Y77" i="7"/>
  <c r="Y76" i="7"/>
  <c r="AH76" i="7" s="1"/>
  <c r="Y69" i="7"/>
  <c r="L69" i="7"/>
  <c r="Y68" i="7"/>
  <c r="L68" i="7"/>
  <c r="Y50" i="7"/>
  <c r="L50" i="7"/>
  <c r="Y49" i="7"/>
  <c r="L49" i="7"/>
  <c r="Y46" i="7"/>
  <c r="Y45" i="7" s="1"/>
  <c r="Y44" i="7" s="1"/>
  <c r="L46" i="7"/>
  <c r="L45" i="7" s="1"/>
  <c r="Y41" i="7"/>
  <c r="L41" i="7"/>
  <c r="AH42" i="7" s="1"/>
  <c r="Y39" i="7"/>
  <c r="L39" i="7"/>
  <c r="Y38" i="7"/>
  <c r="L38" i="7"/>
  <c r="Y37" i="7"/>
  <c r="L37" i="7"/>
  <c r="Y34" i="7"/>
  <c r="L34" i="7"/>
  <c r="Y29" i="7"/>
  <c r="L29" i="7"/>
  <c r="Y28" i="7"/>
  <c r="L28" i="7"/>
  <c r="Y20" i="7"/>
  <c r="AH20" i="7" s="1"/>
  <c r="Y19" i="7"/>
  <c r="AH19" i="7" s="1"/>
  <c r="U19" i="7"/>
  <c r="Y18" i="7"/>
  <c r="Y16" i="7"/>
  <c r="Y15" i="7"/>
  <c r="AH15" i="7" s="1"/>
  <c r="U15" i="7"/>
  <c r="Y14" i="7"/>
  <c r="Y13" i="7"/>
  <c r="T135" i="7"/>
  <c r="P106" i="7" l="1"/>
  <c r="AH158" i="7"/>
  <c r="AE106" i="7"/>
  <c r="V106" i="7"/>
  <c r="M106" i="7"/>
  <c r="AH119" i="7"/>
  <c r="AB106" i="7"/>
  <c r="AH39" i="7"/>
  <c r="AH146" i="7"/>
  <c r="AA106" i="7"/>
  <c r="W106" i="7"/>
  <c r="S106" i="7"/>
  <c r="R106" i="7"/>
  <c r="T106" i="7"/>
  <c r="N106" i="7"/>
  <c r="AD106" i="7"/>
  <c r="AC106" i="7"/>
  <c r="AH96" i="7"/>
  <c r="AH156" i="7"/>
  <c r="AH38" i="7"/>
  <c r="AH40" i="7"/>
  <c r="AH95" i="7"/>
  <c r="AH113" i="7"/>
  <c r="AH116" i="7"/>
  <c r="AH83" i="7"/>
  <c r="AH79" i="7"/>
  <c r="L44" i="7"/>
  <c r="AG14" i="7"/>
  <c r="AH14" i="7"/>
  <c r="AG18" i="7"/>
  <c r="AH18" i="7"/>
  <c r="AH35" i="7"/>
  <c r="AH69" i="7"/>
  <c r="AH92" i="7"/>
  <c r="AH114" i="7"/>
  <c r="P131" i="7"/>
  <c r="AH136" i="7"/>
  <c r="AH159" i="7"/>
  <c r="AH28" i="7"/>
  <c r="AH41" i="7"/>
  <c r="L84" i="7"/>
  <c r="AH85" i="7" s="1"/>
  <c r="AH86" i="7"/>
  <c r="AH81" i="7"/>
  <c r="AH77" i="7"/>
  <c r="P133" i="7"/>
  <c r="P139" i="7"/>
  <c r="AH144" i="7"/>
  <c r="AH151" i="7"/>
  <c r="L52" i="7"/>
  <c r="AH54" i="7"/>
  <c r="L64" i="7"/>
  <c r="AH147" i="7"/>
  <c r="AH129" i="7"/>
  <c r="AH84" i="7"/>
  <c r="AH80" i="7"/>
  <c r="AH94" i="7"/>
  <c r="L54" i="7"/>
  <c r="AH55" i="7" s="1"/>
  <c r="AG16" i="7"/>
  <c r="AH16" i="7"/>
  <c r="AH50" i="7"/>
  <c r="P141" i="7"/>
  <c r="P148" i="7"/>
  <c r="L57" i="7"/>
  <c r="L42" i="7"/>
  <c r="AH43" i="7" s="1"/>
  <c r="AH44" i="7"/>
  <c r="AH82" i="7"/>
  <c r="AH78" i="7"/>
  <c r="AH30" i="7"/>
  <c r="AH103" i="7"/>
  <c r="Y148" i="7"/>
  <c r="Y141" i="7"/>
  <c r="Y139" i="7"/>
  <c r="Y133" i="7"/>
  <c r="Y131" i="7"/>
  <c r="AG13" i="7"/>
  <c r="AH13" i="7"/>
  <c r="U149" i="7"/>
  <c r="U148" i="7" s="1"/>
  <c r="X148" i="7"/>
  <c r="U134" i="7"/>
  <c r="U133" i="7" s="1"/>
  <c r="X133" i="7"/>
  <c r="U132" i="7"/>
  <c r="U131" i="7" s="1"/>
  <c r="X131" i="7"/>
  <c r="T67" i="7"/>
  <c r="T66" i="7" s="1"/>
  <c r="Q117" i="7"/>
  <c r="AG39" i="7"/>
  <c r="T33" i="7"/>
  <c r="AG94" i="7"/>
  <c r="X135" i="7"/>
  <c r="T45" i="7"/>
  <c r="T44" i="7" s="1"/>
  <c r="L157" i="7"/>
  <c r="L155" i="7" s="1"/>
  <c r="AG83" i="7"/>
  <c r="X111" i="7"/>
  <c r="X106" i="7" s="1"/>
  <c r="L150" i="7"/>
  <c r="X36" i="7"/>
  <c r="L26" i="7"/>
  <c r="L23" i="7" s="1"/>
  <c r="L124" i="7"/>
  <c r="AG146" i="7"/>
  <c r="AG49" i="7"/>
  <c r="Y104" i="7"/>
  <c r="Y100" i="7" s="1"/>
  <c r="AH100" i="7" s="1"/>
  <c r="R121" i="7"/>
  <c r="X145" i="7"/>
  <c r="X143" i="7" s="1"/>
  <c r="T121" i="7"/>
  <c r="U71" i="7"/>
  <c r="AG71" i="7" s="1"/>
  <c r="X71" i="7"/>
  <c r="Y121" i="7"/>
  <c r="AH121" i="7" s="1"/>
  <c r="T51" i="7"/>
  <c r="AG54" i="7"/>
  <c r="AG55" i="7"/>
  <c r="AE32" i="7"/>
  <c r="X121" i="7"/>
  <c r="AG77" i="7"/>
  <c r="L104" i="7"/>
  <c r="Q67" i="7"/>
  <c r="Q66" i="7" s="1"/>
  <c r="Q150" i="7"/>
  <c r="U65" i="7"/>
  <c r="U64" i="7" s="1"/>
  <c r="AG64" i="7" s="1"/>
  <c r="L33" i="7"/>
  <c r="L48" i="7"/>
  <c r="L67" i="7"/>
  <c r="P135" i="7"/>
  <c r="P150" i="7"/>
  <c r="AG68" i="7"/>
  <c r="AG112" i="7"/>
  <c r="AG42" i="7"/>
  <c r="X100" i="7"/>
  <c r="U104" i="7"/>
  <c r="N51" i="7"/>
  <c r="U140" i="7"/>
  <c r="AH140" i="7" s="1"/>
  <c r="U103" i="7"/>
  <c r="Q28" i="7"/>
  <c r="Q26" i="7" s="1"/>
  <c r="Q23" i="7" s="1"/>
  <c r="AG144" i="7"/>
  <c r="AG43" i="7"/>
  <c r="AG156" i="7"/>
  <c r="AG128" i="7"/>
  <c r="Z32" i="7"/>
  <c r="W70" i="7"/>
  <c r="W51" i="7"/>
  <c r="W32" i="7"/>
  <c r="U125" i="7"/>
  <c r="AH126" i="7" s="1"/>
  <c r="AG41" i="7"/>
  <c r="R51" i="7"/>
  <c r="U157" i="7"/>
  <c r="U155" i="7" s="1"/>
  <c r="P51" i="7"/>
  <c r="Y51" i="7"/>
  <c r="AH51" i="7" s="1"/>
  <c r="X157" i="7"/>
  <c r="X155" i="7" s="1"/>
  <c r="X52" i="7"/>
  <c r="X51" i="7" s="1"/>
  <c r="V32" i="7"/>
  <c r="X90" i="7"/>
  <c r="X87" i="7" s="1"/>
  <c r="AB51" i="7"/>
  <c r="AG29" i="7"/>
  <c r="Y26" i="7"/>
  <c r="AG38" i="7"/>
  <c r="L145" i="7"/>
  <c r="L143" i="7" s="1"/>
  <c r="P155" i="7"/>
  <c r="AG129" i="7"/>
  <c r="P143" i="7"/>
  <c r="L98" i="7"/>
  <c r="AE51" i="7"/>
  <c r="X56" i="7"/>
  <c r="S70" i="7"/>
  <c r="S51" i="7"/>
  <c r="M32" i="7"/>
  <c r="AG137" i="7"/>
  <c r="Y56" i="7"/>
  <c r="AH56" i="7" s="1"/>
  <c r="AA51" i="7"/>
  <c r="V51" i="7"/>
  <c r="AG76" i="7"/>
  <c r="Q104" i="7"/>
  <c r="M51" i="7"/>
  <c r="AC51" i="7"/>
  <c r="N32" i="7"/>
  <c r="AD32" i="7"/>
  <c r="AG82" i="7"/>
  <c r="AG81" i="7"/>
  <c r="Y90" i="7"/>
  <c r="AG147" i="7"/>
  <c r="AG159" i="7"/>
  <c r="Y135" i="7"/>
  <c r="U52" i="7"/>
  <c r="U51" i="7" s="1"/>
  <c r="AG53" i="7"/>
  <c r="AG34" i="7"/>
  <c r="AG151" i="7"/>
  <c r="AG79" i="7"/>
  <c r="L90" i="7"/>
  <c r="L87" i="7" s="1"/>
  <c r="AG136" i="7"/>
  <c r="W130" i="7"/>
  <c r="AA130" i="7"/>
  <c r="R130" i="7"/>
  <c r="Y117" i="7"/>
  <c r="AH117" i="7" s="1"/>
  <c r="O32" i="7"/>
  <c r="O70" i="7"/>
  <c r="Z51" i="7"/>
  <c r="U92" i="7"/>
  <c r="AG92" i="7" s="1"/>
  <c r="U58" i="7"/>
  <c r="U57" i="7" s="1"/>
  <c r="T48" i="7"/>
  <c r="T47" i="7" s="1"/>
  <c r="T26" i="7"/>
  <c r="T23" i="7" s="1"/>
  <c r="R32" i="7"/>
  <c r="Q112" i="7"/>
  <c r="Q111" i="7" s="1"/>
  <c r="AD51" i="7"/>
  <c r="Z130" i="7"/>
  <c r="U48" i="7"/>
  <c r="U47" i="7" s="1"/>
  <c r="L36" i="7"/>
  <c r="O51" i="7"/>
  <c r="L101" i="7"/>
  <c r="Q157" i="7"/>
  <c r="Q155" i="7" s="1"/>
  <c r="Q145" i="7"/>
  <c r="Q143" i="7" s="1"/>
  <c r="L117" i="7"/>
  <c r="Z70" i="7"/>
  <c r="Z56" i="7"/>
  <c r="X48" i="7"/>
  <c r="X47" i="7" s="1"/>
  <c r="S56" i="7"/>
  <c r="Q56" i="7"/>
  <c r="AB56" i="7"/>
  <c r="AB32" i="7"/>
  <c r="AG84" i="7"/>
  <c r="Q101" i="7"/>
  <c r="Y48" i="7"/>
  <c r="Y47" i="7" s="1"/>
  <c r="P32" i="7"/>
  <c r="O130" i="7"/>
  <c r="AE70" i="7"/>
  <c r="S32" i="7"/>
  <c r="AC70" i="7"/>
  <c r="U98" i="7"/>
  <c r="U97" i="7" s="1"/>
  <c r="AG80" i="7"/>
  <c r="AG115" i="7"/>
  <c r="Y111" i="7"/>
  <c r="U117" i="7"/>
  <c r="L111" i="7"/>
  <c r="L106" i="7" s="1"/>
  <c r="AG113" i="7"/>
  <c r="U111" i="7"/>
  <c r="U106" i="7" s="1"/>
  <c r="AG91" i="7"/>
  <c r="AG93" i="7"/>
  <c r="AG95" i="7"/>
  <c r="Q98" i="7"/>
  <c r="Q97" i="7" s="1"/>
  <c r="Y150" i="7"/>
  <c r="R70" i="7"/>
  <c r="AA70" i="7"/>
  <c r="V70" i="7"/>
  <c r="N70" i="7"/>
  <c r="AG158" i="7"/>
  <c r="Y157" i="7"/>
  <c r="Y155" i="7" s="1"/>
  <c r="N130" i="7"/>
  <c r="M130" i="7"/>
  <c r="Y145" i="7"/>
  <c r="Y143" i="7" s="1"/>
  <c r="V130" i="7"/>
  <c r="AE130" i="7"/>
  <c r="S130" i="7"/>
  <c r="AC130" i="7"/>
  <c r="AC32" i="7"/>
  <c r="AG96" i="7"/>
  <c r="Y73" i="7"/>
  <c r="AG78" i="7"/>
  <c r="Y98" i="7"/>
  <c r="Y97" i="7" s="1"/>
  <c r="AH97" i="7" s="1"/>
  <c r="U36" i="7"/>
  <c r="Y67" i="7"/>
  <c r="Y66" i="7" s="1"/>
  <c r="AB70" i="7"/>
  <c r="P70" i="7"/>
  <c r="AG37" i="7"/>
  <c r="AG19" i="7"/>
  <c r="AG20" i="7"/>
  <c r="U135" i="7"/>
  <c r="AG15" i="7"/>
  <c r="U142" i="7"/>
  <c r="U141" i="7" s="1"/>
  <c r="L73" i="7"/>
  <c r="Q48" i="7"/>
  <c r="Q47" i="7" s="1"/>
  <c r="AG50" i="7"/>
  <c r="Y33" i="7"/>
  <c r="Y36" i="7"/>
  <c r="U28" i="7"/>
  <c r="AH29" i="7" s="1"/>
  <c r="X26" i="7"/>
  <c r="X23" i="7" s="1"/>
  <c r="U154" i="7"/>
  <c r="X150" i="7"/>
  <c r="AA32" i="7"/>
  <c r="T36" i="7"/>
  <c r="Q39" i="7"/>
  <c r="Q36" i="7" s="1"/>
  <c r="Q32" i="7" s="1"/>
  <c r="AB130" i="7"/>
  <c r="X73" i="7"/>
  <c r="U74" i="7"/>
  <c r="AH75" i="7" s="1"/>
  <c r="W45" i="7"/>
  <c r="W44" i="7" s="1"/>
  <c r="U46" i="7"/>
  <c r="X33" i="7"/>
  <c r="U35" i="7"/>
  <c r="U33" i="7" s="1"/>
  <c r="Q125" i="7"/>
  <c r="Q124" i="7" s="1"/>
  <c r="Q51" i="7"/>
  <c r="U69" i="7"/>
  <c r="X67" i="7"/>
  <c r="X66" i="7" s="1"/>
  <c r="Q76" i="7"/>
  <c r="Q73" i="7" s="1"/>
  <c r="Q70" i="7" s="1"/>
  <c r="T73" i="7"/>
  <c r="T70" i="7" s="1"/>
  <c r="Q91" i="7"/>
  <c r="Q90" i="7" s="1"/>
  <c r="Q87" i="7" s="1"/>
  <c r="T90" i="7"/>
  <c r="T87" i="7" s="1"/>
  <c r="AD130" i="7"/>
  <c r="Y106" i="7" l="1"/>
  <c r="Q106" i="7"/>
  <c r="L51" i="7"/>
  <c r="AH52" i="7" s="1"/>
  <c r="AG134" i="7"/>
  <c r="L56" i="7"/>
  <c r="AH131" i="7"/>
  <c r="AH105" i="7"/>
  <c r="AH53" i="7"/>
  <c r="AH58" i="7"/>
  <c r="AH141" i="7"/>
  <c r="AH157" i="7"/>
  <c r="AH36" i="7"/>
  <c r="Y70" i="7"/>
  <c r="AH70" i="7" s="1"/>
  <c r="AH73" i="7"/>
  <c r="AH118" i="7"/>
  <c r="Y87" i="7"/>
  <c r="AH87" i="7" s="1"/>
  <c r="AH90" i="7"/>
  <c r="Y23" i="7"/>
  <c r="AH26" i="7"/>
  <c r="AH135" i="7"/>
  <c r="AH149" i="7"/>
  <c r="AH66" i="7"/>
  <c r="AH134" i="7"/>
  <c r="AH34" i="7"/>
  <c r="L121" i="7"/>
  <c r="L70" i="7"/>
  <c r="AH106" i="7"/>
  <c r="AH111" i="7"/>
  <c r="AH37" i="7"/>
  <c r="AH155" i="7"/>
  <c r="L66" i="7"/>
  <c r="AH148" i="7"/>
  <c r="AH93" i="7"/>
  <c r="AH65" i="7"/>
  <c r="AH133" i="7"/>
  <c r="AH112" i="7"/>
  <c r="AH154" i="7"/>
  <c r="U152" i="7"/>
  <c r="AH152" i="7" s="1"/>
  <c r="AH47" i="7"/>
  <c r="L97" i="7"/>
  <c r="AH98" i="7" s="1"/>
  <c r="AH99" i="7"/>
  <c r="AH72" i="7"/>
  <c r="AH59" i="7"/>
  <c r="AH142" i="7"/>
  <c r="AH132" i="7"/>
  <c r="U101" i="7"/>
  <c r="U100" i="7" s="1"/>
  <c r="AH104" i="7"/>
  <c r="L47" i="7"/>
  <c r="AH48" i="7" s="1"/>
  <c r="AH49" i="7"/>
  <c r="AG149" i="7"/>
  <c r="U139" i="7"/>
  <c r="AG139" i="7" s="1"/>
  <c r="AG132" i="7"/>
  <c r="T32" i="7"/>
  <c r="T22" i="7" s="1"/>
  <c r="AC22" i="7"/>
  <c r="AC21" i="7" s="1"/>
  <c r="AC17" i="7" s="1"/>
  <c r="AC12" i="7" s="1"/>
  <c r="S22" i="7"/>
  <c r="S21" i="7" s="1"/>
  <c r="S17" i="7" s="1"/>
  <c r="S12" i="7" s="1"/>
  <c r="O22" i="7"/>
  <c r="O21" i="7" s="1"/>
  <c r="O17" i="7" s="1"/>
  <c r="O12" i="7" s="1"/>
  <c r="M22" i="7"/>
  <c r="M21" i="7" s="1"/>
  <c r="M17" i="7" s="1"/>
  <c r="M12" i="7" s="1"/>
  <c r="AG65" i="7"/>
  <c r="N22" i="7"/>
  <c r="N21" i="7" s="1"/>
  <c r="N17" i="7" s="1"/>
  <c r="N12" i="7" s="1"/>
  <c r="P22" i="7"/>
  <c r="Z22" i="7"/>
  <c r="Z21" i="7" s="1"/>
  <c r="Z17" i="7" s="1"/>
  <c r="Z12" i="7" s="1"/>
  <c r="AE22" i="7"/>
  <c r="AE21" i="7" s="1"/>
  <c r="AE17" i="7" s="1"/>
  <c r="R22" i="7"/>
  <c r="R21" i="7" s="1"/>
  <c r="R17" i="7" s="1"/>
  <c r="R12" i="7" s="1"/>
  <c r="AB22" i="7"/>
  <c r="AB21" i="7" s="1"/>
  <c r="AA22" i="7"/>
  <c r="AA21" i="7" s="1"/>
  <c r="AA17" i="7" s="1"/>
  <c r="AA12" i="7" s="1"/>
  <c r="AD22" i="7"/>
  <c r="AD21" i="7" s="1"/>
  <c r="V22" i="7"/>
  <c r="V21" i="7" s="1"/>
  <c r="V17" i="7" s="1"/>
  <c r="V12" i="7" s="1"/>
  <c r="W22" i="7"/>
  <c r="W21" i="7" s="1"/>
  <c r="W17" i="7" s="1"/>
  <c r="W12" i="7" s="1"/>
  <c r="AG104" i="7"/>
  <c r="AG103" i="7"/>
  <c r="X32" i="7"/>
  <c r="U90" i="7"/>
  <c r="AG140" i="7"/>
  <c r="P130" i="7"/>
  <c r="L100" i="7"/>
  <c r="Q130" i="7"/>
  <c r="X70" i="7"/>
  <c r="AG48" i="7"/>
  <c r="AG52" i="7"/>
  <c r="L130" i="7"/>
  <c r="Q100" i="7"/>
  <c r="AG125" i="7"/>
  <c r="U124" i="7"/>
  <c r="AG124" i="7" s="1"/>
  <c r="L32" i="7"/>
  <c r="T130" i="7"/>
  <c r="AG51" i="7"/>
  <c r="AG157" i="7"/>
  <c r="AG36" i="7"/>
  <c r="AG155" i="7"/>
  <c r="AG135" i="7"/>
  <c r="AG47" i="7"/>
  <c r="AG133" i="7"/>
  <c r="AG117" i="7"/>
  <c r="AG97" i="7"/>
  <c r="AG58" i="7"/>
  <c r="AG131" i="7"/>
  <c r="AG111" i="7"/>
  <c r="Y130" i="7"/>
  <c r="AH130" i="7" s="1"/>
  <c r="AG98" i="7"/>
  <c r="Y32" i="7"/>
  <c r="U45" i="7"/>
  <c r="AH46" i="7" s="1"/>
  <c r="AG46" i="7"/>
  <c r="U26" i="7"/>
  <c r="AG28" i="7"/>
  <c r="U67" i="7"/>
  <c r="AH68" i="7" s="1"/>
  <c r="AG69" i="7"/>
  <c r="AG141" i="7"/>
  <c r="AG142" i="7"/>
  <c r="U32" i="7"/>
  <c r="AG33" i="7"/>
  <c r="U73" i="7"/>
  <c r="AH74" i="7" s="1"/>
  <c r="AG74" i="7"/>
  <c r="AG154" i="7"/>
  <c r="U145" i="7"/>
  <c r="AH145" i="7" s="1"/>
  <c r="X130" i="7"/>
  <c r="O5" i="7" l="1"/>
  <c r="O5" i="9"/>
  <c r="O6" i="9" s="1"/>
  <c r="V5" i="7"/>
  <c r="V5" i="9"/>
  <c r="V6" i="9" s="1"/>
  <c r="R5" i="7"/>
  <c r="R5" i="9"/>
  <c r="R6" i="9" s="1"/>
  <c r="N5" i="7"/>
  <c r="N5" i="9"/>
  <c r="N6" i="9" s="1"/>
  <c r="S5" i="7"/>
  <c r="S5" i="9"/>
  <c r="S6" i="9" s="1"/>
  <c r="AC6" i="7"/>
  <c r="AC5" i="7"/>
  <c r="AC5" i="9"/>
  <c r="AC6" i="9" s="1"/>
  <c r="W5" i="7"/>
  <c r="W5" i="9"/>
  <c r="W6" i="9" s="1"/>
  <c r="AA5" i="7"/>
  <c r="AA5" i="9"/>
  <c r="AA6" i="9" s="1"/>
  <c r="Z5" i="7"/>
  <c r="Z5" i="9"/>
  <c r="Z6" i="9" s="1"/>
  <c r="M5" i="7"/>
  <c r="M5" i="9"/>
  <c r="M6" i="9" s="1"/>
  <c r="AG106" i="7"/>
  <c r="AH125" i="7"/>
  <c r="AH33" i="7"/>
  <c r="AH139" i="7"/>
  <c r="Y22" i="7"/>
  <c r="Y21" i="7" s="1"/>
  <c r="AH32" i="7"/>
  <c r="AH107" i="7"/>
  <c r="AG100" i="7"/>
  <c r="AH101" i="7"/>
  <c r="AG101" i="7"/>
  <c r="AH102" i="7"/>
  <c r="U87" i="7"/>
  <c r="AH88" i="7" s="1"/>
  <c r="AH91" i="7"/>
  <c r="U23" i="7"/>
  <c r="AH24" i="7" s="1"/>
  <c r="AH27" i="7"/>
  <c r="AG90" i="7"/>
  <c r="L22" i="7"/>
  <c r="P21" i="7"/>
  <c r="P17" i="7" s="1"/>
  <c r="X22" i="7"/>
  <c r="X21" i="7" s="1"/>
  <c r="X17" i="7" s="1"/>
  <c r="X12" i="7" s="1"/>
  <c r="T21" i="7"/>
  <c r="T17" i="7" s="1"/>
  <c r="T12" i="7" s="1"/>
  <c r="Q121" i="7"/>
  <c r="U121" i="7"/>
  <c r="AG121" i="7" s="1"/>
  <c r="AG32" i="7"/>
  <c r="U56" i="7"/>
  <c r="AG57" i="7"/>
  <c r="AD17" i="7"/>
  <c r="AD12" i="7" s="1"/>
  <c r="AB17" i="7"/>
  <c r="AB12" i="7" s="1"/>
  <c r="AG152" i="7"/>
  <c r="U150" i="7"/>
  <c r="U66" i="7"/>
  <c r="AG66" i="7" s="1"/>
  <c r="AG67" i="7"/>
  <c r="AG148" i="7"/>
  <c r="U143" i="7"/>
  <c r="AH143" i="7" s="1"/>
  <c r="AG145" i="7"/>
  <c r="U70" i="7"/>
  <c r="AG70" i="7" s="1"/>
  <c r="AG73" i="7"/>
  <c r="AG26" i="7"/>
  <c r="U44" i="7"/>
  <c r="AG45" i="7"/>
  <c r="AB6" i="7" l="1"/>
  <c r="AB5" i="7"/>
  <c r="AB5" i="9"/>
  <c r="AB6" i="9" s="1"/>
  <c r="X5" i="7"/>
  <c r="X5" i="9"/>
  <c r="X6" i="9" s="1"/>
  <c r="AD6" i="7"/>
  <c r="AD5" i="7"/>
  <c r="AD5" i="9"/>
  <c r="AD6" i="9" s="1"/>
  <c r="T5" i="7"/>
  <c r="T5" i="9"/>
  <c r="T6" i="9" s="1"/>
  <c r="AG87" i="7"/>
  <c r="AG150" i="7"/>
  <c r="AH150" i="7"/>
  <c r="AG56" i="7"/>
  <c r="AH57" i="7"/>
  <c r="AG44" i="7"/>
  <c r="AH45" i="7"/>
  <c r="AH71" i="7"/>
  <c r="AH122" i="7"/>
  <c r="AH67" i="7"/>
  <c r="L21" i="7"/>
  <c r="Y17" i="7"/>
  <c r="AH21" i="7"/>
  <c r="Q22" i="7"/>
  <c r="Q21" i="7" s="1"/>
  <c r="Q17" i="7" s="1"/>
  <c r="Q12" i="7" s="1"/>
  <c r="U22" i="7"/>
  <c r="AH23" i="7" s="1"/>
  <c r="AG143" i="7"/>
  <c r="U130" i="7"/>
  <c r="AG130" i="7" s="1"/>
  <c r="P12" i="7"/>
  <c r="AG23" i="7"/>
  <c r="P5" i="7" l="1"/>
  <c r="P5" i="9"/>
  <c r="P6" i="9" s="1"/>
  <c r="Q5" i="7"/>
  <c r="Q5" i="9"/>
  <c r="Q6" i="9" s="1"/>
  <c r="L17" i="7"/>
  <c r="L12" i="7" s="1"/>
  <c r="Y12" i="7"/>
  <c r="AH17" i="7"/>
  <c r="U21" i="7"/>
  <c r="U17" i="7" s="1"/>
  <c r="AG22" i="7"/>
  <c r="AH12" i="7" l="1"/>
  <c r="Y5" i="7"/>
  <c r="Y5" i="9"/>
  <c r="Y6" i="9" s="1"/>
  <c r="L5" i="7"/>
  <c r="L5" i="9"/>
  <c r="L6" i="9" s="1"/>
  <c r="AH22" i="7"/>
  <c r="AG21" i="7"/>
  <c r="U12" i="7" l="1"/>
  <c r="AG17" i="7"/>
  <c r="U5" i="7" l="1"/>
  <c r="U5" i="9"/>
  <c r="U6" i="9" s="1"/>
  <c r="AG12" i="7"/>
  <c r="AH27" i="9"/>
</calcChain>
</file>

<file path=xl/sharedStrings.xml><?xml version="1.0" encoding="utf-8"?>
<sst xmlns="http://schemas.openxmlformats.org/spreadsheetml/2006/main" count="2680" uniqueCount="653">
  <si>
    <t>STT</t>
  </si>
  <si>
    <t>A</t>
  </si>
  <si>
    <t>B</t>
  </si>
  <si>
    <t>C</t>
  </si>
  <si>
    <t>Đơn vị: Triệu đồng</t>
  </si>
  <si>
    <t>I</t>
  </si>
  <si>
    <t>II</t>
  </si>
  <si>
    <t>Danh mục dự án</t>
  </si>
  <si>
    <t>Năng lực thiết kế</t>
  </si>
  <si>
    <t>Ghi chú</t>
  </si>
  <si>
    <t>Tổng số (tất cả các nguồn vốn)</t>
  </si>
  <si>
    <t>Tổng số</t>
  </si>
  <si>
    <t>Quyết định đầu tư</t>
  </si>
  <si>
    <t>Cờ Đỏ</t>
  </si>
  <si>
    <t>Cái Răng</t>
  </si>
  <si>
    <t>Kè chống sạt lỡ sông Ô Môn</t>
  </si>
  <si>
    <t>2009-2020</t>
  </si>
  <si>
    <t>Bình Thủy</t>
  </si>
  <si>
    <t>2018-2020</t>
  </si>
  <si>
    <t>Đường Vành đai sân bay Cần Thơ kết nối đường Lê Hồng Phong đến Quốc lộ 91B</t>
  </si>
  <si>
    <t>2863/QĐ-UBND 30/10/2017
3183/QĐ-UBND 06/12/2017</t>
  </si>
  <si>
    <t>Cấp điện nông thôn từ lưới điện quốc gia của thành phố Cần Thơ</t>
  </si>
  <si>
    <t>2016-2020</t>
  </si>
  <si>
    <t>894/QĐ-UBND 31/3/2016</t>
  </si>
  <si>
    <t>III</t>
  </si>
  <si>
    <t>2017-2019</t>
  </si>
  <si>
    <t>IV</t>
  </si>
  <si>
    <t>Ninh kiều</t>
  </si>
  <si>
    <t>V</t>
  </si>
  <si>
    <t>Ninh Kiều</t>
  </si>
  <si>
    <t>VI</t>
  </si>
  <si>
    <t>VII</t>
  </si>
  <si>
    <t>Thới Lai</t>
  </si>
  <si>
    <t>VIII</t>
  </si>
  <si>
    <t>2017-2020</t>
  </si>
  <si>
    <t>Mua sắm trang thiết bị</t>
  </si>
  <si>
    <t>500 giường</t>
  </si>
  <si>
    <t>223/QĐ-UBND 25/01/2017</t>
  </si>
  <si>
    <t>TP.Cần Thơ</t>
  </si>
  <si>
    <t>Địa điểm xây dựng</t>
  </si>
  <si>
    <t>Thời gian khởi công - hoàn thành</t>
  </si>
  <si>
    <t>Số Quyết định, ngày tháng, năm ban hành</t>
  </si>
  <si>
    <t>Tổng mức đầu tư được duyệt</t>
  </si>
  <si>
    <t>Chia theo nguồn vốn</t>
  </si>
  <si>
    <t>Ngoài nước</t>
  </si>
  <si>
    <t>Ngân sách trung ương</t>
  </si>
  <si>
    <t>Ngân sách địa phương</t>
  </si>
  <si>
    <t>Cân đối NSĐP</t>
  </si>
  <si>
    <t>Sử dụng đất</t>
  </si>
  <si>
    <t>XSKT</t>
  </si>
  <si>
    <t>Nguồn bội chi ngân sách địa phương</t>
  </si>
  <si>
    <t>Quỹ phát triển đất thành phố</t>
  </si>
  <si>
    <t>Trả nợ gốc và lãi các khoản vay</t>
  </si>
  <si>
    <t>Kế hoạch vốn thực hiện</t>
  </si>
  <si>
    <t>Hỗ trợ các dự án thuộc Chương trình MTQG xây dựng nông thôn mới (Bao gồm thưởng các xã, huyện đạt chuẩn nông thôn mới theo Kế hoạch số 94/KH-UBND của UBND thành phố)</t>
  </si>
  <si>
    <t>Nguồn vốn Trung ương hỗ trợ có mục tiêu (chưa phân bổ chi tiết)</t>
  </si>
  <si>
    <t>Nguồn bội chi NSĐP</t>
  </si>
  <si>
    <t>Phẩn bổ chi tiết</t>
  </si>
  <si>
    <t>Thành phố quản lý</t>
  </si>
  <si>
    <t>Lĩnh vực Nông nghiệp, lâm nghiệp, thủy lợi và thủy sản</t>
  </si>
  <si>
    <t>**</t>
  </si>
  <si>
    <t>Dự án chuyển tiếp</t>
  </si>
  <si>
    <t>Vĩnh Thạnh</t>
  </si>
  <si>
    <t>Công trình cấp III</t>
  </si>
  <si>
    <t>Ô Môn</t>
  </si>
  <si>
    <t>Công trình thủy lợi cấp III</t>
  </si>
  <si>
    <t>1643/QĐ-UBND 22/6/2010</t>
  </si>
  <si>
    <t>***</t>
  </si>
  <si>
    <t>Dự án khởi công mới</t>
  </si>
  <si>
    <t>Kè sông Cần Thơ - Ứng phó biến đổi khí hậu</t>
  </si>
  <si>
    <t>Ninh Kiều, Cái Răng, Phong Điền</t>
  </si>
  <si>
    <t>1027/QĐ-UBND 13/4/2016</t>
  </si>
  <si>
    <t>Lĩnh vực Giao thông</t>
  </si>
  <si>
    <t>*</t>
  </si>
  <si>
    <t>Đường nối thị xã Vị Thanh tỉnh Hậu Giang với thành phố Cần Thơ (đoạn thuộc thành phố Cần Thơ) giai đoạn 1</t>
  </si>
  <si>
    <t>Cái Răng, Phong Điền</t>
  </si>
  <si>
    <t>Đường cấp II</t>
  </si>
  <si>
    <t>2007-2019</t>
  </si>
  <si>
    <t xml:space="preserve"> 2837/QĐ-UBND 01/10/2015
</t>
  </si>
  <si>
    <t>Phong Điền</t>
  </si>
  <si>
    <t>2010-2018</t>
  </si>
  <si>
    <t>2698/QĐ-UBND 23/8/2016 (đ/c)</t>
  </si>
  <si>
    <t>Xây dựng cầu Rạch Nhum và cầu Rạch Tra thuộc Đường tỉnh 922, TP. Cần Thơ</t>
  </si>
  <si>
    <t>Ô Môn, Thới Lai</t>
  </si>
  <si>
    <t>2786/QĐ-UBND 06/9/2016</t>
  </si>
  <si>
    <t>Đường cấp III</t>
  </si>
  <si>
    <t>2016-2018</t>
  </si>
  <si>
    <t>Cầu, tuyến đường dẫn vào cầu từ Khu tái định cư Trường Đại học Y dược Cần Thơ đến Khu đô thị tái định cư Cửu Long</t>
  </si>
  <si>
    <t>Ninh Kiều, Bình Thủy</t>
  </si>
  <si>
    <t>896/QĐ-UBND 7/4/2017</t>
  </si>
  <si>
    <t xml:space="preserve">Đường vào dự án Trung tâm sức khỏe sinh sản (đường số 5) thuộc Khu đô thị hai bên đường Nguyễn Văn Cừ (đoạn từ đường Cái Sơn - Hàng Bàng đến đường tỉnh 923) </t>
  </si>
  <si>
    <t>2864/QĐ-UBND 30/10/2017</t>
  </si>
  <si>
    <t>Lĩnh vực Công nghiệp</t>
  </si>
  <si>
    <t>Phong Điền, thới Lai, Cờ Đỏ, Vĩnh Thạnh</t>
  </si>
  <si>
    <t>Lĩnh vực Công nghệ thông tin</t>
  </si>
  <si>
    <t>Nâng cấp thiết bị phòng hợp trực tuyến, xây dựng Trung tâm tích hợp dữ liệu, nâng cấp thiết bị hệ thống mạng, phần mềm đặc thù cho các cơ quan Đảng thành phố Cần Thơ</t>
  </si>
  <si>
    <t>Mua sắm, trang thiết bị</t>
  </si>
  <si>
    <t>3364/QĐ-UBND ngày 31/10/2016</t>
  </si>
  <si>
    <t>Hệ thống tổng hợp, thu thập trực tuyến ý kiến đánh giá của công dân, tổ chức và doanh nghiệp trong việc thực hiện thủ tục hành chính tại CQNN</t>
  </si>
  <si>
    <t>158/QĐ-SKHĐT ngày 19/9/2016</t>
  </si>
  <si>
    <t>Lĩnh vực thông tin</t>
  </si>
  <si>
    <t xml:space="preserve">Dự án khởi công mới </t>
  </si>
  <si>
    <t>Tăng cường cơ sở vật chất cho hệ thống truyền thành cơ sở và nâng cấp hạ tầng kỹ thuật các đài truyền thanh cấp huyện</t>
  </si>
  <si>
    <t>95/QĐ-UBND ngày 13/01/2017</t>
  </si>
  <si>
    <t>Lĩnh vực Văn hóa:</t>
  </si>
  <si>
    <t>Bồi hoàn, GPMB</t>
  </si>
  <si>
    <t xml:space="preserve">Bia tưởng niệm Di tích chiến thắng Ông Đưa </t>
  </si>
  <si>
    <t xml:space="preserve">Thới Lai </t>
  </si>
  <si>
    <t>Công trình cấp IV</t>
  </si>
  <si>
    <t>1579/QĐ-UBND 16/6/2017</t>
  </si>
  <si>
    <t>Bảo tồn, tôn tạo và phát huy giá trị di tích lịch sử địa điểm thành lập Chi bộ An Nam Cộng sản Đảng Cờ Đỏ</t>
  </si>
  <si>
    <t>1783/QĐ-UBND 13/7/2017</t>
  </si>
  <si>
    <t>Lĩnh vực khoa học công nghệ</t>
  </si>
  <si>
    <t>Trung tâm ứng dụng tiến bộ khoa học và công nghệ thành phố Cần Thơ</t>
  </si>
  <si>
    <t>3243/QĐ-UBND 30/10/2015</t>
  </si>
  <si>
    <t>Mua sắm trang thiết bị tại Trung tâm kỹ thuật tiêu chuẩn đo lường chất lượng Cần Thơ</t>
  </si>
  <si>
    <t>1766/QĐ-UBND 24/5/2016</t>
  </si>
  <si>
    <t>Lĩnh vực Giáo dục, đào tạo và giáo dục nghề nghiệp</t>
  </si>
  <si>
    <t>Công trình chuyển tiếp</t>
  </si>
  <si>
    <t>Nâng cấp Trường Cao đẳng Kinh tế - Kỹ thuật Cần Thơ để thành lập Trường Đại học Kinh tế - Kỹ thuật Nông nghiệp Cần Thơ</t>
  </si>
  <si>
    <t>3216/QĐ-UBND 30/10/2015</t>
  </si>
  <si>
    <t>Trường THPT Châu Văn Liêm</t>
  </si>
  <si>
    <t>3497/QĐ-UBND 16/11/2016</t>
  </si>
  <si>
    <t xml:space="preserve">Trường THPT chuyên Phú Thứ </t>
  </si>
  <si>
    <t>Cài Răng</t>
  </si>
  <si>
    <t>3356/QĐ-UBND 31/10/2016</t>
  </si>
  <si>
    <t>Trường THPT Bình Thủy (giai đoạn 3)</t>
  </si>
  <si>
    <t>3358/QĐ-UBND 31/10/2016</t>
  </si>
  <si>
    <t>Trường THCS và THPT Thạnh Thắng</t>
  </si>
  <si>
    <t>3359/QĐ-UBND 31/10/2016</t>
  </si>
  <si>
    <t>Trường THPT Trung An</t>
  </si>
  <si>
    <t xml:space="preserve">Trường THPT Hà Huy Giáp (giai đoạn 2) huyện Cờ Đỏ </t>
  </si>
  <si>
    <t>2800/QĐ-UBND 26/10/2017</t>
  </si>
  <si>
    <t xml:space="preserve">Trường THPT Vĩnh Thạnh (giai đoạn 3) </t>
  </si>
  <si>
    <t>2823/QĐ-UBND 27/10/2017</t>
  </si>
  <si>
    <t>Trường THPT Thới Lai</t>
  </si>
  <si>
    <t>2829/QĐ-UBND 27/10/2017</t>
  </si>
  <si>
    <t>Lĩnh vực Y tế, dân số và vệ sinh an toàn thực phẩm</t>
  </si>
  <si>
    <t>Mua sắm trang thiết bị Bệnh viện Lao và Bệnh phổi TPCT</t>
  </si>
  <si>
    <t xml:space="preserve">890/QĐ-UBND 31/3/2016 </t>
  </si>
  <si>
    <t>Mua sắm trang thiết bị Bệnh viện Nhi  đồng TPCT</t>
  </si>
  <si>
    <t>889/QĐ-UBND 31/3/2016</t>
  </si>
  <si>
    <t>Bệnh viện Ung bướu thành phố Cần Thơ</t>
  </si>
  <si>
    <t>Nâng cấp cơ sở vật chất Bệnh viện Đa khoa quận Ô Môn</t>
  </si>
  <si>
    <t>Bệnh viện Y học cổ truyền thành phố Cần Thơ (quy mô 200 giường)</t>
  </si>
  <si>
    <t>200 Giường</t>
  </si>
  <si>
    <t>Trung tâm sức khỏe sinh sản Cần Thơ</t>
  </si>
  <si>
    <t>Phát triển thành phố Cần Thơ và tăng cường khả năng thích ứng của đô thị</t>
  </si>
  <si>
    <t>2016-2021</t>
  </si>
  <si>
    <t>164/QĐ-UBND 20/01/2016</t>
  </si>
  <si>
    <t>Lĩnh vực Tài nguyên và Môi trường</t>
  </si>
  <si>
    <t>Lĩnh vực Quản lý nhà nước</t>
  </si>
  <si>
    <t xml:space="preserve">Trụ sở làm việc Chi cục Quản lý chất lượng nông, lâm sản  và thủy sản thành phố Cần Thơ </t>
  </si>
  <si>
    <t>2018-2019</t>
  </si>
  <si>
    <t>2744/QĐ-UBND 20/10/2017</t>
  </si>
  <si>
    <t>Lĩnh vực An ninh - Quốc phòng</t>
  </si>
  <si>
    <t>Mua sắm hàng hóa theo Đề án đảm bảo chiên lược ANCT&amp;TTATXH của TPCT</t>
  </si>
  <si>
    <t>2518/QĐ-UBND 25/9/2017</t>
  </si>
  <si>
    <t>Bồi thường, hỗ trợ và TĐC xây dựng Khu huấn luyện 1 thành phố Cần Thơ.</t>
  </si>
  <si>
    <t>1739/QĐ-UBND 07/07/2017</t>
  </si>
  <si>
    <t>Bồi thường, hỗ trợ và tái định cư khu đất xây dựng trụ sở làm việc Phòng Cảnh sát Phòng cháy chữa cháy huyện Phong Điền, TP.Cần Thơ</t>
  </si>
  <si>
    <t>2089/QĐ-UBND 22/6/2016</t>
  </si>
  <si>
    <t>Công trình quận - huyện quản lý</t>
  </si>
  <si>
    <t>UBND quận Ninh Kiều</t>
  </si>
  <si>
    <t>Vốn phân bổ theo tiêu chí định mức</t>
  </si>
  <si>
    <t>UBND quận Bình Thủy</t>
  </si>
  <si>
    <t>Các dự án do thành phố hỗ trợ vốn đầu tư</t>
  </si>
  <si>
    <t>UBND quận Cái Răng</t>
  </si>
  <si>
    <t>UBND quận Ô Môn</t>
  </si>
  <si>
    <t>UBND quận Thốt Nốt</t>
  </si>
  <si>
    <t>UBND huyện Phong Điền</t>
  </si>
  <si>
    <t>UBND huyện Cờ Đỏ</t>
  </si>
  <si>
    <t>UBND huyện Thới Lai</t>
  </si>
  <si>
    <t>Thới lai</t>
  </si>
  <si>
    <t>IX</t>
  </si>
  <si>
    <t>UBND huyện Vĩnh Thạnh</t>
  </si>
  <si>
    <t>(Ban hành kèm theo Quyết định số       /QĐ-UBND ngày     tháng 12 năm 2017 của Ủy ban nhân dân thành phố )</t>
  </si>
  <si>
    <t>Địa điểm mở tài khoản của dự án</t>
  </si>
  <si>
    <t>Nhóm dự án</t>
  </si>
  <si>
    <t>Mã số dự án đầu tư</t>
  </si>
  <si>
    <t>Kế hoạch vốn đầu tư công trung hạn giai đoạn 2016-2020</t>
  </si>
  <si>
    <t>KBNN Cần Thơ</t>
  </si>
  <si>
    <t>XI</t>
  </si>
  <si>
    <t>XII</t>
  </si>
  <si>
    <t>XIII</t>
  </si>
  <si>
    <t>XIV</t>
  </si>
  <si>
    <t>KBNN Phong Điền</t>
  </si>
  <si>
    <t>KBNN Thới Lai</t>
  </si>
  <si>
    <t>Lĩnh vực khác</t>
  </si>
  <si>
    <t>Mã ngành kinh tế (loại, khoản)</t>
  </si>
  <si>
    <t>Dự án đã hoàn thành bàn giao đưa vào sử dụng trước ngày 31/12/2018</t>
  </si>
  <si>
    <t>06 trụ sở làm việc Công an các xã, thị trấn trên địa bàn huyện Vĩnh Thạnh</t>
  </si>
  <si>
    <t>KBNN
Vĩnh Thạnh</t>
  </si>
  <si>
    <t>040</t>
  </si>
  <si>
    <t>455m2</t>
  </si>
  <si>
    <t>2853/QĐ-UBND ngày 30/10/2017</t>
  </si>
  <si>
    <t>03 Trụ sở Ban chỉ huy quân sự xã trên địa bàn huyện Vĩnh Thạnh, thành phố Cần Thơ</t>
  </si>
  <si>
    <t>010</t>
  </si>
  <si>
    <t>7106m2</t>
  </si>
  <si>
    <t>2870/QĐ-UBND ngày 31/10/2017</t>
  </si>
  <si>
    <t>Trụ sở Công an xã Nhơn Ái</t>
  </si>
  <si>
    <t>Trụ sở Công an xã Nhơn Nghĩa</t>
  </si>
  <si>
    <t>Giá trị khối lượng thực hiện từ khởi công đến 31/12/2018</t>
  </si>
  <si>
    <t>Lũy kế vốn đã bố trí đến 31/12/2018</t>
  </si>
  <si>
    <t>Xây dựng 07 trụ sở Công an xã của huyện Thới Lai</t>
  </si>
  <si>
    <t xml:space="preserve">01 trệt, 01 lầu </t>
  </si>
  <si>
    <t>2843/QĐ-UBND ngày 30/10/2017</t>
  </si>
  <si>
    <t>7528/QĐ-UBND  31/10/2017</t>
  </si>
  <si>
    <t>7512/QĐ-UBND  31/10/2017</t>
  </si>
  <si>
    <t>Đầu tư mua sắm máy soi chiếu X-Quang xách tay di động công nghệ tán xạ ngược</t>
  </si>
  <si>
    <t>Mua sắm TB</t>
  </si>
  <si>
    <t>Cơ sở làm việc Trung đội 1 Bảo vệ mục tiêu Đài phát sóng, phát thanh VN2</t>
  </si>
  <si>
    <t xml:space="preserve">Trang thiết bị cứu hộ, cứu nạn thuộc Bộ Chỉ huy Quân sự thành phố Cần Thơ </t>
  </si>
  <si>
    <t>3416/QĐ-UBND ngày 20/12/2017</t>
  </si>
  <si>
    <t>Hệ thống trang âm, cách âm phòng thu S1</t>
  </si>
  <si>
    <t>Dự án chuyển đổi nông nghiệp bền vững thành phố Cần Thơ (VnSAT)</t>
  </si>
  <si>
    <t>TL, CĐ, VT</t>
  </si>
  <si>
    <t>2015-2020</t>
  </si>
  <si>
    <t>599/QĐ-UBND ngày 08/3/2018</t>
  </si>
  <si>
    <t>2019-2022</t>
  </si>
  <si>
    <t xml:space="preserve">Dự án Bồi thường, hỗ trợ và tái định cư dự án xây dựng Trung tâm Văn hoá Tây Đô giai đoạn 2 </t>
  </si>
  <si>
    <t>Đường số 9 cạnh Bệnh viện Ung Bướu và Đường số 11 cạnh rạch Rau Răm</t>
  </si>
  <si>
    <t xml:space="preserve">Sửa chữa, cải tạo mở rộng trụ sở làm việc Sở Nội vụ </t>
  </si>
  <si>
    <t xml:space="preserve">54/QĐ-SXD 27/4/2018 </t>
  </si>
  <si>
    <t>Nâng cấp, sửa chữa</t>
  </si>
  <si>
    <t>2019-2020</t>
  </si>
  <si>
    <t>35/QĐ-SXD 23/3/2018</t>
  </si>
  <si>
    <t>093</t>
  </si>
  <si>
    <t>1605/QĐ-UBND 25/6/2018</t>
  </si>
  <si>
    <t>Dự án đầu tư nghề trọng điểm Trường Cao đẳng nghề Cần Thơ, hạng mục: Cải tạo, nâng cấp sân, đường nội bộ và các hạng mục phụ trợ khác.</t>
  </si>
  <si>
    <t>3346/QĐ-UBND 31/10/2016</t>
  </si>
  <si>
    <t>3046/QĐ-UBND 05/10/2016</t>
  </si>
  <si>
    <t>3352/QĐ-UBND 31/10/2016</t>
  </si>
  <si>
    <t>Bồi thường hỗ trợ tái định cư đường song hành đường dẫn cầu Cần Thơ</t>
  </si>
  <si>
    <t>3252/QĐ-UBND 24/10/2016</t>
  </si>
  <si>
    <t>Kế hoạch vốn năm 2019</t>
  </si>
  <si>
    <t>1187/QĐ-UBND 20/4/2015</t>
  </si>
  <si>
    <t>Chủ đầu tư</t>
  </si>
  <si>
    <t>Đường Nguyễn Văn Cừ nối dài giai đoạn Mỹ Khánh  - Phong Điền)</t>
  </si>
  <si>
    <t>Đường phố chính cấp II</t>
  </si>
  <si>
    <t>Sửa chữa, nâng cấp trụ sở làm việc Viện Kinh tế - Xã hội thành phố Cần Thơ</t>
  </si>
  <si>
    <t>157/QĐ-SXD 22/7/2016
53/QĐ-SXD 26/4/2018</t>
  </si>
  <si>
    <t>2016-2019</t>
  </si>
  <si>
    <t>Dự án đầu tư nghề trọng điểm Trường Cao đẳng nghề Cần Thơ, hạng mục: xây dựng 2 khối lớp học tích hợp và các hạng mục phụ trợ, thiết bị</t>
  </si>
  <si>
    <t>3228/QĐ-UBND 30/10/2015</t>
  </si>
  <si>
    <t>Trường CĐ Nghề Cần Thơ</t>
  </si>
  <si>
    <t>Dự án hỗ trợ cơ giới hóa nông nghiệp Việt Nam tại thành phố Cần Thơ</t>
  </si>
  <si>
    <t>2261/QĐ-UBND 31/8/2018</t>
  </si>
  <si>
    <t>Cơ sở làm việc Phòng Cảnh sát bảo vệ và hỗ trợ tư pháp</t>
  </si>
  <si>
    <t>Công an thành phố Cần Thơ</t>
  </si>
  <si>
    <t>2010-2015</t>
  </si>
  <si>
    <t>2080/QĐ-BCA (H11) 29/12/2006</t>
  </si>
  <si>
    <t>Bồi thường, hỗ trợ và tái định cư và san lắp mặt bằng khu đất quy hoạch xây dựng Trạm CSGT đường thủy Hưng Phú</t>
  </si>
  <si>
    <t>162/QĐ-SXD 30/10/2017</t>
  </si>
  <si>
    <t>Bồi thường, hỗ trợ và tái định cư Trạm CSGT đường bộ (Trạm số 2) tại phường Phước Thới, quận Ô Môn</t>
  </si>
  <si>
    <t>1919/QĐ-UBND 30/7/2018</t>
  </si>
  <si>
    <t>154/QĐ-UBND 26/9/2018</t>
  </si>
  <si>
    <t xml:space="preserve">Quản lý ngập lụt và sạt lở đất đô thị dựa vào cộng đồng cho thành phố Cần Thơ </t>
  </si>
  <si>
    <t>Văn phòng Công tác Biến đổi khí hậu TP.Cần Thơ</t>
  </si>
  <si>
    <t>572/QĐ-UBND 8/3/2013</t>
  </si>
  <si>
    <t>Kè chống sạt lở, chống xâm nhập mặn, ứng phó biến đổi khí hậu khu vực rạch Cái Sơn</t>
  </si>
  <si>
    <t xml:space="preserve">Chi cục Thủy lợi </t>
  </si>
  <si>
    <t>1315/QĐ-UBND  24/5/2018; 1620/QĐ-UBND 27/6/2018</t>
  </si>
  <si>
    <t>Xưởng sửa chữa tổng hợp thuộc Bộ Chỉ huy Quân sự thành phố Cần Thơ</t>
  </si>
  <si>
    <t xml:space="preserve">BCH Quân sự thành phố </t>
  </si>
  <si>
    <t>2811/QĐ-UBND 8/9/2016</t>
  </si>
  <si>
    <t>Phụ lục 5/BC-XDCB</t>
  </si>
  <si>
    <t>BẢNG TỔNG HỢP KẾ HOẠCH VỐN  ĐẦU TƯ TOÀN XÃ HỘI NĂM 2018 PHÂN THEO NGÀNH - LĨNH VỰC</t>
  </si>
  <si>
    <t>ĐVT: Triệu đồng</t>
  </si>
  <si>
    <t xml:space="preserve">DANH MỤC CÔNG TRÌNH </t>
  </si>
  <si>
    <t>Tổng vốn đầu tư toàn xã hội</t>
  </si>
  <si>
    <t>Các nguồn vốn ngân sách do địa phương quản lý</t>
  </si>
  <si>
    <t>Vốn TPCP và nguồn vốn khác</t>
  </si>
  <si>
    <t>Đàu tư của các Bộ Ngành, doanh nghiệp Trung ương trên địa bàn</t>
  </si>
  <si>
    <t>Đầu tư trực tiếp nước ngoài</t>
  </si>
  <si>
    <t>Đầu tư từ vốn tư nhân và dân cư</t>
  </si>
  <si>
    <t>Tỷ lệ đầu tư so với tổng vốn toàn xã hội (%)</t>
  </si>
  <si>
    <t>Ghi chú</t>
  </si>
  <si>
    <t xml:space="preserve">Tổng số </t>
  </si>
  <si>
    <t xml:space="preserve">Trong đó </t>
  </si>
  <si>
    <t>Vốn ODA</t>
  </si>
  <si>
    <t>Trung ương hỗ trợ đầu tư có mục tiêu</t>
  </si>
  <si>
    <t>Bội Chi ngân sách (bao gồm vốn tín dụng đầu tư và tạm úng vốn nhàn rỗi Kho bạc và vat khác của địa phương</t>
  </si>
  <si>
    <t>Vốn trong cân đối ngân sách địa phương</t>
  </si>
  <si>
    <t>Bao gồm các nguồn vốn</t>
  </si>
  <si>
    <t>Tiền sử dụng đất</t>
  </si>
  <si>
    <t>TỔNG SỐ</t>
  </si>
  <si>
    <t>- Trả nợ lãi và gốc các khoản vay</t>
  </si>
  <si>
    <t>- Quỹ phát triển đất thành phố (thực hiện nhiệm vụ tạo quỹ đất sạch và các dự án BT, PPP… theo quy định)</t>
  </si>
  <si>
    <t>- Dự phòng</t>
  </si>
  <si>
    <t>- Vốn chuẩn bị đầu tư</t>
  </si>
  <si>
    <t>ĐẦU TƯ LĨNH VỰC KINH TẾ</t>
  </si>
  <si>
    <t>Ngành giao thông vận tải</t>
  </si>
  <si>
    <t>Công nghiệp, xây dựng</t>
  </si>
  <si>
    <t>Ngành nông, lâm, thủy sản, thủy lợi,</t>
  </si>
  <si>
    <t>Thương mại - Dịch vụ</t>
  </si>
  <si>
    <t>ĐẦU TƯ LĨNH VỰC XÃ HỘI</t>
  </si>
  <si>
    <t>Lĩnh vực cấp nước, thoát nước và xử lý rác thải, nước thải</t>
  </si>
  <si>
    <t>Lĩnh vực Thể thao</t>
  </si>
  <si>
    <t>Lĩnh vực Du lịch</t>
  </si>
  <si>
    <t xml:space="preserve">Lĩnh vực khoa học công nghệ </t>
  </si>
  <si>
    <t>Công nghệ thông tin</t>
  </si>
  <si>
    <t>Lĩnh vực Xã hội, phúc lợi công cộng</t>
  </si>
  <si>
    <t xml:space="preserve">Lĩnh vực Tài nguyên và Môi trường </t>
  </si>
  <si>
    <t>Ngành lĩnh vực khác</t>
  </si>
  <si>
    <t>Mua sắm trang thiết bị để đảm bảo tổ chức xây dựng lực lượng thực hiện nhiệm vụ phòng không nhân dân thành phố Cần Thơ giai đoạn 2016-2020</t>
  </si>
  <si>
    <t>106/QĐ-SKHĐT 06/9/2018</t>
  </si>
  <si>
    <t>2015-2018</t>
  </si>
  <si>
    <t>909/QĐ-UBND ngày 23/3/2015</t>
  </si>
  <si>
    <t>Công trình cấp II</t>
  </si>
  <si>
    <t>Đền thờ Châu Văn Liêm, huyện Thới Lai</t>
  </si>
  <si>
    <t>Khu tưởng niệm cố nhạc sĩ mộc quán Nguyễn Trọng Quyền</t>
  </si>
  <si>
    <t xml:space="preserve">Thốt Nốt </t>
  </si>
  <si>
    <t>2503/QĐ-UBND ngày 31/8/2015</t>
  </si>
  <si>
    <t>Trùng tu di tích đình Thới An quận Ô Môn</t>
  </si>
  <si>
    <t>2015-2017</t>
  </si>
  <si>
    <t>1864/QĐ-UBND ngày 23/6/2014</t>
  </si>
  <si>
    <t xml:space="preserve">Nâng cấp, sửa chữa Khu nhà 4 Đình Thường Thạnh </t>
  </si>
  <si>
    <t>169/QĐ-SKHĐT ngày 29/9/2016</t>
  </si>
  <si>
    <t>Lĩnh vực Văn hóa, Thể thao:</t>
  </si>
  <si>
    <t>Nâng cấp cải tạo và đầu tư sân bóng đá quận Ô Môn</t>
  </si>
  <si>
    <t>3249/QĐ-UBND ngày 30/10/2015</t>
  </si>
  <si>
    <t>Trường THPT Bùi Hữu Nghĩa</t>
  </si>
  <si>
    <t>2009-2012</t>
  </si>
  <si>
    <t>1865/QĐ-UBND 26/7/2018</t>
  </si>
  <si>
    <t>Dự án hạ tầng khu dân cư – tái định cư hai bên đường Nguyễn Văn Cừ</t>
  </si>
  <si>
    <t>3242/QĐ-UBND 30/10/2015</t>
  </si>
  <si>
    <t>215/QĐ-UBND 25/01/2018</t>
  </si>
  <si>
    <t>Dự án Bồi thướng, hỗ trợ và tái định cư Khu dô thị Võ Văn Kiệt - đoạn từ Rạch Sao đến Rạch Mương Khai (diện tích 35ha)</t>
  </si>
  <si>
    <t>081</t>
  </si>
  <si>
    <t>HTKT Cấp III</t>
  </si>
  <si>
    <t>Lập bản đồ, hồ sơ địa chính, quản lý đất đai theo chỉ thị số 1474/CT-TTg ngày  24/8/2011 của Thủ tướng Chính phủ (10% nguồn tiền SDĐ)</t>
  </si>
  <si>
    <t>1928/QĐ-UBND 07/7/2015 (Đ/c)</t>
  </si>
  <si>
    <t>Bệnh viện Nhi đồng thành phố Cần Thơ (500 giường)</t>
  </si>
  <si>
    <t>2010-2017</t>
  </si>
  <si>
    <t>Sở Nông nghiệp và Phát triển nông thôn</t>
  </si>
  <si>
    <t>Ban QLDA ĐTXD thành phố</t>
  </si>
  <si>
    <t>Sở Giao thông vận tải</t>
  </si>
  <si>
    <t>Ban QLDA ĐTXD 2 thành phố</t>
  </si>
  <si>
    <t>Trung tâm Phát triển quỹ đất thành phố</t>
  </si>
  <si>
    <t>Sở Công thương</t>
  </si>
  <si>
    <t>Văn phòng Thành ủy</t>
  </si>
  <si>
    <t>Sở Thông tin và truyền thông</t>
  </si>
  <si>
    <t>Đài PTTH thành phố Cần Thơ</t>
  </si>
  <si>
    <t>Sở Văn hóa, Thể thao và Du lịch</t>
  </si>
  <si>
    <t>Sở Giáo dục và Đào tạo</t>
  </si>
  <si>
    <t>Trường Cao đẳng Kinh tế - Kỹ thuật Cần Thơ</t>
  </si>
  <si>
    <t>Sở Y tế</t>
  </si>
  <si>
    <t>Sở Nội vụ</t>
  </si>
  <si>
    <t>Ban QLDA ODA</t>
  </si>
  <si>
    <t>Vốn chuẩn bị đầu tư và vốn quy hoạch</t>
  </si>
  <si>
    <t>Dự phòng</t>
  </si>
  <si>
    <t>KẾ HOẠCH VỐN ĐẦU TƯ PHÁT TRIỂN NĂM 2019 (PHÂN THEO NGÀNH LĨNH VỰC)</t>
  </si>
  <si>
    <t>Dự phòng vốn bố trí cho các dự án giáo dục, đào tạo và dạy nghề</t>
  </si>
  <si>
    <t>Tuyến lộ Lê Bình  - Phú Thứ - Tân Phú</t>
  </si>
  <si>
    <t>Kho bạc NN Cái Răng</t>
  </si>
  <si>
    <t>7607855</t>
  </si>
  <si>
    <t>10.320m</t>
  </si>
  <si>
    <t>708A/QĐ-UBND ngày 29/3/2016, 85/QĐ-UBND ngày 09/01/2017 (đ/c)</t>
  </si>
  <si>
    <t>Tuyến đường Trường Thành, Trường Thắng</t>
  </si>
  <si>
    <t>Kho bạc NN  Thới Lai</t>
  </si>
  <si>
    <t>7607483</t>
  </si>
  <si>
    <t>5.100m</t>
  </si>
  <si>
    <t>3159/QĐ-UBND ngày 31/12/2015, 345/QĐ-UBND ngày 06/01/2017 (đ/c)</t>
  </si>
  <si>
    <t>011</t>
  </si>
  <si>
    <t>074</t>
  </si>
  <si>
    <t>X</t>
  </si>
  <si>
    <t>XV</t>
  </si>
  <si>
    <t>XVI</t>
  </si>
  <si>
    <t>XVII</t>
  </si>
  <si>
    <t>XVIII</t>
  </si>
  <si>
    <t>XIX</t>
  </si>
  <si>
    <t>XX</t>
  </si>
  <si>
    <t>XXI</t>
  </si>
  <si>
    <t>PHỤ LỤC XI</t>
  </si>
  <si>
    <t>DANH MỤC CÁC CHƯƠNG TRÌNH, DỰ ÁN SỬ DỤNG VỐN NGÂN SÁCH NHÀ NƯỚC NĂM 2019</t>
  </si>
  <si>
    <t>(Kèm theo Tờ trình số ………/TTr-UBND ngày ……. tháng ……. năm 2018 của Ủy ban nhân dân thành phố)</t>
  </si>
  <si>
    <t>(Kèm theo Nghị quyết số ………/NQ-HĐND ngày ……. tháng ……. năm 2018 của Hội đồng nhân dân thành phố)</t>
  </si>
  <si>
    <t>DANH MỤC CÁC CHƯƠNG TRÌNH, DỰ ÁN SỬ DỤNG VỐN NGÂN SÁCH NHÀ NƯỚC NĂM 2020</t>
  </si>
  <si>
    <t>Trong đó: vốn NSĐP</t>
  </si>
  <si>
    <t>****</t>
  </si>
  <si>
    <t>Kế hoạch vốn thực hiện phân bổ chi tiết</t>
  </si>
  <si>
    <t>Ban QLDA Đầu tư xây dựng 2 thành phố</t>
  </si>
  <si>
    <t>Dự án đã hoàn thành bàn giao đưa vào sử dụng trước ngày 31/12/2019</t>
  </si>
  <si>
    <t>Trường THCS và THPT Trường Xuân</t>
  </si>
  <si>
    <t>Trụ sở Chi cục phòng chống tệ nạn xã hội thành phố Cần Thơ</t>
  </si>
  <si>
    <t xml:space="preserve">Đường Vành đai sân bay Cần Thơ kết nối đường Võ Văn Kiệt đến đường Lê Hồng Phong (đoạn Km 1+675 đến Km 2+163,12)
</t>
  </si>
  <si>
    <t>Dự án chuyển tiếp hoản thành năm 2020</t>
  </si>
  <si>
    <t>Sửa chữa, nâng cấp trụ sở Ủy ban nhân dân thành phố Cần Thơ</t>
  </si>
  <si>
    <t>Nâng cấp phòng họp trực tuyến Hội đồng nhân dân thành phố</t>
  </si>
  <si>
    <t>Khối lớp học, phòng thí nghiệm thực hành (giai đoạn 2) tại cơ sở 1 Trường Đại học Kỹ thuật - Công nghệ Cần Thơ</t>
  </si>
  <si>
    <t>Đường Thắng Lợi 1 (Bờ trái - đoạn từ Ủy ban nhân dân xã Thạnh Lộc đến Sáu Bọng</t>
  </si>
  <si>
    <t>Ban QLDA Đầu tư xây dựng  thành phố</t>
  </si>
  <si>
    <t>Khu TĐC Trung tâm văn hóa Tây Đô - giai đoạn 1</t>
  </si>
  <si>
    <t xml:space="preserve">Đường Nguyễn Văn Cừ nối dài (đoạn Mỹ Khánh - Phong Điền) </t>
  </si>
  <si>
    <t>Dự án dự kiến hoàn thành năm 2020</t>
  </si>
  <si>
    <t>Kè sông Cần Thơ (đoạn bến Ninh Kiều-cầu Cái Sơn và đoạn cầu Quang Trung-cầu Cái Răng)</t>
  </si>
  <si>
    <t>Trường Chính trị thành phố Cần Thơ</t>
  </si>
  <si>
    <t>Dự án chuyển tiếp hoàn thành sau  năm 2020</t>
  </si>
  <si>
    <t>Cầu Vàm Xáng và đường nối từ cầu Vàm Xáng đến Quốc lộ 61C</t>
  </si>
  <si>
    <t>Phát triển thành phố Cần Thơ và tăng cường khả năng thích ứng của đô thị (dự án 3)</t>
  </si>
  <si>
    <t>BCH Quân sự thành phố</t>
  </si>
  <si>
    <t>Bồi thường, hỗ trợ và TĐC phần đất quy hoạch đường song hành dẫn cầu Cần Thơ tạm giao cho BCH Quân sự thành phố quản lý</t>
  </si>
  <si>
    <t>Bồi thường, hỗ trợ và tái định cư khu đất mở rộng ban CHQS huyện ThớiLai</t>
  </si>
  <si>
    <t>Trang thiết bị tác chiến Bộ Chỉ huy Quân sự thành phố</t>
  </si>
  <si>
    <t>Nâng cấp, sửa chữa đường tuần tra kho vũ khí đạn - Bộ CHQS thành phố Cần Thơ</t>
  </si>
  <si>
    <t>Nâng cấp, sửa chữa Trung đoàn Bộ binh 932 - Bộ Chỉ huy Quân sự thành phố</t>
  </si>
  <si>
    <t>Doanh trại Ban Chỉ huy Quân sự huyện Thới Lai (giai đoạn 2)</t>
  </si>
  <si>
    <t>Công an thành phố</t>
  </si>
  <si>
    <t>Bồi thường, hỗ trợ và tái định cư khu đất quy hoạch xây dựng Trạm CSGT tại phường Phước Thới</t>
  </si>
  <si>
    <t>Bồi thường, hỗ trợ, tái định cư và san lấp mặt bằng khu đất quy hoạch xây dựng Trạm CSGT đường thủy Hưng Phú</t>
  </si>
  <si>
    <t>Mua thiết bị soi chiếu X-Quang di động cầm tay công nghệ tán xạ ngược</t>
  </si>
  <si>
    <t>Dự án chuyển tiếp hoàn thành sau năm 2020</t>
  </si>
  <si>
    <t>Cơ sở làm việc Công an quận Ô Môn thuộc Công an TP.Cần Thơ</t>
  </si>
  <si>
    <t>Cơ sở làm việc Công an quận Cái Răng thuộc Công an TP.Cần Thơ</t>
  </si>
  <si>
    <t>Hệ thống xử lý chất thải gây ô nhiễm môi trường Nhà tạm giữ Công an các quận, huyện thuộc Công an TP Cần Thơ</t>
  </si>
  <si>
    <t>Công ty CP Cấp thoát nước Cần Thơ</t>
  </si>
  <si>
    <t>Dự án Thoát nước và xử lý nước thải TPCT</t>
  </si>
  <si>
    <t>Chi cục thủy lợi thành phố</t>
  </si>
  <si>
    <t>Dự án chuyển tiếp hoàn thành năm 2020</t>
  </si>
  <si>
    <t>Kè chống sạt lở chợ rạch Cam</t>
  </si>
  <si>
    <t>Kè chống sạt lở sông Ô Môn - khu vực Thới An, quận Ô Môn (phía bờ phải)</t>
  </si>
  <si>
    <t>Gia cố bảo dưỡng trụ anten 80m</t>
  </si>
  <si>
    <t>Hệ thống lưu trữ hình ảnh tư liệu truyền hình bằng công nghệ số hóa</t>
  </si>
  <si>
    <t xml:space="preserve"> Sở Công thương</t>
  </si>
  <si>
    <t>Tiểu dự án Cấp điện nông thôn từ lưới điện quốc gia của thành phố Cần Thơ giai đoạn 2018-2020 - EU tài trợ</t>
  </si>
  <si>
    <t>Trường THCS và THPT Trần Ngọc Hoằng</t>
  </si>
  <si>
    <t>Đường Mậu Thân - sân bay Trà Nóc</t>
  </si>
  <si>
    <t>Đường tỉnh 921 đoạn từ Ngã Tư đến thị trấn Cờ Đỏ</t>
  </si>
  <si>
    <t>Cải tạo, sửa chữa trụ sở Sở Giao thông vận tải thành phố Cần Thơ</t>
  </si>
  <si>
    <t xml:space="preserve">Trụ sở các Đội Thanh tra giao thông và các Đại diện Cảng vụ đường thủy nội địa thuộc Sở Giao thông vận tải
</t>
  </si>
  <si>
    <t>Sở Lao động, Thương binh và Xã hội</t>
  </si>
  <si>
    <t>Trường Trung cấp nghề Thới Lai (giai đoạn 2), hạng mục xưởng thực hành ô tô, xưởng thực hành nuôi trồng thủy sản, sân nội bộ - mương thoát , hệ thống phòng cháy chữa cháy</t>
  </si>
  <si>
    <t>Cải tạo, sửa chữa Trung tâm Chữa bệnh - Giáo dục - Lao động xã hội và Quản lý sau cai nghiện thành phố Cần Thơ</t>
  </si>
  <si>
    <t>Dự án Nâng cấp, mở rộng Trung tâm bảo trợ xã hội thành phố Cần Thơ</t>
  </si>
  <si>
    <t>Sở Thông tin và Truyền thông</t>
  </si>
  <si>
    <t>Nâng cấp hạ tầng an toàn thông tin thành phố Cần Thơ</t>
  </si>
  <si>
    <t>Xây dựng các dịch vụ nền tảng dùng chung toàn thành phố Cần Thơ</t>
  </si>
  <si>
    <t>Xây dựng các cơ sở dữ liệu nền tảng</t>
  </si>
  <si>
    <t>Trang thiết bị hệ thống âm thanh, ánh sáng, khung đèn sân khấu Trung tâm văn hóa thành phố Cần Thơ</t>
  </si>
  <si>
    <t>Trùng tu di tích đình Thới An, quận Ô Môn, HM: Xây mới bờ kè, hàng rào và nhà võ ca</t>
  </si>
  <si>
    <t>Chỉnh lý, trưng bày Bảo tàng thành phố Cần thơ</t>
  </si>
  <si>
    <t>Sở Xây dựng</t>
  </si>
  <si>
    <t>Trung tâm Văn hóa - Thể thao Ninh Kiều</t>
  </si>
  <si>
    <t>Đầu tư xây dựng nâng chất lượng nước thải sau xử lý của nhà máy xử lý nước thải thành phố Cần Thơ từ cột B lên cột A theo QCVN 40:2011/BTNMT</t>
  </si>
  <si>
    <t>Cải tạo bệnh viện Ung bướu thành phố Cần Thơ</t>
  </si>
  <si>
    <t>Mua sắm thiết bị Bệnh viện Tai Mũi Họng thành phố Cần Thơ</t>
  </si>
  <si>
    <t>Trung tâm Nước sạch và vệ sinh môi trường nông thôn</t>
  </si>
  <si>
    <t>Xây dựng các hệ thống cấp nước sạch nông thôn trên địa bàn để phòng chống, khắc phục hạn hán, xâm nhập mặn và ứng phó biến đổi khí hậu</t>
  </si>
  <si>
    <t>Hệ thống cấp nước tập trung xã
Định Môn, huyện Thới Lai</t>
  </si>
  <si>
    <t>Hệ thống cấp nước tập trung xã
Trường Xuân A, huyện Thới Lai</t>
  </si>
  <si>
    <t>Hệ thống cấp nước tập trung xã
Nhơn Nghĩa, huyện Phong Điền</t>
  </si>
  <si>
    <t>Trung tâm phát triển quỹ đất</t>
  </si>
  <si>
    <t>Bồi thường, hỗ trợ và tái định cư giai đoạn I (5,7 ha) thuộc Trường Đại học Kỹ thuật -Công nghệ Cần Thơ.</t>
  </si>
  <si>
    <t>Bồi thường, hỗ trợ và TĐC Trường Cao đẳng Văn hóa Nghệ thuật Cần Thơ</t>
  </si>
  <si>
    <t>Trường Cao đẳng Cần Thơ</t>
  </si>
  <si>
    <t>Khối nhà ở sinh viên Trường Cao đẳng Cần Thơ</t>
  </si>
  <si>
    <t>Trường Mầm non thực hành Trường Cao đẳng Cần Thơ (gđ 2)</t>
  </si>
  <si>
    <t>XXII</t>
  </si>
  <si>
    <t>Trại thực nghiệm trường Cao đẳng Kinh tế - Kỹ thuật Cần Thơ</t>
  </si>
  <si>
    <t>XXIII</t>
  </si>
  <si>
    <t>Trường Cao đẳng Nghề Cần Thơ</t>
  </si>
  <si>
    <t>Đường Sông Hậu (đoạn từ đường vào nhà thi đấu đa năng đến đường quanh công viên nước), phường Cái Khế, quận Ninh Kiều, thành phố Cần Thơ</t>
  </si>
  <si>
    <t>Khu tái định cư quận Ninh Kiều</t>
  </si>
  <si>
    <t>Đường trục C2 (Phạm Ngọc Thạch nối dài) phường Cái Khế, quận Ninh Kiều, TP. Cần Thơ</t>
  </si>
  <si>
    <t>Dự án bồi thường, GPMB, và cơ sở hạ tầng Khu hành chính và Trung tâm thể dục thể thao quận Bình Thủy, thành phố Cần Thơ</t>
  </si>
  <si>
    <t>Nâng cấp, mở rộng đường Huỳnh Phan Hộ</t>
  </si>
  <si>
    <t>Khu tái định cư Bình Thủy (khu 1)</t>
  </si>
  <si>
    <t>Nâng cấp, mở rộng Tuyến đường lộ hậu Tân Thạnh Tây, phường Ba Láng, quận Cái Răng, thành phố Cần Thơ</t>
  </si>
  <si>
    <t>Khu tái định cư quận Cái Răng</t>
  </si>
  <si>
    <t>Khu tái định cư quận Ô Môn (Khu 1)</t>
  </si>
  <si>
    <t xml:space="preserve">Trường Mẫu giáo Thốt Nốt </t>
  </si>
  <si>
    <t>Trường Tiểu học Thốt Nốt 3</t>
  </si>
  <si>
    <t>Nâng cấp mở rộng đường Mai Văn Bộ, quận Thốt Nốt</t>
  </si>
  <si>
    <t>Bờ Kè sông Bò Ót (đoạn từ cầu Bò Ót đến vàm sông Bò Ót)</t>
  </si>
  <si>
    <t xml:space="preserve">Dự án trang thiết bị chuyên khoa Bệnh viện đa khoa quận Thốt Nốt </t>
  </si>
  <si>
    <t>Khu tái định cư quận Thốt Nốt (Khu 1)</t>
  </si>
  <si>
    <t>Trường Tiểu học Thới Thuận 2</t>
  </si>
  <si>
    <t>Trường Tiểu học thị trấn Phong Điền 1</t>
  </si>
  <si>
    <t>Trung tâm Văn hóa – Thể thao huyện Phong Điền, thành phố Cần Thơ</t>
  </si>
  <si>
    <t>Truường Trung học cơ sở Nhơn Ái</t>
  </si>
  <si>
    <t>Trường THCS thị trấn Phong Điền</t>
  </si>
  <si>
    <t>Đường giao thông nông thôn Vàm Xáng - Ba Láng</t>
  </si>
  <si>
    <t>Khu tái định cư huyện Phong Điền</t>
  </si>
  <si>
    <t xml:space="preserve">Mở rộng Khu xử lý chất thải rắn tại huyện Cờ Đỏ, thành phố Cần Thơ </t>
  </si>
  <si>
    <t>Trung tâm y tế huyện Cờ Đỏ</t>
  </si>
  <si>
    <t>Trường Tiểu học thị trấn Cờ Đỏ 1</t>
  </si>
  <si>
    <t>Trường Tiểu học Trung Hưng 1</t>
  </si>
  <si>
    <t>Trường THCS Trung An</t>
  </si>
  <si>
    <t>Trường THCS và THPT Thới Thạnh</t>
  </si>
  <si>
    <t>Trường Tiểu học Trường Xuân B</t>
  </si>
  <si>
    <t>Trung tâm Văn hóa - Thể thao huyện Thới Lai, thành phố Cần Thơ</t>
  </si>
  <si>
    <t xml:space="preserve">Trường Trung học cơ sở Thạnh Quới </t>
  </si>
  <si>
    <t>Đường Nam kênh Đòn Dông (đoạn từ kênh F - kênh H)</t>
  </si>
  <si>
    <t>2015-2019</t>
  </si>
  <si>
    <t>3169/QĐ-UBND 14/10/2016</t>
  </si>
  <si>
    <t>3350/QĐ-UBND ngày 31/10/2016</t>
  </si>
  <si>
    <t>3215/QĐ-UBND ngày 31/10/2014;
3939/QĐ-UBND ngày 30/12/2015</t>
  </si>
  <si>
    <t>3352/QĐ-UBND ngày 31/10/2016</t>
  </si>
  <si>
    <t>Ninh Kiều - Bình Thủy</t>
  </si>
  <si>
    <t>2864/QĐ-UBND 30/10/2017;
2196/QĐ-UBND 13/9/2019 (ĐC)</t>
  </si>
  <si>
    <t>175/QĐ-SXD ngày 30/10/2018</t>
  </si>
  <si>
    <t>2019-2021</t>
  </si>
  <si>
    <t>127/QĐ-SXD ngày 19/6/2019</t>
  </si>
  <si>
    <t>888/QĐ-UBND ngày 31/3/2016</t>
  </si>
  <si>
    <t>2858/QĐ-UBND 30/10/2017</t>
  </si>
  <si>
    <t>2005-2018</t>
  </si>
  <si>
    <t>1699/QĐ-UBND 20/7/2006; 3315/QĐ-UBND 06/11/2015</t>
  </si>
  <si>
    <t>2010-2020</t>
  </si>
  <si>
    <t>2698/QĐ-UBND 23/8/2016</t>
  </si>
  <si>
    <t>Ninh Kiều - Cái Răng</t>
  </si>
  <si>
    <t>2007-2020</t>
  </si>
  <si>
    <t>2605/QĐ-UBND 15/11/2017 3166/QĐ-UBND 9/10/2013</t>
  </si>
  <si>
    <t>1187/QĐ-UBND 20/4/2015; 2413/QĐ-UBND 10/10/2019 (ĐC)</t>
  </si>
  <si>
    <t>Ô Môn - Thới Lai</t>
  </si>
  <si>
    <t>Ninh Kiều - Cái Răng - Phong Điền</t>
  </si>
  <si>
    <t>1205/QĐ-UBND 21/5/2019</t>
  </si>
  <si>
    <t>2596/QĐ-UBND 15/08/2016, 3432/QĐ-UBND 26/12/2018</t>
  </si>
  <si>
    <t>1942/QĐ-UBND 12/8/2019</t>
  </si>
  <si>
    <t>14/QĐ-SKHĐT 23/01/2019</t>
  </si>
  <si>
    <t>2020-2021</t>
  </si>
  <si>
    <t>210/QĐ-SKHĐT ngày 30/10/2019</t>
  </si>
  <si>
    <t>244/QD-SXD 11/10/2019</t>
  </si>
  <si>
    <t>243/QĐ-SXD 11/10/2019</t>
  </si>
  <si>
    <t>242/QĐ-SXD 11/10/2019</t>
  </si>
  <si>
    <t>900/QĐ-UBND ngày 31/3/2016; 1308/QD-UBND ngày 24/5/2018</t>
  </si>
  <si>
    <t>2518/QĐ-UBND ngày 25/9/2017</t>
  </si>
  <si>
    <t>162/QĐ-SXD ngày 30/10/2017</t>
  </si>
  <si>
    <t>QĐ số 1919/QĐ-UBND ngày 30/7/2018</t>
  </si>
  <si>
    <t>6876/QD-BCA-H02 30/10/2018</t>
  </si>
  <si>
    <t>7251/QĐ-BCA-H02 ngày 13/11/2018</t>
  </si>
  <si>
    <t>262/QĐ-SXD ngày 30/10/2019</t>
  </si>
  <si>
    <t>2003-2018</t>
  </si>
  <si>
    <t>1638/QĐ-UBND 23/5/2013</t>
  </si>
  <si>
    <t>2847/QĐ-UBND 30/10/2017</t>
  </si>
  <si>
    <t>1926/QĐ-UBND 30/7/2018; 2331/QĐ-UBND 30/9/2019</t>
  </si>
  <si>
    <t>106/QĐ-SXD ngày 14/6/2019</t>
  </si>
  <si>
    <t>121/QĐ-SKHĐT 26/7/2019</t>
  </si>
  <si>
    <t>Phong Điền - Thới Lai - Vình Thạnh - Cờ Đỏ</t>
  </si>
  <si>
    <t>860/QĐ-UBND ngày 9/4/2019</t>
  </si>
  <si>
    <t>3309/QĐ-UBND 28/10/2016</t>
  </si>
  <si>
    <t>Cái Răng - Phong Điền</t>
  </si>
  <si>
    <t>2007-2015</t>
  </si>
  <si>
    <t>3098/QĐ-UBND ngày 02/12/2008</t>
  </si>
  <si>
    <t>Thốt Nốt- Cờ Đỏ</t>
  </si>
  <si>
    <t>2001-2011</t>
  </si>
  <si>
    <t>1555/QĐ-UBND ngày 22/6/2011</t>
  </si>
  <si>
    <t>187/QĐ-SXD 07/12/2017</t>
  </si>
  <si>
    <t>Cái Răng - Thốt Nốt</t>
  </si>
  <si>
    <t>2020-2022</t>
  </si>
  <si>
    <t>261/QĐ-SXD ngày 30/10/2019</t>
  </si>
  <si>
    <t>3361/QĐ-UBND 31/10/2016</t>
  </si>
  <si>
    <t>Tx Ngạ Bảy, tỉnh Hậu Giang</t>
  </si>
  <si>
    <t>2852/QĐ-UBND 30/10/2017
3193/QĐ-UBND 07/12/2017
3465/QĐ-UBND 22/12/2017</t>
  </si>
  <si>
    <t>2842//QĐ-UBND 30/10/2017
3192/QĐ-UBND 07/12/2017</t>
  </si>
  <si>
    <t>2010-2019</t>
  </si>
  <si>
    <t>2553/QĐ-UBND ngày 24/10/2019</t>
  </si>
  <si>
    <t>206/QĐ-SKHĐT ngày 08/10/2019</t>
  </si>
  <si>
    <t>2588/QĐ-UBND ngày 28/10/2019</t>
  </si>
  <si>
    <t>2832/QĐ-UBND 30/10/2018</t>
  </si>
  <si>
    <t>2831/QĐ-UBND 30/10/2018</t>
  </si>
  <si>
    <t>2210/QĐ-UBND 16/9/2019</t>
  </si>
  <si>
    <t>2626/QĐ-UBND ngày 30/10/2019</t>
  </si>
  <si>
    <t>2628/QĐ-UBND ngày 30/10/2010</t>
  </si>
  <si>
    <t>7257367</t>
  </si>
  <si>
    <t>2014-2015</t>
  </si>
  <si>
    <t>QĐ 1851/QĐ-UBND ngày 01/8/2019</t>
  </si>
  <si>
    <t>155/QĐ-SKHĐT ngày 12/9/2019</t>
  </si>
  <si>
    <t>Phong Điền - Thới Lai - Cờ Đỏ - Vĩnh Thạnh</t>
  </si>
  <si>
    <t>2549/QĐ-UBND 26/9/2017</t>
  </si>
  <si>
    <t>255/QĐ-SXD ngày 25/10/2019</t>
  </si>
  <si>
    <t>257/QĐ-SXD ngày 25/10/2019</t>
  </si>
  <si>
    <t>256/QĐ-SXD ngày 25/10/2019</t>
  </si>
  <si>
    <t>3242/QĐ-UBND ngày 30/10/2015</t>
  </si>
  <si>
    <t>2269/QĐ-UBND 31/8/2018</t>
  </si>
  <si>
    <t>2009-2016</t>
  </si>
  <si>
    <t>15/QĐ-UBND 06/01/2016 (Đ/C)</t>
  </si>
  <si>
    <t>2829/QĐ-UBND 30/10/2018</t>
  </si>
  <si>
    <t>Ninh Kiều - Phong Điền</t>
  </si>
  <si>
    <t>313/QĐ-UBND 27/01/2014, 66/QĐ-UBND ngày 12/01/2018 (Đ/c)</t>
  </si>
  <si>
    <t>KBNN Ninh Kiều</t>
  </si>
  <si>
    <t>2860/UBND-30/10/2017</t>
  </si>
  <si>
    <t>2020-2024</t>
  </si>
  <si>
    <t>2624/QĐ-UBND ngày 30/10/2019</t>
  </si>
  <si>
    <t>2594/QĐ-UBND ngày 29/10/2019</t>
  </si>
  <si>
    <t>KBNN Bình Thủy</t>
  </si>
  <si>
    <t xml:space="preserve">7560966 
</t>
  </si>
  <si>
    <t>833/QĐ-UBND 30/3/2016</t>
  </si>
  <si>
    <t>2643/QĐ-UBND 12/10/2017
3185/QĐ-UBND 06/12/2017</t>
  </si>
  <si>
    <t>2610/QĐ-UBND ngày 30/10/2019</t>
  </si>
  <si>
    <t>KBNN Cái Răng</t>
  </si>
  <si>
    <t>2524/QĐ-UBND ngày 21/10/2019</t>
  </si>
  <si>
    <t>2589/QĐ-UBND ngày 28/10/2019</t>
  </si>
  <si>
    <t>KBNN Ô Môn</t>
  </si>
  <si>
    <t>2609/QĐ-UBND ngày 30/10/2019</t>
  </si>
  <si>
    <t>Thốt Nốt</t>
  </si>
  <si>
    <t>KBNN Thốt Nốt</t>
  </si>
  <si>
    <t>2647/QĐ-UBND 12/10/2017</t>
  </si>
  <si>
    <t>2827/QĐ-UBND 27/10/2017</t>
  </si>
  <si>
    <t>3292/QĐ-UBND 27/10/2016</t>
  </si>
  <si>
    <t>3318/QĐ-UBND 28/10/2016</t>
  </si>
  <si>
    <t>2855/QĐ-UBND 30/10/2017</t>
  </si>
  <si>
    <t>2604/QĐ-UBND ngày 29/10/2019</t>
  </si>
  <si>
    <t>2623/QĐ-UBND ngày 30/10/2019</t>
  </si>
  <si>
    <t>2018-2021</t>
  </si>
  <si>
    <t>2793/QĐ-UBND 26/10/2017</t>
  </si>
  <si>
    <t>2844/QĐ-UBND 30/10/2017</t>
  </si>
  <si>
    <t>2690/QĐ-UBND 17/10/2017</t>
  </si>
  <si>
    <t>2830/QĐ-UBND 30/10/2018</t>
  </si>
  <si>
    <t>2523/QĐ-UBND ngày 21/10/2019</t>
  </si>
  <si>
    <t>2625/QĐ-UBND ngày 30/10/2019</t>
  </si>
  <si>
    <t>KBNN Cờ Đỏ</t>
  </si>
  <si>
    <t>1638/QĐ-UBND 13/6/2014</t>
  </si>
  <si>
    <t>2830/QĐ-UBND ngày 27/10/2017</t>
  </si>
  <si>
    <t>885/QĐ-UBND 31/3/2016</t>
  </si>
  <si>
    <t>3360/QĐ-UBND 31/10/2016</t>
  </si>
  <si>
    <t>3195/QĐ-UBND 17/10/2016</t>
  </si>
  <si>
    <t>2828/QĐ-UBND 27/10/2017</t>
  </si>
  <si>
    <t>2831/QĐ-UBND 27/10/2017</t>
  </si>
  <si>
    <t>114/QĐ-UBND ngày 11/6/2019</t>
  </si>
  <si>
    <t>KBNN Vĩnh Thành</t>
  </si>
  <si>
    <t>2856/QĐ-UBND 30/10/2017</t>
  </si>
  <si>
    <t>2857/QĐ-UBND 30/10/2017</t>
  </si>
  <si>
    <t>Nhóm dự án A/B/C</t>
  </si>
  <si>
    <t>Mã dự án</t>
  </si>
  <si>
    <t>Quyết định đầu tư ban đầu</t>
  </si>
  <si>
    <t xml:space="preserve">Kế hoạch năm trung hạn 5 năm giai đoạn 2016-2020 vốn NSĐP </t>
  </si>
  <si>
    <t>Kế hoạch trung hạn NSĐP đã giao đến hết năm 2019</t>
  </si>
  <si>
    <t>Lũy kế vốn thực hiện đã bố trí từ khởi công đến hết năm 2019</t>
  </si>
  <si>
    <t>Kế hoạch năm 2020</t>
  </si>
  <si>
    <t xml:space="preserve">Ghi chú </t>
  </si>
  <si>
    <t>Số quyết định; ngày, tháng, năm ban hành</t>
  </si>
  <si>
    <t xml:space="preserve">TMĐT </t>
  </si>
  <si>
    <t>Tổng số tất cả các nguồn vốn</t>
  </si>
  <si>
    <t>Trong đó chi tiết các nguồn vốn NSĐP</t>
  </si>
  <si>
    <t>Nguồn cân đối NSĐP</t>
  </si>
  <si>
    <t>Nguồn tiền sử dụng đất</t>
  </si>
  <si>
    <t>Nguồn XSKT</t>
  </si>
  <si>
    <t>công trình chuyển tiếp từ giai đoạn trước sang</t>
  </si>
  <si>
    <t>lũy kế vốn bố trí có bao gồm phần đã thu hồi nhà thầu 16,9 tỷ đồng</t>
  </si>
  <si>
    <t>DA sử dụng vốn trái phiếu Chính phủ, bố trí NSĐP chi trả tiền phát sinh chi phí GPMB</t>
  </si>
  <si>
    <t>Không bao gồm KH vốn ứng trước</t>
  </si>
  <si>
    <t xml:space="preserve">Bội chi NSĐP </t>
  </si>
  <si>
    <t>Nguồn vốn Trung ương bổ sung có mục tiêu (chưa phân bổ chi tiết)</t>
  </si>
  <si>
    <t>XXIV</t>
  </si>
  <si>
    <t>Sở Tài nguyên và Môi trường</t>
  </si>
  <si>
    <t>Xây dựng hệ thống hồ sơ địa chính và cơ sở dữ liệu quản lý đất đai quận Thốt Nốt</t>
  </si>
  <si>
    <t>2627/QĐ-UBND 30/10/2019</t>
  </si>
  <si>
    <t>Xây dựng phần mềm dịch vụ công trực tuyến các lĩnh vực</t>
  </si>
  <si>
    <t>2629/QĐ-UBND 31/10/2019</t>
  </si>
  <si>
    <t>UBND THÀNH PHỐ CẦN THƠ</t>
  </si>
  <si>
    <t>Biểu số 58/CK-NSNN</t>
  </si>
  <si>
    <t>(Kèm theo Quyết định số 3168/QĐ-UBND ngày 23 tháng 12 năm 2019 của Ủy ban nhân dân thành phố)</t>
  </si>
</sst>
</file>

<file path=xl/styles.xml><?xml version="1.0" encoding="utf-8"?>
<styleSheet xmlns="http://schemas.openxmlformats.org/spreadsheetml/2006/main" xmlns:mc="http://schemas.openxmlformats.org/markup-compatibility/2006" xmlns:x14ac="http://schemas.microsoft.com/office/spreadsheetml/2009/9/ac" mc:Ignorable="x14ac">
  <numFmts count="160">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quot;₫&quot;_-;\-* #,##0\ &quot;₫&quot;_-;_-* &quot;-&quot;\ &quot;₫&quot;_-;_-@_-"/>
    <numFmt numFmtId="165" formatCode="_-* #,##0\ _₫_-;\-* #,##0\ _₫_-;_-* &quot;-&quot;\ _₫_-;_-@_-"/>
    <numFmt numFmtId="166" formatCode="_-* #,##0.00\ &quot;₫&quot;_-;\-* #,##0.00\ &quot;₫&quot;_-;_-* &quot;-&quot;??\ &quot;₫&quot;_-;_-@_-"/>
    <numFmt numFmtId="167" formatCode="_-* #,##0.00\ _₫_-;\-* #,##0.00\ _₫_-;_-* &quot;-&quot;??\ _₫_-;_-@_-"/>
    <numFmt numFmtId="168" formatCode="_(* #,##0_);_(* \(#,##0\);_(* &quot;-&quot;??_);_(@_)"/>
    <numFmt numFmtId="169" formatCode="_-* #,##0.00_-;\-* #,##0.00_-;_-* &quot;-&quot;??_-;_-@_-"/>
    <numFmt numFmtId="170" formatCode="_-&quot;ñ&quot;* #,##0_-;\-&quot;ñ&quot;* #,##0_-;_-&quot;ñ&quot;* &quot;-&quot;_-;_-@_-"/>
    <numFmt numFmtId="171" formatCode="_-* #,##0.00\ _F_-;\-* #,##0.00\ _F_-;_-* &quot;-&quot;??\ _F_-;_-@_-"/>
    <numFmt numFmtId="172" formatCode="_-* #,##0.00\ &quot;F&quot;_-;\-* #,##0.00\ &quot;F&quot;_-;_-* &quot;-&quot;??\ &quot;F&quot;_-;_-@_-"/>
    <numFmt numFmtId="173" formatCode="#,##0\ &quot;DM&quot;;\-#,##0\ &quot;DM&quot;"/>
    <numFmt numFmtId="174" formatCode="0.000%"/>
    <numFmt numFmtId="175" formatCode="#.##00"/>
    <numFmt numFmtId="176" formatCode="_-* #,##0_-;\-* #,##0_-;_-* &quot;-&quot;_-;_-@_-"/>
    <numFmt numFmtId="177" formatCode="&quot;Rp&quot;#,##0_);[Red]\(&quot;Rp&quot;#,##0\)"/>
    <numFmt numFmtId="178" formatCode="_ * #,##0_)\ &quot;$&quot;_ ;_ * \(#,##0\)\ &quot;$&quot;_ ;_ * &quot;-&quot;_)\ &quot;$&quot;_ ;_ @_ "/>
    <numFmt numFmtId="179" formatCode="_-&quot;$&quot;* #,##0_-;\-&quot;$&quot;* #,##0_-;_-&quot;$&quot;* &quot;-&quot;_-;_-@_-"/>
    <numFmt numFmtId="180" formatCode="_-* #,##0\ _F_-;\-* #,##0\ _F_-;_-* &quot;-&quot;\ _F_-;_-@_-"/>
    <numFmt numFmtId="181" formatCode="_-* #,##0\ &quot;F&quot;_-;\-* #,##0\ &quot;F&quot;_-;_-* &quot;-&quot;\ &quot;F&quot;_-;_-@_-"/>
    <numFmt numFmtId="182" formatCode="_-* #,##0\ &quot;€&quot;_-;\-* #,##0\ &quot;€&quot;_-;_-* &quot;-&quot;\ &quot;€&quot;_-;_-@_-"/>
    <numFmt numFmtId="183" formatCode="_-* #,##0\ &quot;$&quot;_-;\-* #,##0\ &quot;$&quot;_-;_-* &quot;-&quot;\ &quot;$&quot;_-;_-@_-"/>
    <numFmt numFmtId="184" formatCode="_ * #,##0_)&quot;$&quot;_ ;_ * \(#,##0\)&quot;$&quot;_ ;_ * &quot;-&quot;_)&quot;$&quot;_ ;_ @_ "/>
    <numFmt numFmtId="185" formatCode="_-&quot;€&quot;* #,##0_-;\-&quot;€&quot;* #,##0_-;_-&quot;€&quot;* &quot;-&quot;_-;_-@_-"/>
    <numFmt numFmtId="186" formatCode="_-* #,##0.00\ _€_-;\-* #,##0.00\ _€_-;_-* &quot;-&quot;??\ _€_-;_-@_-"/>
    <numFmt numFmtId="187" formatCode="_ * #,##0.00_ ;_ * \-#,##0.00_ ;_ * &quot;-&quot;??_ ;_ @_ "/>
    <numFmt numFmtId="188" formatCode="_-* #,##0.00\ _V_N_D_-;\-* #,##0.00\ _V_N_D_-;_-* &quot;-&quot;??\ _V_N_D_-;_-@_-"/>
    <numFmt numFmtId="189" formatCode="_ * #,##0.00_)\ _$_ ;_ * \(#,##0.00\)\ _$_ ;_ * &quot;-&quot;??_)\ _$_ ;_ @_ "/>
    <numFmt numFmtId="190" formatCode="_ * #,##0.00_)_$_ ;_ * \(#,##0.00\)_$_ ;_ * &quot;-&quot;??_)_$_ ;_ @_ "/>
    <numFmt numFmtId="191" formatCode="_-* #,##0.00\ _ñ_-;\-* #,##0.00\ _ñ_-;_-* &quot;-&quot;??\ _ñ_-;_-@_-"/>
    <numFmt numFmtId="192" formatCode="_-* #,##0.00\ _ñ_-;_-* #,##0.00\ _ñ\-;_-* &quot;-&quot;??\ _ñ_-;_-@_-"/>
    <numFmt numFmtId="193" formatCode="_(&quot;$&quot;\ * #,##0_);_(&quot;$&quot;\ * \(#,##0\);_(&quot;$&quot;\ * &quot;-&quot;_);_(@_)"/>
    <numFmt numFmtId="194" formatCode="_-* #,##0.00000000_-;\-* #,##0.00000000_-;_-* &quot;-&quot;??_-;_-@_-"/>
    <numFmt numFmtId="195" formatCode="_(&quot;€&quot;\ * #,##0_);_(&quot;€&quot;\ * \(#,##0\);_(&quot;€&quot;\ * &quot;-&quot;_);_(@_)"/>
    <numFmt numFmtId="196" formatCode="_-* #,##0\ &quot;ñ&quot;_-;\-* #,##0\ &quot;ñ&quot;_-;_-* &quot;-&quot;\ &quot;ñ&quot;_-;_-@_-"/>
    <numFmt numFmtId="197" formatCode="_-* #,##0\ _€_-;\-* #,##0\ _€_-;_-* &quot;-&quot;\ _€_-;_-@_-"/>
    <numFmt numFmtId="198" formatCode="_ * #,##0_ ;_ * \-#,##0_ ;_ * &quot;-&quot;_ ;_ @_ "/>
    <numFmt numFmtId="199" formatCode="_-* #,##0\ _V_N_D_-;\-* #,##0\ _V_N_D_-;_-* &quot;-&quot;\ _V_N_D_-;_-@_-"/>
    <numFmt numFmtId="200" formatCode="_ * #,##0_)\ _$_ ;_ * \(#,##0\)\ _$_ ;_ * &quot;-&quot;_)\ _$_ ;_ @_ "/>
    <numFmt numFmtId="201" formatCode="_ * #,##0_)_$_ ;_ * \(#,##0\)_$_ ;_ * &quot;-&quot;_)_$_ ;_ @_ "/>
    <numFmt numFmtId="202" formatCode="_-* #,##0\ _$_-;\-* #,##0\ _$_-;_-* &quot;-&quot;\ _$_-;_-@_-"/>
    <numFmt numFmtId="203" formatCode="_-* #,##0\ _ñ_-;\-* #,##0\ _ñ_-;_-* &quot;-&quot;\ _ñ_-;_-@_-"/>
    <numFmt numFmtId="204" formatCode="_-* #,##0\ _ñ_-;_-* #,##0\ _ñ\-;_-* &quot;-&quot;\ _ñ_-;_-@_-"/>
    <numFmt numFmtId="205" formatCode="_ &quot;\&quot;* #,##0_ ;_ &quot;\&quot;* \-#,##0_ ;_ &quot;\&quot;* &quot;-&quot;_ ;_ @_ "/>
    <numFmt numFmtId="206" formatCode="&quot;\&quot;#,##0.00;[Red]&quot;\&quot;\-#,##0.00"/>
    <numFmt numFmtId="207" formatCode="&quot;\&quot;#,##0;[Red]&quot;\&quot;\-#,##0"/>
    <numFmt numFmtId="208" formatCode="_ * #,##0_)\ &quot;F&quot;_ ;_ * \(#,##0\)\ &quot;F&quot;_ ;_ * &quot;-&quot;_)\ &quot;F&quot;_ ;_ @_ "/>
    <numFmt numFmtId="209" formatCode="&quot;£&quot;#,##0.00;\-&quot;£&quot;#,##0.00"/>
    <numFmt numFmtId="210" formatCode="_-&quot;F&quot;* #,##0_-;\-&quot;F&quot;* #,##0_-;_-&quot;F&quot;* &quot;-&quot;_-;_-@_-"/>
    <numFmt numFmtId="211" formatCode="_ * #,##0.00_)&quot;$&quot;_ ;_ * \(#,##0.00\)&quot;$&quot;_ ;_ * &quot;-&quot;??_)&quot;$&quot;_ ;_ @_ "/>
    <numFmt numFmtId="212" formatCode="_ * #,##0.0_)_$_ ;_ * \(#,##0.0\)_$_ ;_ * &quot;-&quot;??_)_$_ ;_ @_ "/>
    <numFmt numFmtId="213" formatCode=";;"/>
    <numFmt numFmtId="214" formatCode="_ * #,##0.00_)&quot;€&quot;_ ;_ * \(#,##0.00\)&quot;€&quot;_ ;_ * &quot;-&quot;??_)&quot;€&quot;_ ;_ @_ "/>
    <numFmt numFmtId="215" formatCode="#,##0.0_);\(#,##0.0\)"/>
    <numFmt numFmtId="216" formatCode="_ &quot;\&quot;* #,##0.00_ ;_ &quot;\&quot;* &quot;\&quot;&quot;\&quot;&quot;\&quot;&quot;\&quot;&quot;\&quot;&quot;\&quot;&quot;\&quot;&quot;\&quot;&quot;\&quot;&quot;\&quot;&quot;\&quot;&quot;\&quot;\-#,##0.00_ ;_ &quot;\&quot;* &quot;-&quot;??_ ;_ @_ "/>
    <numFmt numFmtId="217" formatCode="0.0%"/>
    <numFmt numFmtId="218" formatCode="_ * #,##0.00_ ;_ * &quot;\&quot;&quot;\&quot;&quot;\&quot;&quot;\&quot;&quot;\&quot;&quot;\&quot;&quot;\&quot;&quot;\&quot;&quot;\&quot;&quot;\&quot;&quot;\&quot;&quot;\&quot;\-#,##0.00_ ;_ * &quot;-&quot;??_ ;_ @_ "/>
    <numFmt numFmtId="219" formatCode="&quot;$&quot;#,##0.00"/>
    <numFmt numFmtId="220" formatCode="&quot;\&quot;#,##0;&quot;\&quot;&quot;\&quot;&quot;\&quot;&quot;\&quot;&quot;\&quot;&quot;\&quot;&quot;\&quot;&quot;\&quot;&quot;\&quot;&quot;\&quot;&quot;\&quot;&quot;\&quot;&quot;\&quot;&quot;\&quot;\-#,##0"/>
    <numFmt numFmtId="221" formatCode="_ * #,##0.00_)&quot;£&quot;_ ;_ * \(#,##0.00\)&quot;£&quot;_ ;_ * &quot;-&quot;??_)&quot;£&quot;_ ;_ @_ "/>
    <numFmt numFmtId="222" formatCode="&quot;\&quot;#,##0;[Red]&quot;\&quot;&quot;\&quot;&quot;\&quot;&quot;\&quot;&quot;\&quot;&quot;\&quot;&quot;\&quot;&quot;\&quot;&quot;\&quot;&quot;\&quot;&quot;\&quot;&quot;\&quot;&quot;\&quot;&quot;\&quot;\-#,##0"/>
    <numFmt numFmtId="223" formatCode="_-&quot;$&quot;* #,##0.00_-;\-&quot;$&quot;* #,##0.00_-;_-&quot;$&quot;* &quot;-&quot;??_-;_-@_-"/>
    <numFmt numFmtId="224" formatCode="_ * #,##0_ ;_ * &quot;\&quot;&quot;\&quot;&quot;\&quot;&quot;\&quot;&quot;\&quot;&quot;\&quot;&quot;\&quot;&quot;\&quot;&quot;\&quot;&quot;\&quot;&quot;\&quot;&quot;\&quot;\-#,##0_ ;_ * &quot;-&quot;_ ;_ @_ "/>
    <numFmt numFmtId="225" formatCode="0.0%;\(0.0%\)"/>
    <numFmt numFmtId="226" formatCode="&quot;\&quot;#,##0.00;&quot;\&quot;&quot;\&quot;&quot;\&quot;&quot;\&quot;&quot;\&quot;&quot;\&quot;&quot;\&quot;&quot;\&quot;&quot;\&quot;&quot;\&quot;&quot;\&quot;&quot;\&quot;&quot;\&quot;&quot;\&quot;\-#,##0.00"/>
    <numFmt numFmtId="227" formatCode="0.000_)"/>
    <numFmt numFmtId="228" formatCode="#,##0_)_%;\(#,##0\)_%;"/>
    <numFmt numFmtId="229" formatCode="_(* #,##0.0_);_(* \(#,##0.0\);_(* &quot;-&quot;??_);_(@_)"/>
    <numFmt numFmtId="230" formatCode="_._.* #,##0.0_)_%;_._.* \(#,##0.0\)_%"/>
    <numFmt numFmtId="231" formatCode="#,##0.0_)_%;\(#,##0.0\)_%;\ \ .0_)_%"/>
    <numFmt numFmtId="232" formatCode="_._.* #,##0.00_)_%;_._.* \(#,##0.00\)_%"/>
    <numFmt numFmtId="233" formatCode="#,##0.00_)_%;\(#,##0.00\)_%;\ \ .00_)_%"/>
    <numFmt numFmtId="234" formatCode="_._.* #,##0.000_)_%;_._.* \(#,##0.000\)_%"/>
    <numFmt numFmtId="235" formatCode="#,##0.000_)_%;\(#,##0.000\)_%;\ \ .000_)_%"/>
    <numFmt numFmtId="236" formatCode="&quot;$&quot;#,##0;[Red]\-&quot;$&quot;#,##0"/>
    <numFmt numFmtId="237" formatCode="_(* #,##0.00_);_(* \(#,##0.00\);_(* &quot;-&quot;&quot;?&quot;&quot;?&quot;_);_(@_)"/>
    <numFmt numFmtId="238" formatCode="#,##0.0"/>
    <numFmt numFmtId="239" formatCode="_-* #,##0\ &quot;þ&quot;_-;\-* #,##0\ &quot;þ&quot;_-;_-* &quot;-&quot;\ &quot;þ&quot;_-;_-@_-"/>
    <numFmt numFmtId="240" formatCode="&quot;?&quot;#,##0;&quot;?&quot;\-#,##0"/>
    <numFmt numFmtId="241" formatCode="_-* #,##0.00\ _þ_-;\-* #,##0.00\ _þ_-;_-* &quot;-&quot;??\ _þ_-;_-@_-"/>
    <numFmt numFmtId="242" formatCode="_-* #,##0\ _₫_-;\-* #,##0\ _₫_-;_-* &quot;-&quot;??\ _₫_-;_-@_-"/>
    <numFmt numFmtId="243" formatCode="_-* #,##0_-;\-* #,##0_-;_-* &quot;-&quot;??_-;_-@_-"/>
    <numFmt numFmtId="244" formatCode="\t#\ ??/??"/>
    <numFmt numFmtId="245" formatCode="0.0000"/>
    <numFmt numFmtId="246" formatCode="_-* #,##0.00\ _$_-;\-* #,##0.00\ _$_-;_-* &quot;-&quot;??\ _$_-;_-@_-"/>
    <numFmt numFmtId="247" formatCode="_-* #,##0.0\ _₫_-;\-* #,##0.0\ _₫_-;_-* &quot;-&quot;??\ _₫_-;_-@_-"/>
    <numFmt numFmtId="248" formatCode="&quot;$&quot;#,##0;\-&quot;$&quot;#,##0"/>
    <numFmt numFmtId="249" formatCode="_(* #.##0.00_);_(* \(#.##0.00\);_(* &quot;-&quot;??_);_(@_)"/>
    <numFmt numFmtId="250" formatCode="&quot;True&quot;;&quot;True&quot;;&quot;False&quot;"/>
    <numFmt numFmtId="251" formatCode="_(* #,##0.0_);_(* \(#,##0.0\);_(* &quot;-&quot;?_);_(@_)"/>
    <numFmt numFmtId="252" formatCode="#,##0;[Red]#,##0"/>
    <numFmt numFmtId="253" formatCode="&quot;\&quot;#&quot;,&quot;##0&quot;.&quot;00;[Red]&quot;\&quot;\-#&quot;,&quot;##0&quot;.&quot;00"/>
    <numFmt numFmtId="254" formatCode="#,##0.00;[Red]#,##0.00"/>
    <numFmt numFmtId="255" formatCode="#,##0;\(#,##0\)"/>
    <numFmt numFmtId="256" formatCode="_._.* \(#,##0\)_%;_._.* #,##0_)_%;_._.* 0_)_%;_._.@_)_%"/>
    <numFmt numFmtId="257" formatCode="_._.&quot;€&quot;* \(#,##0\)_%;_._.&quot;€&quot;* #,##0_)_%;_._.&quot;€&quot;* 0_)_%;_._.@_)_%"/>
    <numFmt numFmtId="258" formatCode="* \(#,##0\);* #,##0_);&quot;-&quot;??_);@"/>
    <numFmt numFmtId="259" formatCode="_ &quot;R&quot;\ * #,##0_ ;_ &quot;R&quot;\ * \-#,##0_ ;_ &quot;R&quot;\ * &quot;-&quot;_ ;_ @_ "/>
    <numFmt numFmtId="260" formatCode="_ * #,##0.00_ ;_ * &quot;\&quot;&quot;\&quot;&quot;\&quot;&quot;\&quot;&quot;\&quot;&quot;\&quot;\-#,##0.00_ ;_ * &quot;-&quot;??_ ;_ @_ "/>
    <numFmt numFmtId="261" formatCode="&quot;€&quot;* #,##0_)_%;&quot;€&quot;* \(#,##0\)_%;&quot;€&quot;* &quot;-&quot;??_)_%;@_)_%"/>
    <numFmt numFmtId="262" formatCode="&quot;$&quot;* #,##0_)_%;&quot;$&quot;* \(#,##0\)_%;&quot;$&quot;* &quot;-&quot;??_)_%;@_)_%"/>
    <numFmt numFmtId="263" formatCode="&quot;\&quot;#,##0.00;&quot;\&quot;&quot;\&quot;&quot;\&quot;&quot;\&quot;&quot;\&quot;&quot;\&quot;&quot;\&quot;&quot;\&quot;\-#,##0.00"/>
    <numFmt numFmtId="264" formatCode="_._.&quot;€&quot;* #,##0.0_)_%;_._.&quot;€&quot;* \(#,##0.0\)_%"/>
    <numFmt numFmtId="265" formatCode="&quot;€&quot;* #,##0.0_)_%;&quot;€&quot;* \(#,##0.0\)_%;&quot;€&quot;* \ .0_)_%"/>
    <numFmt numFmtId="266" formatCode="_._.&quot;$&quot;* #,##0.0_)_%;_._.&quot;$&quot;* \(#,##0.0\)_%"/>
    <numFmt numFmtId="267" formatCode="_._.&quot;€&quot;* #,##0.00_)_%;_._.&quot;€&quot;* \(#,##0.00\)_%"/>
    <numFmt numFmtId="268" formatCode="&quot;€&quot;* #,##0.00_)_%;&quot;€&quot;* \(#,##0.00\)_%;&quot;€&quot;* \ .00_)_%"/>
    <numFmt numFmtId="269" formatCode="_._.&quot;$&quot;* #,##0.00_)_%;_._.&quot;$&quot;* \(#,##0.00\)_%"/>
    <numFmt numFmtId="270" formatCode="_._.&quot;€&quot;* #,##0.000_)_%;_._.&quot;€&quot;* \(#,##0.000\)_%"/>
    <numFmt numFmtId="271" formatCode="&quot;€&quot;* #,##0.000_)_%;&quot;€&quot;* \(#,##0.000\)_%;&quot;€&quot;* \ .000_)_%"/>
    <numFmt numFmtId="272" formatCode="_._.&quot;$&quot;* #,##0.000_)_%;_._.&quot;$&quot;* \(#,##0.000\)_%"/>
    <numFmt numFmtId="273" formatCode="_-* #,##0.00\ &quot;€&quot;_-;\-* #,##0.00\ &quot;€&quot;_-;_-* &quot;-&quot;??\ &quot;€&quot;_-;_-@_-"/>
    <numFmt numFmtId="274" formatCode="_ * #,##0_ ;_ * &quot;\&quot;&quot;\&quot;&quot;\&quot;&quot;\&quot;&quot;\&quot;&quot;\&quot;\-#,##0_ ;_ * &quot;-&quot;_ ;_ @_ "/>
    <numFmt numFmtId="275" formatCode="\$#,##0\ ;\(\$#,##0\)"/>
    <numFmt numFmtId="276" formatCode="&quot;$&quot;#,##0\ ;\(&quot;$&quot;#,##0\)"/>
    <numFmt numFmtId="277" formatCode="\t0.00%"/>
    <numFmt numFmtId="278" formatCode="0.000"/>
    <numFmt numFmtId="279" formatCode="* #,##0_);* \(#,##0\);&quot;-&quot;??_);@"/>
    <numFmt numFmtId="280" formatCode="\U\S\$#,##0.00;\(\U\S\$#,##0.00\)"/>
    <numFmt numFmtId="281" formatCode="_(\§\g\ #,##0_);_(\§\g\ \(#,##0\);_(\§\g\ &quot;-&quot;??_);_(@_)"/>
    <numFmt numFmtId="282" formatCode="_(\§\g\ #,##0_);_(\§\g\ \(#,##0\);_(\§\g\ &quot;-&quot;_);_(@_)"/>
    <numFmt numFmtId="283" formatCode="\§\g#,##0_);\(\§\g#,##0\)"/>
    <numFmt numFmtId="284" formatCode="_-&quot;VND&quot;* #,##0_-;\-&quot;VND&quot;* #,##0_-;_-&quot;VND&quot;* &quot;-&quot;_-;_-@_-"/>
    <numFmt numFmtId="285" formatCode="_(&quot;Rp&quot;* #,##0.00_);_(&quot;Rp&quot;* \(#,##0.00\);_(&quot;Rp&quot;* &quot;-&quot;??_);_(@_)"/>
    <numFmt numFmtId="286" formatCode="#,##0.00\ &quot;FB&quot;;[Red]\-#,##0.00\ &quot;FB&quot;"/>
    <numFmt numFmtId="287" formatCode="#,##0\ &quot;$&quot;;\-#,##0\ &quot;$&quot;"/>
    <numFmt numFmtId="288" formatCode="_-* #,##0\ _F_B_-;\-* #,##0\ _F_B_-;_-* &quot;-&quot;\ _F_B_-;_-@_-"/>
    <numFmt numFmtId="289" formatCode="_-[$€]* #,##0.00_-;\-[$€]* #,##0.00_-;_-[$€]* &quot;-&quot;??_-;_-@_-"/>
    <numFmt numFmtId="290" formatCode="_ * #,##0.00_)_d_ ;_ * \(#,##0.00\)_d_ ;_ * &quot;-&quot;??_)_d_ ;_ @_ "/>
    <numFmt numFmtId="291" formatCode="#,##0_);\-#,##0_)"/>
    <numFmt numFmtId="292" formatCode="#,###;\-#,###;&quot;&quot;;_(@_)"/>
    <numFmt numFmtId="293" formatCode="&quot;€&quot;#,##0;\-&quot;€&quot;#,##0"/>
    <numFmt numFmtId="294" formatCode="#,##0\ &quot;$&quot;_);\(#,##0\ &quot;$&quot;\)"/>
    <numFmt numFmtId="295" formatCode="_-&quot;£&quot;* #,##0_-;\-&quot;£&quot;* #,##0_-;_-&quot;£&quot;* &quot;-&quot;_-;_-@_-"/>
    <numFmt numFmtId="296" formatCode="#,###"/>
    <numFmt numFmtId="297" formatCode="&quot;Fr.&quot;\ #,##0.00;[Red]&quot;Fr.&quot;\ \-#,##0.00"/>
    <numFmt numFmtId="298" formatCode="_ &quot;Fr.&quot;\ * #,##0_ ;_ &quot;Fr.&quot;\ * \-#,##0_ ;_ &quot;Fr.&quot;\ * &quot;-&quot;_ ;_ @_ "/>
    <numFmt numFmtId="299" formatCode="&quot;\&quot;#,##0;[Red]\-&quot;\&quot;#,##0"/>
    <numFmt numFmtId="300" formatCode="&quot;\&quot;#,##0.00;\-&quot;\&quot;#,##0.00"/>
    <numFmt numFmtId="301" formatCode="mmmm\ d\,\ yyyy"/>
    <numFmt numFmtId="302" formatCode="#,##0.00_);\-#,##0.00_)"/>
    <numFmt numFmtId="303" formatCode="0_)%;\(0\)%"/>
    <numFmt numFmtId="304" formatCode="_._._(* 0_)%;_._.* \(0\)%"/>
    <numFmt numFmtId="305" formatCode="_(0_)%;\(0\)%"/>
    <numFmt numFmtId="306" formatCode="0%_);\(0%\)"/>
    <numFmt numFmtId="307" formatCode="#,##0.000_);\(#,##0.000\)"/>
    <numFmt numFmtId="308" formatCode="_ &quot;\&quot;* #,##0_ ;_ &quot;\&quot;* &quot;\&quot;&quot;\&quot;&quot;\&quot;&quot;\&quot;&quot;\&quot;&quot;\&quot;&quot;\&quot;&quot;\&quot;&quot;\&quot;&quot;\&quot;&quot;\&quot;&quot;\&quot;&quot;\&quot;&quot;\&quot;\-#,##0_ ;_ &quot;\&quot;* &quot;-&quot;_ ;_ @_ "/>
    <numFmt numFmtId="309" formatCode="_(0.0_)%;\(0.0\)%"/>
    <numFmt numFmtId="310" formatCode="_._._(* 0.0_)%;_._.* \(0.0\)%"/>
    <numFmt numFmtId="311" formatCode="_(0.00_)%;\(0.00\)%"/>
    <numFmt numFmtId="312" formatCode="_._._(* 0.00_)%;_._.* \(0.00\)%"/>
    <numFmt numFmtId="313" formatCode="_(0.000_)%;\(0.000\)%"/>
    <numFmt numFmtId="314" formatCode="_._._(* 0.000_)%;_._.* \(0.000\)%"/>
    <numFmt numFmtId="315" formatCode="#"/>
    <numFmt numFmtId="316" formatCode="&quot;¡Ì&quot;#,##0;[Red]\-&quot;¡Ì&quot;#,##0"/>
    <numFmt numFmtId="317" formatCode="_(&quot;Z$&quot;* #,##0.00_);_(&quot;Z$&quot;* \(#,##0.00\);_(&quot;Z$&quot;* &quot;-&quot;??_);_(@_)"/>
  </numFmts>
  <fonts count="222">
    <font>
      <sz val="11"/>
      <color theme="1"/>
      <name val="Calibri"/>
      <family val="2"/>
      <scheme val="minor"/>
    </font>
    <font>
      <sz val="11"/>
      <color indexed="8"/>
      <name val="Calibri"/>
      <family val="2"/>
    </font>
    <font>
      <sz val="12"/>
      <name val=".VnTime"/>
      <family val="2"/>
    </font>
    <font>
      <sz val="11"/>
      <color indexed="8"/>
      <name val="Calibri"/>
      <family val="2"/>
      <charset val="163"/>
    </font>
    <font>
      <sz val="10"/>
      <name val="Times New Roman"/>
      <family val="1"/>
    </font>
    <font>
      <sz val="11"/>
      <name val="Times New Roman"/>
      <family val="1"/>
    </font>
    <font>
      <b/>
      <sz val="11"/>
      <name val="Times New Roman"/>
      <family val="1"/>
    </font>
    <font>
      <sz val="14"/>
      <name val="Times New Roman"/>
      <family val="1"/>
    </font>
    <font>
      <sz val="9"/>
      <name val="Arial"/>
      <family val="2"/>
    </font>
    <font>
      <sz val="12"/>
      <name val="Times New Roman"/>
      <family val="1"/>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1"/>
      <name val="??"/>
      <family val="3"/>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0"/>
      <name val="Arial"/>
      <family val="2"/>
      <charset val="1"/>
    </font>
    <font>
      <sz val="12"/>
      <name val="|??¢¥¢¬¨Ï"/>
      <family val="1"/>
      <charset val="129"/>
    </font>
    <font>
      <b/>
      <sz val="12"/>
      <name val="Arial"/>
      <family val="2"/>
    </font>
    <font>
      <sz val="10"/>
      <name val="VNI-Times"/>
    </font>
    <font>
      <sz val="10"/>
      <name val="Helv"/>
      <family val="2"/>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2"/>
      <name val="Arial"/>
      <family val="2"/>
    </font>
    <font>
      <sz val="11"/>
      <name val="–¾’©"/>
      <family val="1"/>
      <charset val="128"/>
    </font>
    <font>
      <sz val="14"/>
      <name val="VNTime"/>
    </font>
    <font>
      <sz val="10"/>
      <name val=".VnArial"/>
      <family val="2"/>
    </font>
    <font>
      <b/>
      <u/>
      <sz val="14"/>
      <color indexed="8"/>
      <name val=".VnBook-AntiquaH"/>
      <family val="2"/>
    </font>
    <font>
      <sz val="11"/>
      <name val=".VnTime"/>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sz val="10"/>
      <name val="Arial"/>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4"/>
      <name val=".VnTime"/>
      <family val="2"/>
    </font>
    <font>
      <sz val="14"/>
      <name val="VNI-Times"/>
    </font>
    <font>
      <sz val="12"/>
      <name val="¹UAAA¼"/>
      <family val="3"/>
      <charset val="129"/>
    </font>
    <font>
      <sz val="11"/>
      <name val="VNI-Times"/>
    </font>
    <font>
      <sz val="8"/>
      <name val="Times New Roman"/>
      <family val="1"/>
      <charset val="163"/>
    </font>
    <font>
      <sz val="8"/>
      <name val="Times New Roman"/>
      <family val="1"/>
    </font>
    <font>
      <b/>
      <sz val="12"/>
      <color indexed="63"/>
      <name val="VNI-Times"/>
    </font>
    <font>
      <sz val="12"/>
      <name val="¹ÙÅÁÃ¼"/>
      <charset val="129"/>
    </font>
    <font>
      <sz val="11"/>
      <color indexed="20"/>
      <name val="Calibri"/>
      <family val="2"/>
      <charset val="163"/>
    </font>
    <font>
      <b/>
      <i/>
      <sz val="14"/>
      <name val="VNTime"/>
      <family val="2"/>
    </font>
    <font>
      <sz val="12"/>
      <name val="Tms Rmn"/>
    </font>
    <font>
      <sz val="13"/>
      <name val=".VnTime"/>
      <family val="2"/>
    </font>
    <font>
      <sz val="10"/>
      <name val="Times New Roman"/>
      <family val="1"/>
      <charset val="163"/>
    </font>
    <font>
      <sz val="11"/>
      <name val="µ¸¿ò"/>
      <charset val="129"/>
    </font>
    <font>
      <sz val="10"/>
      <name val="±¼¸²A¼"/>
      <family val="3"/>
      <charset val="129"/>
    </font>
    <font>
      <sz val="12"/>
      <name val="¹ÙÅÁÃ¼"/>
      <family val="1"/>
      <charset val="129"/>
    </font>
    <font>
      <sz val="10"/>
      <name val="Helv"/>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0"/>
      <name val="VNI-Aptima"/>
    </font>
    <font>
      <b/>
      <sz val="8"/>
      <name val="Arial"/>
      <family val="2"/>
    </font>
    <font>
      <sz val="11"/>
      <name val="Tms Rmn"/>
    </font>
    <font>
      <sz val="12"/>
      <color indexed="8"/>
      <name val="Calibri"/>
      <family val="2"/>
    </font>
    <font>
      <sz val="12"/>
      <color indexed="8"/>
      <name val="Calibri"/>
      <family val="2"/>
    </font>
    <font>
      <sz val="11"/>
      <color indexed="8"/>
      <name val="Calibri"/>
      <family val="2"/>
    </font>
    <font>
      <u val="singleAccounting"/>
      <sz val="11"/>
      <name val="Times New Roman"/>
      <family val="1"/>
    </font>
    <font>
      <sz val="11"/>
      <color indexed="8"/>
      <name val="Arial"/>
      <family val="2"/>
    </font>
    <font>
      <sz val="11"/>
      <color indexed="8"/>
      <name val="Times New Roman"/>
      <family val="2"/>
    </font>
    <font>
      <sz val="14"/>
      <color indexed="8"/>
      <name val="Times New Roman"/>
      <family val="2"/>
    </font>
    <font>
      <sz val="11"/>
      <name val="UVnTime"/>
    </font>
    <font>
      <sz val="12"/>
      <color indexed="8"/>
      <name val="Times New Roman"/>
      <family val="2"/>
    </font>
    <font>
      <sz val="10"/>
      <color indexed="8"/>
      <name val="Times New Roman"/>
      <family val="2"/>
    </font>
    <font>
      <sz val="12"/>
      <color indexed="8"/>
      <name val="Times New Roman"/>
      <family val="2"/>
      <charset val="163"/>
    </font>
    <font>
      <sz val="12"/>
      <color indexed="8"/>
      <name val="Times New Roman"/>
      <family val="2"/>
      <charset val="163"/>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2"/>
      <name val="VNTimeH"/>
      <family val="2"/>
    </font>
    <font>
      <sz val="10"/>
      <name val="Arial CE"/>
      <charset val="238"/>
    </font>
    <font>
      <sz val="10"/>
      <name val="Arial CE"/>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8"/>
      <color indexed="10"/>
      <name val="VNnew Century Cond"/>
      <family val="2"/>
    </font>
    <font>
      <b/>
      <sz val="14"/>
      <color indexed="14"/>
      <name val="VNottawa"/>
      <family val="2"/>
    </font>
    <font>
      <b/>
      <sz val="16"/>
      <color indexed="14"/>
      <name val="VNottawa"/>
      <family val="2"/>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18"/>
      <name val="Arial"/>
      <family val="2"/>
    </font>
    <font>
      <b/>
      <sz val="8"/>
      <name val="MS Sans Serif"/>
      <family val="2"/>
    </font>
    <font>
      <b/>
      <sz val="10"/>
      <name val=".VnTime"/>
      <family val="2"/>
    </font>
    <font>
      <b/>
      <sz val="14"/>
      <name val=".VnTimeH"/>
      <family val="2"/>
    </font>
    <font>
      <sz val="12"/>
      <name val="±¼¸²Ã¼"/>
      <family val="3"/>
      <charset val="129"/>
    </font>
    <font>
      <sz val="11"/>
      <color indexed="62"/>
      <name val="Calibri"/>
      <family val="2"/>
      <charset val="163"/>
    </font>
    <font>
      <u/>
      <sz val="10"/>
      <color indexed="12"/>
      <name val=".VnTime"/>
      <family val="2"/>
    </font>
    <font>
      <u/>
      <sz val="12"/>
      <color indexed="12"/>
      <name val=".VnTime"/>
      <family val="2"/>
    </font>
    <font>
      <u/>
      <sz val="12"/>
      <color indexed="12"/>
      <name val="Arial"/>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1"/>
      <color indexed="60"/>
      <name val="Calibri"/>
      <family val="2"/>
      <charset val="163"/>
    </font>
    <font>
      <sz val="7"/>
      <name val="Small Fonts"/>
      <family val="2"/>
    </font>
    <font>
      <b/>
      <sz val="12"/>
      <name val="VN-NTime"/>
    </font>
    <font>
      <b/>
      <i/>
      <sz val="16"/>
      <name val="Helv"/>
      <family val="2"/>
    </font>
    <font>
      <b/>
      <i/>
      <sz val="16"/>
      <name val="Helv"/>
    </font>
    <font>
      <sz val="12"/>
      <name val="바탕체"/>
      <family val="1"/>
      <charset val="129"/>
    </font>
    <font>
      <sz val="13"/>
      <name val="Times New Roman"/>
      <family val="1"/>
    </font>
    <font>
      <sz val="11"/>
      <color indexed="8"/>
      <name val="Helvetica Neue"/>
    </font>
    <font>
      <sz val="11"/>
      <name val="VNI-Aptima"/>
    </font>
    <font>
      <sz val="14"/>
      <name val="System"/>
      <family val="2"/>
    </font>
    <font>
      <b/>
      <sz val="11"/>
      <name val="Arial"/>
      <family val="2"/>
      <charset val="163"/>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charset val="163"/>
    </font>
    <font>
      <b/>
      <sz val="12"/>
      <color indexed="8"/>
      <name val="Arial"/>
      <family val="2"/>
    </font>
    <font>
      <b/>
      <i/>
      <sz val="12"/>
      <color indexed="8"/>
      <name val="Arial"/>
      <family val="2"/>
      <charset val="163"/>
    </font>
    <font>
      <b/>
      <i/>
      <sz val="12"/>
      <color indexed="8"/>
      <name val="Arial"/>
      <family val="2"/>
    </font>
    <font>
      <sz val="12"/>
      <color indexed="8"/>
      <name val="Arial"/>
      <family val="2"/>
      <charset val="163"/>
    </font>
    <font>
      <sz val="12"/>
      <color indexed="8"/>
      <name val="Arial"/>
      <family val="2"/>
    </font>
    <font>
      <i/>
      <sz val="12"/>
      <color indexed="8"/>
      <name val="Arial"/>
      <family val="2"/>
      <charset val="163"/>
    </font>
    <font>
      <i/>
      <sz val="12"/>
      <color indexed="8"/>
      <name val="Arial"/>
      <family val="2"/>
    </font>
    <font>
      <sz val="19"/>
      <color indexed="48"/>
      <name val="Arial"/>
      <family val="2"/>
      <charset val="163"/>
    </font>
    <font>
      <sz val="19"/>
      <color indexed="48"/>
      <name val="Arial"/>
      <family val="2"/>
    </font>
    <font>
      <sz val="12"/>
      <color indexed="14"/>
      <name val="Arial"/>
      <family val="2"/>
      <charset val="163"/>
    </font>
    <font>
      <sz val="12"/>
      <color indexed="14"/>
      <name val="Arial"/>
      <family val="2"/>
    </font>
    <font>
      <sz val="11"/>
      <name val="3C_Times_T"/>
    </font>
    <font>
      <sz val="8"/>
      <name val="MS Sans Serif"/>
      <family val="2"/>
    </font>
    <font>
      <b/>
      <sz val="10.5"/>
      <name val=".VnAvantH"/>
      <family val="2"/>
    </font>
    <font>
      <sz val="10"/>
      <name val=".VnArial NarrowH"/>
      <family val="2"/>
    </font>
    <font>
      <sz val="12"/>
      <name val="Times New Roman"/>
      <family val="1"/>
      <charset val="163"/>
    </font>
    <font>
      <sz val="10"/>
      <name val="Arial"/>
      <family val="2"/>
    </font>
    <font>
      <sz val="11"/>
      <color theme="1"/>
      <name val="Calibri"/>
      <family val="2"/>
      <scheme val="minor"/>
    </font>
    <font>
      <b/>
      <sz val="12"/>
      <color theme="0"/>
      <name val="Times New Roman"/>
      <family val="2"/>
    </font>
    <font>
      <sz val="11"/>
      <color theme="1"/>
      <name val="Calibri"/>
      <family val="2"/>
      <charset val="163"/>
      <scheme val="minor"/>
    </font>
    <font>
      <sz val="11"/>
      <color theme="1"/>
      <name val="Calibri"/>
      <family val="2"/>
    </font>
    <font>
      <sz val="11"/>
      <color theme="1"/>
      <name val="Arial"/>
      <family val="2"/>
    </font>
    <font>
      <sz val="12"/>
      <color theme="1"/>
      <name val="Times New Roman"/>
      <family val="1"/>
    </font>
    <font>
      <sz val="9"/>
      <color theme="1"/>
      <name val="Times New Roman"/>
      <family val="2"/>
      <charset val="163"/>
    </font>
    <font>
      <sz val="12"/>
      <color theme="1"/>
      <name val="Times New Roman"/>
      <family val="2"/>
      <charset val="163"/>
    </font>
    <font>
      <sz val="12"/>
      <color theme="1"/>
      <name val="Calibri"/>
      <family val="2"/>
      <scheme val="minor"/>
    </font>
    <font>
      <sz val="12"/>
      <color theme="1"/>
      <name val="Times New Roman"/>
      <family val="2"/>
    </font>
    <font>
      <b/>
      <sz val="12"/>
      <color rgb="FF3F3F3F"/>
      <name val="Times New Roman"/>
      <family val="2"/>
    </font>
    <font>
      <b/>
      <sz val="11"/>
      <color rgb="FFFF0000"/>
      <name val="Times New Roman"/>
      <family val="1"/>
    </font>
    <font>
      <sz val="12"/>
      <name val="VNI-Book"/>
    </font>
    <font>
      <b/>
      <sz val="12"/>
      <name val="Times New Roman"/>
      <family val="1"/>
    </font>
    <font>
      <i/>
      <sz val="14"/>
      <name val="Times New Roman"/>
      <family val="1"/>
    </font>
    <font>
      <b/>
      <i/>
      <sz val="12"/>
      <name val="Times New Roman"/>
      <family val="1"/>
    </font>
    <font>
      <b/>
      <i/>
      <sz val="9"/>
      <name val="Times New Roman"/>
      <family val="1"/>
    </font>
    <font>
      <sz val="11"/>
      <color rgb="FFFF0000"/>
      <name val="Times New Roman"/>
      <family val="1"/>
    </font>
    <font>
      <b/>
      <i/>
      <sz val="11"/>
      <name val="Times New Roman"/>
      <family val="1"/>
    </font>
    <font>
      <b/>
      <u/>
      <sz val="11"/>
      <color rgb="FFFF0000"/>
      <name val="Times New Roman"/>
      <family val="1"/>
    </font>
    <font>
      <sz val="11"/>
      <color rgb="FF000000"/>
      <name val="Times New Roman"/>
      <family val="1"/>
    </font>
    <font>
      <u/>
      <sz val="11"/>
      <name val="Times New Roman"/>
      <family val="1"/>
    </font>
    <font>
      <b/>
      <sz val="14"/>
      <name val="Times New Roman"/>
      <family val="1"/>
      <charset val="163"/>
    </font>
    <font>
      <i/>
      <sz val="11"/>
      <name val="Times New Roman"/>
      <family val="1"/>
      <charset val="163"/>
    </font>
    <font>
      <sz val="11"/>
      <color theme="0"/>
      <name val="Times New Roman"/>
      <family val="1"/>
    </font>
    <font>
      <b/>
      <sz val="11"/>
      <name val="Times New Roman"/>
      <family val="1"/>
      <charset val="163"/>
    </font>
    <font>
      <b/>
      <sz val="11"/>
      <color theme="0"/>
      <name val="Times New Roman"/>
      <family val="1"/>
    </font>
    <font>
      <sz val="11"/>
      <name val="Times New Roman"/>
      <family val="1"/>
      <charset val="163"/>
    </font>
    <font>
      <sz val="11"/>
      <color theme="1"/>
      <name val="Times New Roman"/>
      <family val="1"/>
    </font>
    <font>
      <b/>
      <sz val="13"/>
      <color theme="1"/>
      <name val="Times New Roman"/>
      <family val="1"/>
    </font>
    <font>
      <i/>
      <sz val="13"/>
      <name val="Times New Roman"/>
      <family val="1"/>
      <charset val="163"/>
    </font>
    <font>
      <b/>
      <sz val="13"/>
      <name val="Times New Roman"/>
      <family val="1"/>
    </font>
    <font>
      <sz val="13"/>
      <color theme="1"/>
      <name val="Calibri"/>
      <family val="2"/>
      <scheme val="minor"/>
    </font>
    <font>
      <sz val="13"/>
      <color theme="0"/>
      <name val="Times New Roman"/>
      <family val="1"/>
    </font>
    <font>
      <b/>
      <sz val="13"/>
      <name val="Times New Roman"/>
      <family val="1"/>
      <charset val="163"/>
    </font>
    <font>
      <b/>
      <sz val="13"/>
      <color theme="1"/>
      <name val="Times New Roman"/>
      <family val="1"/>
      <charset val="163"/>
    </font>
    <font>
      <sz val="13"/>
      <color theme="1"/>
      <name val="Times New Roman"/>
      <family val="1"/>
      <charset val="163"/>
    </font>
    <font>
      <b/>
      <sz val="13"/>
      <color rgb="FFFF0000"/>
      <name val="Times New Roman"/>
      <family val="1"/>
    </font>
    <font>
      <b/>
      <sz val="13"/>
      <color rgb="FFFF0000"/>
      <name val="Times New Roman"/>
      <family val="1"/>
      <charset val="163"/>
    </font>
    <font>
      <sz val="13"/>
      <color theme="1"/>
      <name val="Times New Roman"/>
      <family val="1"/>
    </font>
    <font>
      <sz val="13"/>
      <color rgb="FFFF0000"/>
      <name val="Times New Roman"/>
      <family val="1"/>
    </font>
    <font>
      <sz val="13"/>
      <color indexed="8"/>
      <name val="Times New Roman"/>
      <family val="1"/>
    </font>
    <font>
      <b/>
      <sz val="14"/>
      <color theme="1"/>
      <name val="Times New Roman"/>
      <family val="1"/>
    </font>
    <font>
      <b/>
      <sz val="14"/>
      <color theme="1"/>
      <name val="Times New Roman"/>
      <family val="1"/>
      <charset val="163"/>
    </font>
    <font>
      <sz val="14"/>
      <color theme="1"/>
      <name val="Times New Roman"/>
      <family val="1"/>
    </font>
    <font>
      <b/>
      <sz val="16"/>
      <color theme="1"/>
      <name val="Times New Roman"/>
      <family val="1"/>
    </font>
    <font>
      <i/>
      <sz val="16"/>
      <name val="Times New Roman"/>
      <family val="1"/>
    </font>
    <font>
      <i/>
      <sz val="13"/>
      <name val="Times New Roman"/>
      <family val="1"/>
    </font>
  </fonts>
  <fills count="53">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rgb="FFF2F2F2"/>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double">
        <color indexed="64"/>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s>
  <cellStyleXfs count="5270">
    <xf numFmtId="0" fontId="0" fillId="0" borderId="0"/>
    <xf numFmtId="170" fontId="10"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Protection="0"/>
    <xf numFmtId="0" fontId="11" fillId="0" borderId="0"/>
    <xf numFmtId="3" fontId="12" fillId="0" borderId="1"/>
    <xf numFmtId="3" fontId="12" fillId="0" borderId="1"/>
    <xf numFmtId="3" fontId="12" fillId="0" borderId="1"/>
    <xf numFmtId="3" fontId="12" fillId="0" borderId="1"/>
    <xf numFmtId="3" fontId="12" fillId="0" borderId="1"/>
    <xf numFmtId="3" fontId="12" fillId="0" borderId="1"/>
    <xf numFmtId="168" fontId="13" fillId="0" borderId="2" applyFont="0" applyBorder="0"/>
    <xf numFmtId="168" fontId="8" fillId="0" borderId="0" applyProtection="0"/>
    <xf numFmtId="168" fontId="13" fillId="0" borderId="2" applyFont="0" applyBorder="0"/>
    <xf numFmtId="168" fontId="13" fillId="0" borderId="2" applyFont="0" applyBorder="0"/>
    <xf numFmtId="0" fontId="14" fillId="0" borderId="0"/>
    <xf numFmtId="171" fontId="2" fillId="0" borderId="0" applyFont="0" applyFill="0" applyBorder="0" applyAlignment="0" applyProtection="0"/>
    <xf numFmtId="0" fontId="15" fillId="0" borderId="0" applyFont="0" applyFill="0" applyBorder="0" applyAlignment="0" applyProtection="0"/>
    <xf numFmtId="172" fontId="2" fillId="0" borderId="0" applyFont="0" applyFill="0" applyBorder="0" applyAlignment="0" applyProtection="0"/>
    <xf numFmtId="173" fontId="16" fillId="0" borderId="0" applyFont="0" applyFill="0" applyBorder="0" applyAlignment="0" applyProtection="0"/>
    <xf numFmtId="174" fontId="16" fillId="0" borderId="0" applyFont="0" applyFill="0" applyBorder="0" applyAlignment="0" applyProtection="0"/>
    <xf numFmtId="174" fontId="16" fillId="0" borderId="0" applyFont="0" applyFill="0" applyBorder="0" applyAlignment="0" applyProtection="0"/>
    <xf numFmtId="174" fontId="16" fillId="0" borderId="0" applyFont="0" applyFill="0" applyBorder="0" applyAlignment="0" applyProtection="0"/>
    <xf numFmtId="174" fontId="16" fillId="0" borderId="0" applyFont="0" applyFill="0" applyBorder="0" applyAlignment="0" applyProtection="0"/>
    <xf numFmtId="174" fontId="16" fillId="0" borderId="0" applyFont="0" applyFill="0" applyBorder="0" applyAlignment="0" applyProtection="0"/>
    <xf numFmtId="174" fontId="16"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Font="0" applyFill="0" applyBorder="0" applyAlignment="0" applyProtection="0"/>
    <xf numFmtId="0" fontId="19" fillId="0" borderId="3"/>
    <xf numFmtId="175" fontId="14" fillId="0" borderId="0" applyFont="0" applyFill="0" applyBorder="0" applyAlignment="0" applyProtection="0"/>
    <xf numFmtId="176" fontId="20" fillId="0" borderId="0" applyFont="0" applyFill="0" applyBorder="0" applyAlignment="0" applyProtection="0"/>
    <xf numFmtId="169" fontId="20" fillId="0" borderId="0" applyFont="0" applyFill="0" applyBorder="0" applyAlignment="0" applyProtection="0"/>
    <xf numFmtId="177" fontId="21" fillId="0" borderId="0" applyFont="0" applyFill="0" applyBorder="0" applyAlignment="0" applyProtection="0"/>
    <xf numFmtId="0" fontId="22"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Protection="0"/>
    <xf numFmtId="0" fontId="23" fillId="0" borderId="0"/>
    <xf numFmtId="0" fontId="17" fillId="0" borderId="0" applyProtection="0"/>
    <xf numFmtId="0" fontId="2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Protection="0"/>
    <xf numFmtId="0" fontId="25" fillId="0" borderId="0" applyNumberFormat="0" applyFill="0" applyBorder="0" applyProtection="0">
      <alignment vertical="center"/>
    </xf>
    <xf numFmtId="176" fontId="2" fillId="0" borderId="0" applyFont="0" applyFill="0" applyBorder="0" applyAlignment="0" applyProtection="0"/>
    <xf numFmtId="178" fontId="26" fillId="0" borderId="0" applyFont="0" applyFill="0" applyBorder="0" applyAlignment="0" applyProtection="0"/>
    <xf numFmtId="179" fontId="10" fillId="0" borderId="0" applyFont="0" applyFill="0" applyBorder="0" applyAlignment="0" applyProtection="0"/>
    <xf numFmtId="42"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0" fontId="2" fillId="0" borderId="0" applyFont="0" applyFill="0" applyBorder="0" applyAlignment="0" applyProtection="0"/>
    <xf numFmtId="42"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42" fontId="26" fillId="0" borderId="0" applyFont="0" applyFill="0" applyBorder="0" applyAlignment="0" applyProtection="0"/>
    <xf numFmtId="178" fontId="26" fillId="0" borderId="0" applyFont="0" applyFill="0" applyBorder="0" applyAlignment="0" applyProtection="0"/>
    <xf numFmtId="0" fontId="27" fillId="0" borderId="0"/>
    <xf numFmtId="42" fontId="26" fillId="0" borderId="0" applyFont="0" applyFill="0" applyBorder="0" applyAlignment="0" applyProtection="0"/>
    <xf numFmtId="0" fontId="28" fillId="0" borderId="0">
      <alignment vertical="top"/>
    </xf>
    <xf numFmtId="0" fontId="29" fillId="0" borderId="0">
      <alignment vertical="top"/>
    </xf>
    <xf numFmtId="0" fontId="29" fillId="0" borderId="0">
      <alignment vertical="top"/>
    </xf>
    <xf numFmtId="0" fontId="14" fillId="0" borderId="0" applyNumberFormat="0" applyFill="0" applyBorder="0" applyAlignment="0" applyProtection="0"/>
    <xf numFmtId="181" fontId="10" fillId="0" borderId="0" applyFont="0" applyFill="0" applyBorder="0" applyAlignment="0" applyProtection="0"/>
    <xf numFmtId="0" fontId="14" fillId="0" borderId="0" applyNumberFormat="0" applyFill="0" applyBorder="0" applyAlignment="0" applyProtection="0"/>
    <xf numFmtId="42" fontId="26" fillId="0" borderId="0" applyFont="0" applyFill="0" applyBorder="0" applyAlignment="0" applyProtection="0"/>
    <xf numFmtId="0" fontId="27" fillId="0" borderId="0"/>
    <xf numFmtId="182"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26" fillId="0" borderId="0" applyFont="0" applyFill="0" applyBorder="0" applyAlignment="0" applyProtection="0"/>
    <xf numFmtId="0" fontId="27" fillId="0" borderId="0"/>
    <xf numFmtId="178" fontId="26" fillId="0" borderId="0" applyFont="0" applyFill="0" applyBorder="0" applyAlignment="0" applyProtection="0"/>
    <xf numFmtId="0" fontId="27"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42" fontId="26" fillId="0" borderId="0" applyFont="0" applyFill="0" applyBorder="0" applyAlignment="0" applyProtection="0"/>
    <xf numFmtId="42"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42" fontId="26" fillId="0" borderId="0" applyFont="0" applyFill="0" applyBorder="0" applyAlignment="0" applyProtection="0"/>
    <xf numFmtId="0" fontId="27"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0" fontId="27" fillId="0" borderId="0"/>
    <xf numFmtId="0" fontId="27" fillId="0" borderId="0"/>
    <xf numFmtId="184" fontId="26" fillId="0" borderId="0" applyFont="0" applyFill="0" applyBorder="0" applyAlignment="0" applyProtection="0"/>
    <xf numFmtId="18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0" fontId="27"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26" fillId="0" borderId="0" applyFont="0" applyFill="0" applyBorder="0" applyAlignment="0" applyProtection="0"/>
    <xf numFmtId="0" fontId="27" fillId="0" borderId="0"/>
    <xf numFmtId="0" fontId="27" fillId="0" borderId="0"/>
    <xf numFmtId="178" fontId="26" fillId="0" borderId="0" applyFont="0" applyFill="0" applyBorder="0" applyAlignment="0" applyProtection="0"/>
    <xf numFmtId="0" fontId="27" fillId="0" borderId="0"/>
    <xf numFmtId="0" fontId="30" fillId="0" borderId="0"/>
    <xf numFmtId="0" fontId="27" fillId="0" borderId="0"/>
    <xf numFmtId="0" fontId="27" fillId="0" borderId="0"/>
    <xf numFmtId="179" fontId="10" fillId="0" borderId="0" applyFont="0" applyFill="0" applyBorder="0" applyAlignment="0" applyProtection="0"/>
    <xf numFmtId="42" fontId="26" fillId="0" borderId="0" applyFont="0" applyFill="0" applyBorder="0" applyAlignment="0" applyProtection="0"/>
    <xf numFmtId="182" fontId="26" fillId="0" borderId="0" applyFont="0" applyFill="0" applyBorder="0" applyAlignment="0" applyProtection="0"/>
    <xf numFmtId="42" fontId="26"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0" fontId="10" fillId="0" borderId="0" applyFont="0" applyFill="0" applyBorder="0" applyAlignment="0" applyProtection="0"/>
    <xf numFmtId="169" fontId="10" fillId="0" borderId="0" applyFont="0" applyFill="0" applyBorder="0" applyAlignment="0" applyProtection="0"/>
    <xf numFmtId="171" fontId="26" fillId="0" borderId="0" applyFont="0" applyFill="0" applyBorder="0" applyAlignment="0" applyProtection="0"/>
    <xf numFmtId="186"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87"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67" fontId="26" fillId="0" borderId="0" applyFont="0" applyFill="0" applyBorder="0" applyAlignment="0" applyProtection="0"/>
    <xf numFmtId="18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67"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67"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91" fontId="26" fillId="0" borderId="0" applyFont="0" applyFill="0" applyBorder="0" applyAlignment="0" applyProtection="0"/>
    <xf numFmtId="192"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176" fontId="10" fillId="0" borderId="0" applyFont="0" applyFill="0" applyBorder="0" applyAlignment="0" applyProtection="0"/>
    <xf numFmtId="42" fontId="26" fillId="0" borderId="0" applyFont="0" applyFill="0" applyBorder="0" applyAlignment="0" applyProtection="0"/>
    <xf numFmtId="182" fontId="26" fillId="0" borderId="0" applyFont="0" applyFill="0" applyBorder="0" applyAlignment="0" applyProtection="0"/>
    <xf numFmtId="42"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2"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78"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18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1"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10" fillId="0" borderId="0" applyFont="0" applyFill="0" applyBorder="0" applyAlignment="0" applyProtection="0"/>
    <xf numFmtId="194" fontId="31" fillId="0" borderId="0" applyFont="0" applyFill="0" applyBorder="0" applyAlignment="0" applyProtection="0"/>
    <xf numFmtId="195"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26" fillId="0" borderId="0" applyFont="0" applyFill="0" applyBorder="0" applyAlignment="0" applyProtection="0"/>
    <xf numFmtId="196"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171" fontId="26" fillId="0" borderId="0" applyFont="0" applyFill="0" applyBorder="0" applyAlignment="0" applyProtection="0"/>
    <xf numFmtId="186"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87"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67" fontId="26" fillId="0" borderId="0" applyFont="0" applyFill="0" applyBorder="0" applyAlignment="0" applyProtection="0"/>
    <xf numFmtId="18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67"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67"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91" fontId="26" fillId="0" borderId="0" applyFont="0" applyFill="0" applyBorder="0" applyAlignment="0" applyProtection="0"/>
    <xf numFmtId="192" fontId="26" fillId="0" borderId="0" applyFont="0" applyFill="0" applyBorder="0" applyAlignment="0" applyProtection="0"/>
    <xf numFmtId="169" fontId="10"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180" fontId="26" fillId="0" borderId="0" applyFont="0" applyFill="0" applyBorder="0" applyAlignment="0" applyProtection="0"/>
    <xf numFmtId="197"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98"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99" fontId="26" fillId="0" borderId="0" applyFont="0" applyFill="0" applyBorder="0" applyAlignment="0" applyProtection="0"/>
    <xf numFmtId="165" fontId="26" fillId="0" borderId="0" applyFont="0" applyFill="0" applyBorder="0" applyAlignment="0" applyProtection="0"/>
    <xf numFmtId="20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98"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80" fontId="26" fillId="0" borderId="0" applyFont="0" applyFill="0" applyBorder="0" applyAlignment="0" applyProtection="0"/>
    <xf numFmtId="180" fontId="1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200" fontId="26" fillId="0" borderId="0" applyFont="0" applyFill="0" applyBorder="0" applyAlignment="0" applyProtection="0"/>
    <xf numFmtId="180" fontId="10" fillId="0" borderId="0" applyFont="0" applyFill="0" applyBorder="0" applyAlignment="0" applyProtection="0"/>
    <xf numFmtId="180" fontId="26" fillId="0" borderId="0" applyFont="0" applyFill="0" applyBorder="0" applyAlignment="0" applyProtection="0"/>
    <xf numFmtId="202"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65"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200"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203" fontId="26" fillId="0" borderId="0" applyFont="0" applyFill="0" applyBorder="0" applyAlignment="0" applyProtection="0"/>
    <xf numFmtId="204"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00" fontId="26" fillId="0" borderId="0" applyFont="0" applyFill="0" applyBorder="0" applyAlignment="0" applyProtection="0"/>
    <xf numFmtId="180"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2"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78"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18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1"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10" fillId="0" borderId="0" applyFont="0" applyFill="0" applyBorder="0" applyAlignment="0" applyProtection="0"/>
    <xf numFmtId="194" fontId="31" fillId="0" borderId="0" applyFont="0" applyFill="0" applyBorder="0" applyAlignment="0" applyProtection="0"/>
    <xf numFmtId="195"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26" fillId="0" borderId="0" applyFont="0" applyFill="0" applyBorder="0" applyAlignment="0" applyProtection="0"/>
    <xf numFmtId="196" fontId="26" fillId="0" borderId="0" applyFont="0" applyFill="0" applyBorder="0" applyAlignment="0" applyProtection="0"/>
    <xf numFmtId="176" fontId="10"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169" fontId="10" fillId="0" borderId="0" applyFont="0" applyFill="0" applyBorder="0" applyAlignment="0" applyProtection="0"/>
    <xf numFmtId="180" fontId="26" fillId="0" borderId="0" applyFont="0" applyFill="0" applyBorder="0" applyAlignment="0" applyProtection="0"/>
    <xf numFmtId="197"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98"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99" fontId="26" fillId="0" borderId="0" applyFont="0" applyFill="0" applyBorder="0" applyAlignment="0" applyProtection="0"/>
    <xf numFmtId="165" fontId="26" fillId="0" borderId="0" applyFont="0" applyFill="0" applyBorder="0" applyAlignment="0" applyProtection="0"/>
    <xf numFmtId="20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98"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80" fontId="26" fillId="0" borderId="0" applyFont="0" applyFill="0" applyBorder="0" applyAlignment="0" applyProtection="0"/>
    <xf numFmtId="180" fontId="1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200" fontId="26" fillId="0" borderId="0" applyFont="0" applyFill="0" applyBorder="0" applyAlignment="0" applyProtection="0"/>
    <xf numFmtId="180" fontId="10" fillId="0" borderId="0" applyFont="0" applyFill="0" applyBorder="0" applyAlignment="0" applyProtection="0"/>
    <xf numFmtId="180" fontId="26" fillId="0" borderId="0" applyFont="0" applyFill="0" applyBorder="0" applyAlignment="0" applyProtection="0"/>
    <xf numFmtId="202"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65"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200"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203" fontId="26" fillId="0" borderId="0" applyFont="0" applyFill="0" applyBorder="0" applyAlignment="0" applyProtection="0"/>
    <xf numFmtId="204"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00" fontId="26" fillId="0" borderId="0" applyFont="0" applyFill="0" applyBorder="0" applyAlignment="0" applyProtection="0"/>
    <xf numFmtId="180" fontId="26" fillId="0" borderId="0" applyFont="0" applyFill="0" applyBorder="0" applyAlignment="0" applyProtection="0"/>
    <xf numFmtId="171" fontId="26" fillId="0" borderId="0" applyFont="0" applyFill="0" applyBorder="0" applyAlignment="0" applyProtection="0"/>
    <xf numFmtId="186"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87"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67" fontId="26" fillId="0" borderId="0" applyFont="0" applyFill="0" applyBorder="0" applyAlignment="0" applyProtection="0"/>
    <xf numFmtId="18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67"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67"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91" fontId="26" fillId="0" borderId="0" applyFont="0" applyFill="0" applyBorder="0" applyAlignment="0" applyProtection="0"/>
    <xf numFmtId="192"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176" fontId="10"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0" fontId="10" fillId="0" borderId="0" applyFont="0" applyFill="0" applyBorder="0" applyAlignment="0" applyProtection="0"/>
    <xf numFmtId="42" fontId="26" fillId="0" borderId="0" applyFont="0" applyFill="0" applyBorder="0" applyAlignment="0" applyProtection="0"/>
    <xf numFmtId="18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4" fontId="26" fillId="0" borderId="0" applyFont="0" applyFill="0" applyBorder="0" applyAlignment="0" applyProtection="0"/>
    <xf numFmtId="181"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10" fillId="0" borderId="0" applyFont="0" applyFill="0" applyBorder="0" applyAlignment="0" applyProtection="0"/>
    <xf numFmtId="194" fontId="31" fillId="0" borderId="0" applyFont="0" applyFill="0" applyBorder="0" applyAlignment="0" applyProtection="0"/>
    <xf numFmtId="195"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26" fillId="0" borderId="0" applyFont="0" applyFill="0" applyBorder="0" applyAlignment="0" applyProtection="0"/>
    <xf numFmtId="0" fontId="27"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0" fontId="27" fillId="0" borderId="0"/>
    <xf numFmtId="182"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0" fontId="27" fillId="0" borderId="0"/>
    <xf numFmtId="196"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76" fontId="10" fillId="0" borderId="0" applyFont="0" applyFill="0" applyBorder="0" applyAlignment="0" applyProtection="0"/>
    <xf numFmtId="180" fontId="26" fillId="0" borderId="0" applyFont="0" applyFill="0" applyBorder="0" applyAlignment="0" applyProtection="0"/>
    <xf numFmtId="197"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98"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99" fontId="26" fillId="0" borderId="0" applyFont="0" applyFill="0" applyBorder="0" applyAlignment="0" applyProtection="0"/>
    <xf numFmtId="165" fontId="26" fillId="0" borderId="0" applyFont="0" applyFill="0" applyBorder="0" applyAlignment="0" applyProtection="0"/>
    <xf numFmtId="20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98"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80" fontId="26" fillId="0" borderId="0" applyFont="0" applyFill="0" applyBorder="0" applyAlignment="0" applyProtection="0"/>
    <xf numFmtId="180" fontId="1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200" fontId="26" fillId="0" borderId="0" applyFont="0" applyFill="0" applyBorder="0" applyAlignment="0" applyProtection="0"/>
    <xf numFmtId="180" fontId="10" fillId="0" borderId="0" applyFont="0" applyFill="0" applyBorder="0" applyAlignment="0" applyProtection="0"/>
    <xf numFmtId="180" fontId="26" fillId="0" borderId="0" applyFont="0" applyFill="0" applyBorder="0" applyAlignment="0" applyProtection="0"/>
    <xf numFmtId="202"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65"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200"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203" fontId="26" fillId="0" borderId="0" applyFont="0" applyFill="0" applyBorder="0" applyAlignment="0" applyProtection="0"/>
    <xf numFmtId="204"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00" fontId="26" fillId="0" borderId="0" applyFont="0" applyFill="0" applyBorder="0" applyAlignment="0" applyProtection="0"/>
    <xf numFmtId="180" fontId="26" fillId="0" borderId="0" applyFont="0" applyFill="0" applyBorder="0" applyAlignment="0" applyProtection="0"/>
    <xf numFmtId="171" fontId="26" fillId="0" borderId="0" applyFont="0" applyFill="0" applyBorder="0" applyAlignment="0" applyProtection="0"/>
    <xf numFmtId="186"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87"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67" fontId="26" fillId="0" borderId="0" applyFont="0" applyFill="0" applyBorder="0" applyAlignment="0" applyProtection="0"/>
    <xf numFmtId="18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90"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71" fontId="26" fillId="0" borderId="0" applyFont="0" applyFill="0" applyBorder="0" applyAlignment="0" applyProtection="0"/>
    <xf numFmtId="167"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69"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67"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171"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43" fontId="26" fillId="0" borderId="0" applyFont="0" applyFill="0" applyBorder="0" applyAlignment="0" applyProtection="0"/>
    <xf numFmtId="169" fontId="26" fillId="0" borderId="0" applyFont="0" applyFill="0" applyBorder="0" applyAlignment="0" applyProtection="0"/>
    <xf numFmtId="190"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88" fontId="26" fillId="0" borderId="0" applyFont="0" applyFill="0" applyBorder="0" applyAlignment="0" applyProtection="0"/>
    <xf numFmtId="171" fontId="26" fillId="0" borderId="0" applyFont="0" applyFill="0" applyBorder="0" applyAlignment="0" applyProtection="0"/>
    <xf numFmtId="191" fontId="26" fillId="0" borderId="0" applyFont="0" applyFill="0" applyBorder="0" applyAlignment="0" applyProtection="0"/>
    <xf numFmtId="192" fontId="26" fillId="0" borderId="0" applyFont="0" applyFill="0" applyBorder="0" applyAlignment="0" applyProtection="0"/>
    <xf numFmtId="19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9" fontId="26" fillId="0" borderId="0" applyFont="0" applyFill="0" applyBorder="0" applyAlignment="0" applyProtection="0"/>
    <xf numFmtId="171" fontId="26"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0" fontId="10" fillId="0" borderId="0" applyFont="0" applyFill="0" applyBorder="0" applyAlignment="0" applyProtection="0"/>
    <xf numFmtId="169" fontId="10" fillId="0" borderId="0" applyFont="0" applyFill="0" applyBorder="0" applyAlignment="0" applyProtection="0"/>
    <xf numFmtId="0" fontId="27" fillId="0" borderId="0"/>
    <xf numFmtId="184" fontId="26" fillId="0" borderId="0" applyFont="0" applyFill="0" applyBorder="0" applyAlignment="0" applyProtection="0"/>
    <xf numFmtId="42"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26" fillId="0" borderId="0" applyFont="0" applyFill="0" applyBorder="0" applyAlignment="0" applyProtection="0"/>
    <xf numFmtId="0" fontId="29" fillId="0" borderId="0">
      <alignment vertical="top"/>
    </xf>
    <xf numFmtId="0" fontId="29" fillId="0" borderId="0">
      <alignment vertical="top"/>
    </xf>
    <xf numFmtId="0" fontId="28" fillId="0" borderId="0">
      <alignment vertical="top"/>
    </xf>
    <xf numFmtId="0" fontId="28" fillId="0" borderId="0">
      <alignment vertical="top"/>
    </xf>
    <xf numFmtId="0" fontId="28" fillId="0" borderId="0">
      <alignment vertical="top"/>
    </xf>
    <xf numFmtId="0" fontId="17" fillId="0" borderId="0"/>
    <xf numFmtId="0" fontId="29" fillId="0" borderId="0">
      <alignment vertical="top"/>
    </xf>
    <xf numFmtId="0" fontId="29" fillId="0" borderId="0">
      <alignment vertical="top"/>
    </xf>
    <xf numFmtId="0" fontId="28" fillId="0" borderId="0">
      <alignment vertical="top"/>
    </xf>
    <xf numFmtId="0" fontId="28" fillId="0" borderId="0">
      <alignment vertical="top"/>
    </xf>
    <xf numFmtId="0" fontId="28" fillId="0" borderId="0">
      <alignment vertical="top"/>
    </xf>
    <xf numFmtId="0" fontId="29" fillId="0" borderId="0">
      <alignment vertical="top"/>
    </xf>
    <xf numFmtId="0" fontId="29" fillId="0" borderId="0">
      <alignment vertical="top"/>
    </xf>
    <xf numFmtId="0" fontId="29" fillId="0" borderId="0">
      <alignment vertical="top"/>
    </xf>
    <xf numFmtId="0" fontId="29" fillId="0" borderId="0">
      <alignment vertical="top"/>
    </xf>
    <xf numFmtId="0" fontId="28" fillId="0" borderId="0">
      <alignment vertical="top"/>
    </xf>
    <xf numFmtId="0" fontId="28" fillId="0" borderId="0">
      <alignment vertical="top"/>
    </xf>
    <xf numFmtId="0" fontId="28" fillId="0" borderId="0">
      <alignment vertical="top"/>
    </xf>
    <xf numFmtId="0" fontId="29" fillId="0" borderId="0">
      <alignment vertical="top"/>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70" fontId="8" fillId="0" borderId="0" applyProtection="0"/>
    <xf numFmtId="179" fontId="8" fillId="0" borderId="0" applyProtection="0"/>
    <xf numFmtId="179" fontId="8" fillId="0" borderId="0" applyProtection="0"/>
    <xf numFmtId="0" fontId="11" fillId="0" borderId="0" applyProtection="0"/>
    <xf numFmtId="170" fontId="8" fillId="0" borderId="0" applyProtection="0"/>
    <xf numFmtId="179" fontId="8" fillId="0" borderId="0" applyProtection="0"/>
    <xf numFmtId="179" fontId="8" fillId="0" borderId="0" applyProtection="0"/>
    <xf numFmtId="0" fontId="11" fillId="0" borderId="0" applyProtection="0"/>
    <xf numFmtId="184" fontId="26"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7" fillId="0" borderId="0"/>
    <xf numFmtId="178" fontId="26" fillId="0" borderId="0" applyFont="0" applyFill="0" applyBorder="0" applyAlignment="0" applyProtection="0"/>
    <xf numFmtId="0" fontId="27" fillId="0" borderId="0"/>
    <xf numFmtId="42" fontId="26" fillId="0" borderId="0" applyFont="0" applyFill="0" applyBorder="0" applyAlignment="0" applyProtection="0"/>
    <xf numFmtId="205" fontId="32" fillId="0" borderId="0" applyFont="0" applyFill="0" applyBorder="0" applyAlignment="0" applyProtection="0"/>
    <xf numFmtId="0" fontId="17" fillId="0" borderId="0"/>
    <xf numFmtId="206" fontId="33" fillId="0" borderId="0" applyFont="0" applyFill="0" applyBorder="0" applyAlignment="0" applyProtection="0"/>
    <xf numFmtId="207" fontId="33" fillId="0" borderId="0" applyFont="0" applyFill="0" applyBorder="0" applyAlignment="0" applyProtection="0"/>
    <xf numFmtId="0" fontId="34" fillId="0" borderId="0"/>
    <xf numFmtId="0" fontId="35" fillId="0" borderId="0"/>
    <xf numFmtId="0" fontId="35" fillId="0" borderId="0"/>
    <xf numFmtId="0" fontId="35" fillId="0" borderId="0"/>
    <xf numFmtId="1" fontId="36" fillId="0" borderId="1" applyBorder="0" applyAlignment="0">
      <alignment horizontal="center"/>
    </xf>
    <xf numFmtId="1" fontId="36" fillId="0" borderId="1" applyBorder="0" applyAlignment="0">
      <alignment horizontal="center"/>
    </xf>
    <xf numFmtId="1" fontId="36" fillId="0" borderId="1" applyBorder="0" applyAlignment="0">
      <alignment horizontal="center"/>
    </xf>
    <xf numFmtId="1" fontId="36" fillId="0" borderId="1" applyBorder="0" applyAlignment="0">
      <alignment horizontal="center"/>
    </xf>
    <xf numFmtId="1" fontId="36" fillId="0" borderId="1" applyBorder="0" applyAlignment="0">
      <alignment horizontal="center"/>
    </xf>
    <xf numFmtId="1" fontId="36" fillId="0" borderId="1" applyBorder="0" applyAlignment="0">
      <alignment horizontal="center"/>
    </xf>
    <xf numFmtId="0" fontId="37" fillId="0" borderId="0"/>
    <xf numFmtId="0" fontId="37" fillId="0" borderId="0"/>
    <xf numFmtId="0" fontId="17" fillId="0" borderId="0"/>
    <xf numFmtId="0" fontId="47" fillId="0" borderId="0"/>
    <xf numFmtId="0" fontId="17" fillId="0" borderId="0"/>
    <xf numFmtId="0" fontId="171" fillId="0" borderId="0"/>
    <xf numFmtId="0" fontId="37" fillId="0" borderId="0" applyProtection="0"/>
    <xf numFmtId="3" fontId="12" fillId="0" borderId="1"/>
    <xf numFmtId="3" fontId="12" fillId="0" borderId="1"/>
    <xf numFmtId="3" fontId="12" fillId="0" borderId="1"/>
    <xf numFmtId="3" fontId="12" fillId="0" borderId="1"/>
    <xf numFmtId="3" fontId="12" fillId="0" borderId="1"/>
    <xf numFmtId="3" fontId="12" fillId="0" borderId="1"/>
    <xf numFmtId="3" fontId="12" fillId="0" borderId="1"/>
    <xf numFmtId="3" fontId="12" fillId="0" borderId="1"/>
    <xf numFmtId="3" fontId="12" fillId="0" borderId="1"/>
    <xf numFmtId="3" fontId="12" fillId="0" borderId="1"/>
    <xf numFmtId="3" fontId="12" fillId="0" borderId="1"/>
    <xf numFmtId="3" fontId="12" fillId="0" borderId="1"/>
    <xf numFmtId="205" fontId="32" fillId="0" borderId="0" applyFont="0" applyFill="0" applyBorder="0" applyAlignment="0" applyProtection="0"/>
    <xf numFmtId="0" fontId="38" fillId="2" borderId="0"/>
    <xf numFmtId="0" fontId="38" fillId="2" borderId="0"/>
    <xf numFmtId="0" fontId="38" fillId="2" borderId="0"/>
    <xf numFmtId="205" fontId="32" fillId="0" borderId="0" applyFont="0" applyFill="0" applyBorder="0" applyAlignment="0" applyProtection="0"/>
    <xf numFmtId="0" fontId="38"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205" fontId="32" fillId="0" borderId="0" applyFont="0" applyFill="0" applyBorder="0" applyAlignment="0" applyProtection="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40" fillId="0" borderId="0" applyFont="0" applyFill="0" applyBorder="0" applyAlignment="0">
      <alignment horizontal="left"/>
    </xf>
    <xf numFmtId="0" fontId="38" fillId="2" borderId="0"/>
    <xf numFmtId="0" fontId="40" fillId="0" borderId="0" applyFont="0" applyFill="0" applyBorder="0" applyAlignment="0">
      <alignment horizontal="left"/>
    </xf>
    <xf numFmtId="0" fontId="39" fillId="2" borderId="0"/>
    <xf numFmtId="0" fontId="39" fillId="2" borderId="0"/>
    <xf numFmtId="0" fontId="39" fillId="2" borderId="0"/>
    <xf numFmtId="0" fontId="39" fillId="2" borderId="0"/>
    <xf numFmtId="0" fontId="39" fillId="2" borderId="0"/>
    <xf numFmtId="0" fontId="39" fillId="2" borderId="0"/>
    <xf numFmtId="205" fontId="32" fillId="0" borderId="0" applyFont="0" applyFill="0" applyBorder="0" applyAlignment="0" applyProtection="0"/>
    <xf numFmtId="0" fontId="38" fillId="2" borderId="0"/>
    <xf numFmtId="0" fontId="38" fillId="2" borderId="0"/>
    <xf numFmtId="0" fontId="41" fillId="0" borderId="1" applyNumberFormat="0" applyFont="0" applyBorder="0">
      <alignment horizontal="left" indent="2"/>
    </xf>
    <xf numFmtId="0" fontId="41" fillId="0" borderId="1" applyNumberFormat="0" applyFont="0" applyBorder="0">
      <alignment horizontal="left" indent="2"/>
    </xf>
    <xf numFmtId="0" fontId="41" fillId="0" borderId="1" applyNumberFormat="0" applyFont="0" applyBorder="0">
      <alignment horizontal="left" indent="2"/>
    </xf>
    <xf numFmtId="0" fontId="41" fillId="0" borderId="1" applyNumberFormat="0" applyFont="0" applyBorder="0">
      <alignment horizontal="left" indent="2"/>
    </xf>
    <xf numFmtId="0" fontId="41" fillId="0" borderId="1" applyNumberFormat="0" applyFont="0" applyBorder="0">
      <alignment horizontal="left" indent="2"/>
    </xf>
    <xf numFmtId="0" fontId="41" fillId="0" borderId="1" applyNumberFormat="0" applyFont="0" applyBorder="0">
      <alignment horizontal="left" indent="2"/>
    </xf>
    <xf numFmtId="0" fontId="40" fillId="0" borderId="0" applyFont="0" applyFill="0" applyBorder="0" applyAlignment="0">
      <alignment horizontal="left"/>
    </xf>
    <xf numFmtId="0" fontId="40" fillId="0" borderId="0" applyFont="0" applyFill="0" applyBorder="0" applyAlignment="0">
      <alignment horizontal="left"/>
    </xf>
    <xf numFmtId="0" fontId="42" fillId="0" borderId="0"/>
    <xf numFmtId="0" fontId="43" fillId="3" borderId="4" applyFont="0" applyFill="0" applyAlignment="0">
      <alignment vertical="center" wrapText="1"/>
    </xf>
    <xf numFmtId="9" fontId="44" fillId="0" borderId="0" applyBorder="0" applyAlignment="0" applyProtection="0"/>
    <xf numFmtId="0" fontId="45" fillId="2" borderId="0"/>
    <xf numFmtId="0" fontId="45"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45" fillId="2" borderId="0"/>
    <xf numFmtId="0" fontId="45" fillId="2" borderId="0"/>
    <xf numFmtId="0" fontId="41" fillId="0" borderId="1" applyNumberFormat="0" applyFont="0" applyBorder="0" applyAlignment="0">
      <alignment horizontal="center"/>
    </xf>
    <xf numFmtId="0" fontId="41" fillId="0" borderId="1" applyNumberFormat="0" applyFont="0" applyBorder="0" applyAlignment="0">
      <alignment horizontal="center"/>
    </xf>
    <xf numFmtId="0" fontId="41" fillId="0" borderId="1" applyNumberFormat="0" applyFont="0" applyBorder="0" applyAlignment="0">
      <alignment horizontal="center"/>
    </xf>
    <xf numFmtId="0" fontId="41" fillId="0" borderId="1" applyNumberFormat="0" applyFont="0" applyBorder="0" applyAlignment="0">
      <alignment horizontal="center"/>
    </xf>
    <xf numFmtId="0" fontId="41" fillId="0" borderId="1" applyNumberFormat="0" applyFont="0" applyBorder="0" applyAlignment="0">
      <alignment horizontal="center"/>
    </xf>
    <xf numFmtId="0" fontId="41" fillId="0" borderId="1" applyNumberFormat="0" applyFont="0" applyBorder="0" applyAlignment="0">
      <alignment horizontal="center"/>
    </xf>
    <xf numFmtId="0" fontId="2" fillId="0" borderId="0"/>
    <xf numFmtId="0" fontId="46" fillId="4" borderId="0" applyNumberFormat="0" applyBorder="0" applyAlignment="0" applyProtection="0"/>
    <xf numFmtId="0" fontId="46" fillId="5" borderId="0" applyNumberFormat="0" applyBorder="0" applyAlignment="0" applyProtection="0"/>
    <xf numFmtId="0" fontId="46" fillId="6" borderId="0" applyNumberFormat="0" applyBorder="0" applyAlignment="0" applyProtection="0"/>
    <xf numFmtId="0" fontId="46" fillId="7" borderId="0" applyNumberFormat="0" applyBorder="0" applyAlignment="0" applyProtection="0"/>
    <xf numFmtId="0" fontId="46" fillId="8" borderId="0" applyNumberFormat="0" applyBorder="0" applyAlignment="0" applyProtection="0"/>
    <xf numFmtId="0" fontId="46" fillId="9" borderId="0" applyNumberFormat="0" applyBorder="0" applyAlignment="0" applyProtection="0"/>
    <xf numFmtId="0" fontId="47" fillId="0" borderId="0"/>
    <xf numFmtId="0" fontId="48" fillId="2" borderId="0"/>
    <xf numFmtId="0" fontId="48"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39" fillId="2" borderId="0"/>
    <xf numFmtId="0" fontId="48" fillId="2" borderId="0"/>
    <xf numFmtId="0" fontId="49" fillId="0" borderId="0">
      <alignment wrapText="1"/>
    </xf>
    <xf numFmtId="0" fontId="4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39" fillId="0" borderId="0">
      <alignment wrapText="1"/>
    </xf>
    <xf numFmtId="0" fontId="49" fillId="0" borderId="0">
      <alignment wrapText="1"/>
    </xf>
    <xf numFmtId="0" fontId="46" fillId="10"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7"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168" fontId="50" fillId="0" borderId="5" applyNumberFormat="0" applyFont="0" applyBorder="0" applyAlignment="0">
      <alignment horizontal="center"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1" fillId="14"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1"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1" fillId="21" borderId="0" applyNumberFormat="0" applyBorder="0" applyAlignment="0" applyProtection="0"/>
    <xf numFmtId="208" fontId="53" fillId="0" borderId="0" applyFont="0" applyFill="0" applyBorder="0" applyAlignment="0" applyProtection="0"/>
    <xf numFmtId="0" fontId="54" fillId="0" borderId="0" applyFont="0" applyFill="0" applyBorder="0" applyAlignment="0" applyProtection="0"/>
    <xf numFmtId="209" fontId="55" fillId="0" borderId="0" applyFont="0" applyFill="0" applyBorder="0" applyAlignment="0" applyProtection="0"/>
    <xf numFmtId="200" fontId="53" fillId="0" borderId="0" applyFont="0" applyFill="0" applyBorder="0" applyAlignment="0" applyProtection="0"/>
    <xf numFmtId="0" fontId="54" fillId="0" borderId="0" applyFont="0" applyFill="0" applyBorder="0" applyAlignment="0" applyProtection="0"/>
    <xf numFmtId="210" fontId="53" fillId="0" borderId="0" applyFont="0" applyFill="0" applyBorder="0" applyAlignment="0" applyProtection="0"/>
    <xf numFmtId="0" fontId="56" fillId="0" borderId="0">
      <alignment horizontal="center" wrapText="1"/>
      <protection locked="0"/>
    </xf>
    <xf numFmtId="0" fontId="57" fillId="0" borderId="0">
      <alignment horizontal="center" wrapText="1"/>
      <protection locked="0"/>
    </xf>
    <xf numFmtId="0" fontId="58" fillId="0" borderId="0" applyNumberFormat="0" applyBorder="0" applyAlignment="0">
      <alignment horizontal="center"/>
    </xf>
    <xf numFmtId="198" fontId="59" fillId="0" borderId="0" applyFont="0" applyFill="0" applyBorder="0" applyAlignment="0" applyProtection="0"/>
    <xf numFmtId="0" fontId="54" fillId="0" borderId="0" applyFont="0" applyFill="0" applyBorder="0" applyAlignment="0" applyProtection="0"/>
    <xf numFmtId="211" fontId="26" fillId="0" borderId="0" applyFont="0" applyFill="0" applyBorder="0" applyAlignment="0" applyProtection="0"/>
    <xf numFmtId="187" fontId="59" fillId="0" borderId="0" applyFont="0" applyFill="0" applyBorder="0" applyAlignment="0" applyProtection="0"/>
    <xf numFmtId="0" fontId="54" fillId="0" borderId="0" applyFont="0" applyFill="0" applyBorder="0" applyAlignment="0" applyProtection="0"/>
    <xf numFmtId="212" fontId="26"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0" fontId="60" fillId="5" borderId="0" applyNumberFormat="0" applyBorder="0" applyAlignment="0" applyProtection="0"/>
    <xf numFmtId="0" fontId="61" fillId="0" borderId="0"/>
    <xf numFmtId="0" fontId="62" fillId="0" borderId="0" applyNumberFormat="0" applyFill="0" applyBorder="0" applyAlignment="0" applyProtection="0"/>
    <xf numFmtId="0" fontId="54" fillId="0" borderId="0"/>
    <xf numFmtId="0" fontId="63" fillId="0" borderId="0"/>
    <xf numFmtId="0" fontId="64" fillId="0" borderId="0"/>
    <xf numFmtId="0" fontId="54" fillId="0" borderId="0"/>
    <xf numFmtId="0" fontId="65" fillId="0" borderId="0"/>
    <xf numFmtId="0" fontId="66" fillId="0" borderId="0"/>
    <xf numFmtId="0" fontId="67" fillId="0" borderId="0"/>
    <xf numFmtId="213" fontId="30" fillId="0" borderId="0" applyFill="0" applyBorder="0" applyAlignment="0"/>
    <xf numFmtId="214" fontId="2"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7"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9"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1" fontId="4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3" fontId="68"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5" fontId="68"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0" fontId="69" fillId="22" borderId="6" applyNumberFormat="0" applyAlignment="0" applyProtection="0"/>
    <xf numFmtId="0" fontId="70" fillId="0" borderId="0"/>
    <xf numFmtId="0" fontId="71" fillId="0" borderId="0"/>
    <xf numFmtId="0" fontId="72" fillId="0" borderId="0" applyFill="0" applyBorder="0" applyProtection="0">
      <alignment horizontal="center"/>
      <protection locked="0"/>
    </xf>
    <xf numFmtId="172" fontId="26" fillId="0" borderId="0" applyFont="0" applyFill="0" applyBorder="0" applyAlignment="0" applyProtection="0"/>
    <xf numFmtId="0" fontId="73" fillId="23" borderId="7" applyNumberFormat="0" applyAlignment="0" applyProtection="0"/>
    <xf numFmtId="0" fontId="175" fillId="49" borderId="34" applyNumberFormat="0" applyAlignment="0" applyProtection="0"/>
    <xf numFmtId="168" fontId="37" fillId="0" borderId="0" applyFont="0" applyFill="0" applyBorder="0" applyAlignment="0" applyProtection="0"/>
    <xf numFmtId="1" fontId="74" fillId="0" borderId="8" applyBorder="0"/>
    <xf numFmtId="0" fontId="75" fillId="0" borderId="9">
      <alignment horizontal="center"/>
    </xf>
    <xf numFmtId="43" fontId="1" fillId="0" borderId="0" applyFont="0" applyFill="0" applyBorder="0" applyAlignment="0" applyProtection="0"/>
    <xf numFmtId="227" fontId="76" fillId="0" borderId="0"/>
    <xf numFmtId="227" fontId="76" fillId="0" borderId="0"/>
    <xf numFmtId="227" fontId="76" fillId="0" borderId="0"/>
    <xf numFmtId="227" fontId="76" fillId="0" borderId="0"/>
    <xf numFmtId="227" fontId="76" fillId="0" borderId="0"/>
    <xf numFmtId="227" fontId="76" fillId="0" borderId="0"/>
    <xf numFmtId="227" fontId="76" fillId="0" borderId="0"/>
    <xf numFmtId="227" fontId="76" fillId="0" borderId="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41" fontId="17" fillId="0" borderId="0" applyFont="0" applyFill="0" applyBorder="0" applyAlignment="0" applyProtection="0"/>
    <xf numFmtId="41" fontId="77" fillId="0" borderId="0" applyFont="0" applyFill="0" applyBorder="0" applyAlignment="0" applyProtection="0"/>
    <xf numFmtId="41" fontId="78"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76" fontId="52"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97"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229" fontId="8" fillId="0" borderId="0" applyProtection="0"/>
    <xf numFmtId="229" fontId="8" fillId="0" borderId="0" applyProtection="0"/>
    <xf numFmtId="197"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6" fontId="8" fillId="0" borderId="0" applyFont="0" applyFill="0" applyBorder="0" applyAlignment="0" applyProtection="0"/>
    <xf numFmtId="169" fontId="8" fillId="0" borderId="0" applyFont="0" applyFill="0" applyBorder="0" applyAlignment="0" applyProtection="0"/>
    <xf numFmtId="0" fontId="2" fillId="0" borderId="0" applyFont="0" applyFill="0" applyBorder="0" applyAlignment="0" applyProtection="0"/>
    <xf numFmtId="41" fontId="79" fillId="0" borderId="0" applyFont="0" applyFill="0" applyBorder="0" applyAlignment="0" applyProtection="0"/>
    <xf numFmtId="176" fontId="8"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223" fontId="68"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24" fontId="17" fillId="0" borderId="0" applyFont="0" applyFill="0" applyBorder="0" applyAlignment="0" applyProtection="0"/>
    <xf numFmtId="230" fontId="5" fillId="0" borderId="0" applyFont="0" applyFill="0" applyBorder="0" applyAlignment="0" applyProtection="0"/>
    <xf numFmtId="231" fontId="8" fillId="0" borderId="0" applyFont="0" applyFill="0" applyBorder="0" applyAlignment="0" applyProtection="0"/>
    <xf numFmtId="232" fontId="80" fillId="0" borderId="0" applyFont="0" applyFill="0" applyBorder="0" applyAlignment="0" applyProtection="0"/>
    <xf numFmtId="233" fontId="8" fillId="0" borderId="0" applyFont="0" applyFill="0" applyBorder="0" applyAlignment="0" applyProtection="0"/>
    <xf numFmtId="234" fontId="80" fillId="0" borderId="0" applyFont="0" applyFill="0" applyBorder="0" applyAlignment="0" applyProtection="0"/>
    <xf numFmtId="235" fontId="8" fillId="0" borderId="0" applyFont="0" applyFill="0" applyBorder="0" applyAlignment="0" applyProtection="0"/>
    <xf numFmtId="43" fontId="79" fillId="0" borderId="0" applyFont="0" applyFill="0" applyBorder="0" applyAlignment="0" applyProtection="0"/>
    <xf numFmtId="0"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0" fontId="79" fillId="0" borderId="0" applyFont="0" applyFill="0" applyBorder="0" applyAlignment="0" applyProtection="0"/>
    <xf numFmtId="167" fontId="79" fillId="0" borderId="0" applyFont="0" applyFill="0" applyBorder="0" applyAlignment="0" applyProtection="0"/>
    <xf numFmtId="41" fontId="79" fillId="0" borderId="0" applyFont="0" applyFill="0" applyBorder="0" applyAlignment="0" applyProtection="0"/>
    <xf numFmtId="43" fontId="17" fillId="0" borderId="0" applyFont="0" applyFill="0" applyBorder="0" applyAlignment="0" applyProtection="0"/>
    <xf numFmtId="167" fontId="79" fillId="0" borderId="0" applyFont="0" applyFill="0" applyBorder="0" applyAlignment="0" applyProtection="0"/>
    <xf numFmtId="236" fontId="79" fillId="0" borderId="0" applyFont="0" applyFill="0" applyBorder="0" applyAlignment="0" applyProtection="0"/>
    <xf numFmtId="43" fontId="79" fillId="0" borderId="0" applyFont="0" applyFill="0" applyBorder="0" applyAlignment="0" applyProtection="0"/>
    <xf numFmtId="170" fontId="79" fillId="0" borderId="0" applyFont="0" applyFill="0" applyBorder="0" applyAlignment="0" applyProtection="0"/>
    <xf numFmtId="43" fontId="8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5" fillId="0" borderId="0" applyFont="0" applyFill="0" applyBorder="0" applyAlignment="0" applyProtection="0"/>
    <xf numFmtId="43" fontId="82"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237" fontId="79" fillId="0" borderId="0" applyFont="0" applyFill="0" applyBorder="0" applyAlignment="0" applyProtection="0"/>
    <xf numFmtId="238"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237" fontId="79" fillId="0" borderId="0" applyFont="0" applyFill="0" applyBorder="0" applyAlignment="0" applyProtection="0"/>
    <xf numFmtId="239" fontId="79" fillId="0" borderId="0" applyFont="0" applyFill="0" applyBorder="0" applyAlignment="0" applyProtection="0"/>
    <xf numFmtId="239" fontId="79" fillId="0" borderId="0" applyFont="0" applyFill="0" applyBorder="0" applyAlignment="0" applyProtection="0"/>
    <xf numFmtId="43" fontId="17" fillId="0" borderId="0" applyFont="0" applyFill="0" applyBorder="0" applyAlignment="0" applyProtection="0"/>
    <xf numFmtId="43" fontId="9" fillId="0" borderId="0" applyFont="0" applyFill="0" applyBorder="0" applyAlignment="0" applyProtection="0"/>
    <xf numFmtId="239" fontId="79" fillId="0" borderId="0" applyFont="0" applyFill="0" applyBorder="0" applyAlignment="0" applyProtection="0"/>
    <xf numFmtId="239" fontId="79"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169"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7" fillId="0" borderId="0" applyFont="0" applyFill="0" applyBorder="0" applyAlignment="0" applyProtection="0"/>
    <xf numFmtId="43" fontId="83" fillId="0" borderId="0" applyFont="0" applyFill="0" applyBorder="0" applyAlignment="0" applyProtection="0"/>
    <xf numFmtId="43" fontId="3"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43" fontId="7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43" fontId="84" fillId="0" borderId="0" applyFont="0" applyFill="0" applyBorder="0" applyAlignment="0" applyProtection="0"/>
    <xf numFmtId="0" fontId="17" fillId="0" borderId="0" applyFont="0" applyFill="0" applyBorder="0" applyAlignment="0" applyProtection="0"/>
    <xf numFmtId="240" fontId="79"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188" fontId="17"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0" fontId="79" fillId="0" borderId="0" applyFont="0" applyFill="0" applyBorder="0" applyAlignment="0" applyProtection="0"/>
    <xf numFmtId="207" fontId="17" fillId="0" borderId="0" applyFont="0" applyFill="0" applyBorder="0" applyAlignment="0" applyProtection="0"/>
    <xf numFmtId="43" fontId="79" fillId="0" borderId="0" applyFont="0" applyFill="0" applyBorder="0" applyAlignment="0" applyProtection="0"/>
    <xf numFmtId="0" fontId="79" fillId="0" borderId="0" applyFont="0" applyFill="0" applyBorder="0" applyAlignment="0" applyProtection="0"/>
    <xf numFmtId="241" fontId="79" fillId="0" borderId="0" applyFont="0" applyFill="0" applyBorder="0" applyAlignment="0" applyProtection="0"/>
    <xf numFmtId="242" fontId="79" fillId="0" borderId="0" applyFont="0" applyFill="0" applyBorder="0" applyAlignment="0" applyProtection="0"/>
    <xf numFmtId="243" fontId="79" fillId="0" borderId="0" applyFont="0" applyFill="0" applyBorder="0" applyAlignment="0" applyProtection="0"/>
    <xf numFmtId="241" fontId="79" fillId="0" borderId="0" applyFont="0" applyFill="0" applyBorder="0" applyAlignment="0" applyProtection="0"/>
    <xf numFmtId="43" fontId="79" fillId="0" borderId="0" applyFont="0" applyFill="0" applyBorder="0" applyAlignment="0" applyProtection="0"/>
    <xf numFmtId="43" fontId="82" fillId="0" borderId="0" applyFont="0" applyFill="0" applyBorder="0" applyAlignment="0" applyProtection="0"/>
    <xf numFmtId="43" fontId="79" fillId="0" borderId="0" applyFont="0" applyFill="0" applyBorder="0" applyAlignment="0" applyProtection="0"/>
    <xf numFmtId="244" fontId="17"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88" fontId="17" fillId="0" borderId="0" applyFont="0" applyFill="0" applyBorder="0" applyAlignment="0" applyProtection="0"/>
    <xf numFmtId="44" fontId="8" fillId="0" borderId="0" applyFont="0" applyFill="0" applyBorder="0" applyAlignment="0" applyProtection="0"/>
    <xf numFmtId="43" fontId="83" fillId="0" borderId="0" applyFont="0" applyFill="0" applyBorder="0" applyAlignment="0" applyProtection="0"/>
    <xf numFmtId="0" fontId="79" fillId="0" borderId="0" applyFont="0" applyFill="0" applyBorder="0" applyAlignment="0" applyProtection="0"/>
    <xf numFmtId="245"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5" fontId="8" fillId="0" borderId="0" applyFont="0" applyFill="0" applyBorder="0" applyAlignment="0" applyProtection="0"/>
    <xf numFmtId="246" fontId="34" fillId="0" borderId="0" applyFont="0" applyFill="0" applyBorder="0" applyAlignment="0" applyProtection="0"/>
    <xf numFmtId="43" fontId="79" fillId="0" borderId="0" applyFont="0" applyFill="0" applyBorder="0" applyAlignment="0" applyProtection="0"/>
    <xf numFmtId="245" fontId="8" fillId="0" borderId="0" applyFont="0" applyFill="0" applyBorder="0" applyAlignment="0" applyProtection="0"/>
    <xf numFmtId="247" fontId="4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79" fillId="0" borderId="0" applyFont="0" applyFill="0" applyBorder="0" applyAlignment="0" applyProtection="0"/>
    <xf numFmtId="43" fontId="79"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79" fillId="0" borderId="0" applyFont="0" applyFill="0" applyBorder="0" applyAlignment="0" applyProtection="0"/>
    <xf numFmtId="246" fontId="34" fillId="0" borderId="0" applyFont="0" applyFill="0" applyBorder="0" applyAlignment="0" applyProtection="0"/>
    <xf numFmtId="248" fontId="8" fillId="0" borderId="0" applyProtection="0"/>
    <xf numFmtId="246" fontId="34" fillId="0" borderId="0" applyFont="0" applyFill="0" applyBorder="0" applyAlignment="0" applyProtection="0"/>
    <xf numFmtId="188" fontId="86" fillId="0" borderId="0" applyFont="0" applyFill="0" applyBorder="0" applyAlignment="0" applyProtection="0"/>
    <xf numFmtId="0" fontId="79" fillId="0" borderId="0" applyFont="0" applyFill="0" applyBorder="0" applyAlignment="0" applyProtection="0"/>
    <xf numFmtId="167" fontId="8" fillId="0" borderId="0" applyFont="0" applyFill="0" applyBorder="0" applyAlignment="0" applyProtection="0"/>
    <xf numFmtId="167" fontId="79" fillId="0" borderId="0" applyFont="0" applyFill="0" applyBorder="0" applyAlignment="0" applyProtection="0"/>
    <xf numFmtId="249"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50" fontId="17" fillId="0" borderId="0" applyFont="0" applyFill="0" applyBorder="0" applyAlignment="0" applyProtection="0"/>
    <xf numFmtId="0" fontId="17" fillId="0" borderId="0" applyFont="0" applyFill="0" applyBorder="0" applyAlignment="0" applyProtection="0"/>
    <xf numFmtId="43" fontId="17" fillId="0" borderId="0" applyFont="0" applyFill="0" applyBorder="0" applyAlignment="0" applyProtection="0"/>
    <xf numFmtId="169" fontId="52" fillId="0" borderId="0" applyFont="0" applyFill="0" applyBorder="0" applyAlignment="0" applyProtection="0"/>
    <xf numFmtId="251" fontId="8" fillId="0" borderId="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51" fontId="8" fillId="0" borderId="0" applyProtection="0"/>
    <xf numFmtId="43" fontId="79" fillId="0" borderId="0" applyFont="0" applyFill="0" applyBorder="0" applyAlignment="0" applyProtection="0"/>
    <xf numFmtId="43" fontId="79"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251" fontId="8" fillId="0" borderId="0" applyProtection="0"/>
    <xf numFmtId="43" fontId="8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00" fontId="17" fillId="0" borderId="0" applyFont="0" applyFill="0" applyBorder="0" applyAlignment="0" applyProtection="0"/>
    <xf numFmtId="317" fontId="17"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169" fontId="8" fillId="0" borderId="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200" fontId="79"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40" fontId="30"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249" fontId="79" fillId="0" borderId="0" applyFont="0" applyFill="0" applyBorder="0" applyAlignment="0" applyProtection="0"/>
    <xf numFmtId="43" fontId="17" fillId="0" borderId="0" applyFont="0" applyFill="0" applyBorder="0" applyAlignment="0" applyProtection="0"/>
    <xf numFmtId="252" fontId="7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2"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253" fontId="9"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200" fontId="79" fillId="0" borderId="0" applyFont="0" applyFill="0" applyBorder="0" applyAlignment="0" applyProtection="0"/>
    <xf numFmtId="0" fontId="7" fillId="0" borderId="0" applyFont="0" applyFill="0" applyBorder="0" applyAlignment="0" applyProtection="0"/>
    <xf numFmtId="254" fontId="9" fillId="0" borderId="0" applyFont="0" applyFill="0" applyBorder="0" applyAlignment="0" applyProtection="0"/>
    <xf numFmtId="43" fontId="17"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43" fontId="2" fillId="0" borderId="0" applyFont="0" applyFill="0" applyBorder="0" applyAlignment="0" applyProtection="0"/>
    <xf numFmtId="169" fontId="79" fillId="0" borderId="0" applyFont="0" applyFill="0" applyBorder="0" applyAlignment="0" applyProtection="0"/>
    <xf numFmtId="251" fontId="8" fillId="0" borderId="0" applyProtection="0"/>
    <xf numFmtId="251" fontId="8" fillId="0" borderId="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9"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0" fontId="17"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1" fontId="79" fillId="0" borderId="0" applyFont="0" applyFill="0" applyBorder="0" applyAlignment="0" applyProtection="0"/>
    <xf numFmtId="43" fontId="82" fillId="0" borderId="0" applyFont="0" applyFill="0" applyBorder="0" applyAlignment="0" applyProtection="0"/>
    <xf numFmtId="43" fontId="17" fillId="0" borderId="0" applyFont="0" applyFill="0" applyBorder="0" applyAlignment="0" applyProtection="0"/>
    <xf numFmtId="43" fontId="79" fillId="0" borderId="0" applyFont="0" applyFill="0" applyBorder="0" applyAlignment="0" applyProtection="0"/>
    <xf numFmtId="186" fontId="79"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167" fontId="1"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43" fontId="79" fillId="0" borderId="0" applyFont="0" applyFill="0" applyBorder="0" applyAlignment="0" applyProtection="0"/>
    <xf numFmtId="186" fontId="17" fillId="0" borderId="0" applyFont="0" applyFill="0" applyBorder="0" applyAlignment="0" applyProtection="0"/>
    <xf numFmtId="43" fontId="79" fillId="0" borderId="0" applyFont="0" applyFill="0" applyBorder="0" applyAlignment="0" applyProtection="0"/>
    <xf numFmtId="186" fontId="17" fillId="0" borderId="0" applyFont="0" applyFill="0" applyBorder="0" applyAlignment="0" applyProtection="0"/>
    <xf numFmtId="169" fontId="17" fillId="0" borderId="0" applyFont="0" applyFill="0" applyBorder="0" applyAlignment="0" applyProtection="0"/>
    <xf numFmtId="169" fontId="8" fillId="0" borderId="0" applyProtection="0"/>
    <xf numFmtId="43" fontId="81"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7" fillId="0" borderId="0" applyFont="0" applyFill="0" applyBorder="0" applyAlignment="0" applyProtection="0"/>
    <xf numFmtId="43" fontId="78"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87" fillId="0" borderId="0" applyFont="0" applyFill="0" applyBorder="0" applyAlignment="0" applyProtection="0"/>
    <xf numFmtId="43" fontId="88" fillId="0" borderId="0" applyFont="0" applyFill="0" applyBorder="0" applyAlignment="0" applyProtection="0"/>
    <xf numFmtId="169" fontId="79" fillId="0" borderId="0" applyFont="0" applyFill="0" applyBorder="0" applyAlignment="0" applyProtection="0"/>
    <xf numFmtId="169" fontId="79" fillId="0" borderId="0" applyFont="0" applyFill="0" applyBorder="0" applyAlignment="0" applyProtection="0"/>
    <xf numFmtId="169" fontId="1" fillId="0" borderId="0" applyFont="0" applyFill="0" applyBorder="0" applyAlignment="0" applyProtection="0"/>
    <xf numFmtId="167" fontId="46" fillId="0" borderId="0" applyFont="0" applyFill="0" applyBorder="0" applyAlignment="0" applyProtection="0"/>
    <xf numFmtId="167" fontId="79" fillId="0" borderId="0" applyFont="0" applyFill="0" applyBorder="0" applyAlignment="0" applyProtection="0"/>
    <xf numFmtId="167" fontId="79" fillId="0" borderId="0" applyFont="0" applyFill="0" applyBorder="0" applyAlignment="0" applyProtection="0"/>
    <xf numFmtId="236" fontId="81" fillId="0" borderId="0" applyFont="0" applyFill="0" applyBorder="0" applyAlignment="0" applyProtection="0"/>
    <xf numFmtId="43" fontId="85" fillId="0" borderId="0" applyFont="0" applyFill="0" applyBorder="0" applyAlignment="0" applyProtection="0"/>
    <xf numFmtId="43" fontId="17" fillId="0" borderId="0" applyFont="0" applyFill="0" applyBorder="0" applyAlignment="0" applyProtection="0"/>
    <xf numFmtId="169" fontId="8" fillId="0" borderId="0" applyFont="0" applyFill="0" applyBorder="0" applyAlignment="0" applyProtection="0"/>
    <xf numFmtId="43" fontId="82"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249" fontId="2" fillId="0" borderId="0" applyFont="0" applyFill="0" applyBorder="0" applyAlignment="0" applyProtection="0"/>
    <xf numFmtId="186"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8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23" fontId="9" fillId="0" borderId="0" applyFont="0" applyFill="0" applyBorder="0" applyAlignment="0" applyProtection="0"/>
    <xf numFmtId="169" fontId="79" fillId="0" borderId="0" applyFont="0" applyFill="0" applyBorder="0" applyAlignment="0" applyProtection="0"/>
    <xf numFmtId="223" fontId="79" fillId="0" borderId="0" applyFont="0" applyFill="0" applyBorder="0" applyAlignment="0" applyProtection="0"/>
    <xf numFmtId="223" fontId="79" fillId="0" borderId="0" applyFont="0" applyFill="0" applyBorder="0" applyAlignment="0" applyProtection="0"/>
    <xf numFmtId="43" fontId="82" fillId="0" borderId="0" applyFont="0" applyFill="0" applyBorder="0" applyAlignment="0" applyProtection="0"/>
    <xf numFmtId="168" fontId="79" fillId="0" borderId="0" applyFont="0" applyFill="0" applyBorder="0" applyAlignment="0" applyProtection="0"/>
    <xf numFmtId="43" fontId="79" fillId="0" borderId="0" applyFont="0" applyFill="0" applyBorder="0" applyAlignment="0" applyProtection="0"/>
    <xf numFmtId="43" fontId="81" fillId="0" borderId="0" applyFont="0" applyFill="0" applyBorder="0" applyAlignment="0" applyProtection="0"/>
    <xf numFmtId="169" fontId="79" fillId="0" borderId="0" applyFont="0" applyFill="0" applyBorder="0" applyAlignment="0" applyProtection="0"/>
    <xf numFmtId="43" fontId="79" fillId="0" borderId="0" applyFont="0" applyFill="0" applyBorder="0" applyAlignment="0" applyProtection="0"/>
    <xf numFmtId="255" fontId="4" fillId="0" borderId="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8" fillId="0" borderId="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0" fontId="89" fillId="0" borderId="0" applyNumberFormat="0" applyFill="0" applyBorder="0" applyAlignment="0" applyProtection="0"/>
    <xf numFmtId="0" fontId="90" fillId="0" borderId="0">
      <alignment horizontal="center"/>
    </xf>
    <xf numFmtId="0" fontId="91" fillId="0" borderId="0" applyNumberFormat="0" applyAlignment="0">
      <alignment horizontal="left"/>
    </xf>
    <xf numFmtId="171" fontId="92" fillId="0" borderId="0" applyFont="0" applyFill="0" applyBorder="0" applyAlignment="0" applyProtection="0"/>
    <xf numFmtId="256" fontId="93" fillId="0" borderId="0" applyFill="0" applyBorder="0" applyProtection="0"/>
    <xf numFmtId="257" fontId="5" fillId="0" borderId="0" applyFont="0" applyFill="0" applyBorder="0" applyAlignment="0" applyProtection="0"/>
    <xf numFmtId="258" fontId="4" fillId="0" borderId="0" applyFill="0" applyBorder="0" applyProtection="0"/>
    <xf numFmtId="258" fontId="4" fillId="0" borderId="10" applyFill="0" applyProtection="0"/>
    <xf numFmtId="258" fontId="4" fillId="0" borderId="11" applyFill="0" applyProtection="0"/>
    <xf numFmtId="259" fontId="63" fillId="0" borderId="0" applyFont="0" applyFill="0" applyBorder="0" applyAlignment="0" applyProtection="0"/>
    <xf numFmtId="260" fontId="94" fillId="0" borderId="0" applyFont="0" applyFill="0" applyBorder="0" applyAlignment="0" applyProtection="0"/>
    <xf numFmtId="261"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262" fontId="17"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263" fontId="94" fillId="0" borderId="0" applyFont="0" applyFill="0" applyBorder="0" applyAlignment="0" applyProtection="0"/>
    <xf numFmtId="215" fontId="68"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16" fontId="17" fillId="0" borderId="0" applyFont="0" applyFill="0" applyBorder="0" applyAlignment="0" applyProtection="0"/>
    <xf numFmtId="264" fontId="80" fillId="0" borderId="0" applyFont="0" applyFill="0" applyBorder="0" applyAlignment="0" applyProtection="0"/>
    <xf numFmtId="265" fontId="8" fillId="0" borderId="0" applyFont="0" applyFill="0" applyBorder="0" applyAlignment="0" applyProtection="0"/>
    <xf numFmtId="266" fontId="80" fillId="0" borderId="0" applyFont="0" applyFill="0" applyBorder="0" applyAlignment="0" applyProtection="0"/>
    <xf numFmtId="267" fontId="80" fillId="0" borderId="0" applyFont="0" applyFill="0" applyBorder="0" applyAlignment="0" applyProtection="0"/>
    <xf numFmtId="268" fontId="8" fillId="0" borderId="0" applyFont="0" applyFill="0" applyBorder="0" applyAlignment="0" applyProtection="0"/>
    <xf numFmtId="269" fontId="80" fillId="0" borderId="0" applyFont="0" applyFill="0" applyBorder="0" applyAlignment="0" applyProtection="0"/>
    <xf numFmtId="270" fontId="80" fillId="0" borderId="0" applyFont="0" applyFill="0" applyBorder="0" applyAlignment="0" applyProtection="0"/>
    <xf numFmtId="271" fontId="8" fillId="0" borderId="0" applyFont="0" applyFill="0" applyBorder="0" applyAlignment="0" applyProtection="0"/>
    <xf numFmtId="272" fontId="80" fillId="0" borderId="0" applyFont="0" applyFill="0" applyBorder="0" applyAlignment="0" applyProtection="0"/>
    <xf numFmtId="44" fontId="79"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273" fontId="17" fillId="0" borderId="0" applyFont="0" applyFill="0" applyBorder="0" applyAlignment="0" applyProtection="0"/>
    <xf numFmtId="166" fontId="79" fillId="0" borderId="0" applyFont="0" applyFill="0" applyBorder="0" applyAlignment="0" applyProtection="0"/>
    <xf numFmtId="166" fontId="79" fillId="0" borderId="0" applyFont="0" applyFill="0" applyBorder="0" applyAlignment="0" applyProtection="0"/>
    <xf numFmtId="274" fontId="17" fillId="0" borderId="0" applyFont="0" applyFill="0" applyBorder="0" applyAlignment="0" applyProtection="0"/>
    <xf numFmtId="180" fontId="2"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6" fontId="8" fillId="0" borderId="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5" fontId="17" fillId="0" borderId="0" applyFont="0" applyFill="0" applyBorder="0" applyAlignment="0" applyProtection="0"/>
    <xf numFmtId="277" fontId="17" fillId="0" borderId="0"/>
    <xf numFmtId="277" fontId="17" fillId="0" borderId="0"/>
    <xf numFmtId="277" fontId="17" fillId="0" borderId="0"/>
    <xf numFmtId="277" fontId="17" fillId="0" borderId="0"/>
    <xf numFmtId="277" fontId="17" fillId="0" borderId="0"/>
    <xf numFmtId="277" fontId="17" fillId="0" borderId="0"/>
    <xf numFmtId="277" fontId="17" fillId="0" borderId="0"/>
    <xf numFmtId="277" fontId="17" fillId="0" borderId="0"/>
    <xf numFmtId="277" fontId="17" fillId="0" borderId="0"/>
    <xf numFmtId="277" fontId="17" fillId="0" borderId="0" applyProtection="0"/>
    <xf numFmtId="277" fontId="17" fillId="0" borderId="0"/>
    <xf numFmtId="277" fontId="17" fillId="0" borderId="0"/>
    <xf numFmtId="277" fontId="17" fillId="0" borderId="0"/>
    <xf numFmtId="277" fontId="17" fillId="0" borderId="0"/>
    <xf numFmtId="277" fontId="17" fillId="0" borderId="0"/>
    <xf numFmtId="277" fontId="17" fillId="0" borderId="0"/>
    <xf numFmtId="277" fontId="17" fillId="0" borderId="0"/>
    <xf numFmtId="278" fontId="2" fillId="0" borderId="12"/>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8" fillId="0" borderId="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14" fontId="29" fillId="0" borderId="0" applyFill="0" applyBorder="0" applyAlignment="0"/>
    <xf numFmtId="14" fontId="28" fillId="0" borderId="0" applyFill="0" applyBorder="0" applyAlignment="0"/>
    <xf numFmtId="0" fontId="34" fillId="0" borderId="0" applyProtection="0"/>
    <xf numFmtId="43" fontId="82" fillId="0" borderId="0" applyFont="0" applyFill="0" applyBorder="0" applyAlignment="0" applyProtection="0"/>
    <xf numFmtId="3" fontId="95" fillId="0" borderId="13">
      <alignment horizontal="left" vertical="top" wrapText="1"/>
    </xf>
    <xf numFmtId="279" fontId="4" fillId="0" borderId="0" applyFill="0" applyBorder="0" applyProtection="0"/>
    <xf numFmtId="279" fontId="4" fillId="0" borderId="10" applyFill="0" applyProtection="0"/>
    <xf numFmtId="279" fontId="4" fillId="0" borderId="11" applyFill="0" applyProtection="0"/>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280" fontId="17" fillId="0" borderId="14">
      <alignment vertical="center"/>
    </xf>
    <xf numFmtId="0" fontId="17" fillId="0" borderId="0" applyFont="0" applyFill="0" applyBorder="0" applyAlignment="0" applyProtection="0"/>
    <xf numFmtId="0" fontId="17" fillId="0" borderId="0" applyFont="0" applyFill="0" applyBorder="0" applyAlignment="0" applyProtection="0"/>
    <xf numFmtId="281" fontId="2" fillId="0" borderId="0"/>
    <xf numFmtId="282" fontId="14" fillId="0" borderId="1"/>
    <xf numFmtId="282" fontId="14" fillId="0" borderId="1"/>
    <xf numFmtId="244" fontId="17" fillId="0" borderId="0"/>
    <xf numFmtId="244" fontId="17" fillId="0" borderId="0"/>
    <xf numFmtId="244" fontId="17" fillId="0" borderId="0"/>
    <xf numFmtId="244" fontId="17" fillId="0" borderId="0"/>
    <xf numFmtId="244" fontId="17" fillId="0" borderId="0"/>
    <xf numFmtId="244" fontId="17" fillId="0" borderId="0"/>
    <xf numFmtId="244" fontId="17" fillId="0" borderId="0"/>
    <xf numFmtId="244" fontId="17" fillId="0" borderId="0"/>
    <xf numFmtId="244" fontId="17" fillId="0" borderId="0"/>
    <xf numFmtId="244" fontId="17" fillId="0" borderId="0" applyProtection="0"/>
    <xf numFmtId="244" fontId="17" fillId="0" borderId="0"/>
    <xf numFmtId="244" fontId="17" fillId="0" borderId="0"/>
    <xf numFmtId="244" fontId="17" fillId="0" borderId="0"/>
    <xf numFmtId="244" fontId="17" fillId="0" borderId="0"/>
    <xf numFmtId="244" fontId="17" fillId="0" borderId="0"/>
    <xf numFmtId="244" fontId="17" fillId="0" borderId="0"/>
    <xf numFmtId="244" fontId="17" fillId="0" borderId="0"/>
    <xf numFmtId="283" fontId="14" fillId="0" borderId="0"/>
    <xf numFmtId="176" fontId="96" fillId="0" borderId="0" applyFont="0" applyFill="0" applyBorder="0" applyAlignment="0" applyProtection="0"/>
    <xf numFmtId="169" fontId="96" fillId="0" borderId="0" applyFont="0" applyFill="0" applyBorder="0" applyAlignment="0" applyProtection="0"/>
    <xf numFmtId="176" fontId="96" fillId="0" borderId="0" applyFont="0" applyFill="0" applyBorder="0" applyAlignment="0" applyProtection="0"/>
    <xf numFmtId="41"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197" fontId="96" fillId="0" borderId="0" applyFont="0" applyFill="0" applyBorder="0" applyAlignment="0" applyProtection="0"/>
    <xf numFmtId="284" fontId="47" fillId="0" borderId="0" applyFont="0" applyFill="0" applyBorder="0" applyAlignment="0" applyProtection="0"/>
    <xf numFmtId="284" fontId="4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284" fontId="47" fillId="0" borderId="0" applyFont="0" applyFill="0" applyBorder="0" applyAlignment="0" applyProtection="0"/>
    <xf numFmtId="284" fontId="47" fillId="0" borderId="0" applyFont="0" applyFill="0" applyBorder="0" applyAlignment="0" applyProtection="0"/>
    <xf numFmtId="176" fontId="96" fillId="0" borderId="0" applyFont="0" applyFill="0" applyBorder="0" applyAlignment="0" applyProtection="0"/>
    <xf numFmtId="176" fontId="96" fillId="0" borderId="0" applyFont="0" applyFill="0" applyBorder="0" applyAlignment="0" applyProtection="0"/>
    <xf numFmtId="284" fontId="47" fillId="0" borderId="0" applyFont="0" applyFill="0" applyBorder="0" applyAlignment="0" applyProtection="0"/>
    <xf numFmtId="284" fontId="47" fillId="0" borderId="0" applyFont="0" applyFill="0" applyBorder="0" applyAlignment="0" applyProtection="0"/>
    <xf numFmtId="285" fontId="2" fillId="0" borderId="0" applyFont="0" applyFill="0" applyBorder="0" applyAlignment="0" applyProtection="0"/>
    <xf numFmtId="285" fontId="2" fillId="0" borderId="0" applyFont="0" applyFill="0" applyBorder="0" applyAlignment="0" applyProtection="0"/>
    <xf numFmtId="286" fontId="2" fillId="0" borderId="0" applyFont="0" applyFill="0" applyBorder="0" applyAlignment="0" applyProtection="0"/>
    <xf numFmtId="286" fontId="2" fillId="0" borderId="0" applyFont="0" applyFill="0" applyBorder="0" applyAlignment="0" applyProtection="0"/>
    <xf numFmtId="41" fontId="96" fillId="0" borderId="0" applyFont="0" applyFill="0" applyBorder="0" applyAlignment="0" applyProtection="0"/>
    <xf numFmtId="41" fontId="96" fillId="0" borderId="0" applyFont="0" applyFill="0" applyBorder="0" applyAlignment="0" applyProtection="0"/>
    <xf numFmtId="41" fontId="96" fillId="0" borderId="0" applyFont="0" applyFill="0" applyBorder="0" applyAlignment="0" applyProtection="0"/>
    <xf numFmtId="41" fontId="96" fillId="0" borderId="0" applyFont="0" applyFill="0" applyBorder="0" applyAlignment="0" applyProtection="0"/>
    <xf numFmtId="41" fontId="96" fillId="0" borderId="0" applyFont="0" applyFill="0" applyBorder="0" applyAlignment="0" applyProtection="0"/>
    <xf numFmtId="41" fontId="96"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165" fontId="96" fillId="0" borderId="0" applyFont="0" applyFill="0" applyBorder="0" applyAlignment="0" applyProtection="0"/>
    <xf numFmtId="41"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41" fontId="96" fillId="0" borderId="0" applyFont="0" applyFill="0" applyBorder="0" applyAlignment="0" applyProtection="0"/>
    <xf numFmtId="176" fontId="96" fillId="0" borderId="0" applyFont="0" applyFill="0" applyBorder="0" applyAlignment="0" applyProtection="0"/>
    <xf numFmtId="41" fontId="96" fillId="0" borderId="0" applyFont="0" applyFill="0" applyBorder="0" applyAlignment="0" applyProtection="0"/>
    <xf numFmtId="176" fontId="96" fillId="0" borderId="0" applyFont="0" applyFill="0" applyBorder="0" applyAlignment="0" applyProtection="0"/>
    <xf numFmtId="41" fontId="96" fillId="0" borderId="0" applyFont="0" applyFill="0" applyBorder="0" applyAlignment="0" applyProtection="0"/>
    <xf numFmtId="41"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41" fontId="96" fillId="0" borderId="0" applyFont="0" applyFill="0" applyBorder="0" applyAlignment="0" applyProtection="0"/>
    <xf numFmtId="169" fontId="96" fillId="0" borderId="0" applyFont="0" applyFill="0" applyBorder="0" applyAlignment="0" applyProtection="0"/>
    <xf numFmtId="43"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186" fontId="96" fillId="0" borderId="0" applyFont="0" applyFill="0" applyBorder="0" applyAlignment="0" applyProtection="0"/>
    <xf numFmtId="287" fontId="47" fillId="0" borderId="0" applyFont="0" applyFill="0" applyBorder="0" applyAlignment="0" applyProtection="0"/>
    <xf numFmtId="287" fontId="4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287" fontId="47" fillId="0" borderId="0" applyFont="0" applyFill="0" applyBorder="0" applyAlignment="0" applyProtection="0"/>
    <xf numFmtId="287" fontId="47" fillId="0" borderId="0" applyFont="0" applyFill="0" applyBorder="0" applyAlignment="0" applyProtection="0"/>
    <xf numFmtId="169" fontId="96" fillId="0" borderId="0" applyFont="0" applyFill="0" applyBorder="0" applyAlignment="0" applyProtection="0"/>
    <xf numFmtId="169" fontId="96" fillId="0" borderId="0" applyFont="0" applyFill="0" applyBorder="0" applyAlignment="0" applyProtection="0"/>
    <xf numFmtId="287" fontId="47" fillId="0" borderId="0" applyFont="0" applyFill="0" applyBorder="0" applyAlignment="0" applyProtection="0"/>
    <xf numFmtId="287" fontId="47" fillId="0" borderId="0" applyFont="0" applyFill="0" applyBorder="0" applyAlignment="0" applyProtection="0"/>
    <xf numFmtId="248" fontId="2" fillId="0" borderId="0" applyFont="0" applyFill="0" applyBorder="0" applyAlignment="0" applyProtection="0"/>
    <xf numFmtId="248" fontId="2" fillId="0" borderId="0" applyFont="0" applyFill="0" applyBorder="0" applyAlignment="0" applyProtection="0"/>
    <xf numFmtId="288" fontId="2" fillId="0" borderId="0" applyFont="0" applyFill="0" applyBorder="0" applyAlignment="0" applyProtection="0"/>
    <xf numFmtId="288" fontId="2"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7" fontId="96" fillId="0" borderId="0" applyFont="0" applyFill="0" applyBorder="0" applyAlignment="0" applyProtection="0"/>
    <xf numFmtId="43" fontId="96" fillId="0" borderId="0" applyFont="0" applyFill="0" applyBorder="0" applyAlignment="0" applyProtection="0"/>
    <xf numFmtId="167" fontId="96" fillId="0" borderId="0" applyFont="0" applyFill="0" applyBorder="0" applyAlignment="0" applyProtection="0"/>
    <xf numFmtId="167" fontId="96" fillId="0" borderId="0" applyFont="0" applyFill="0" applyBorder="0" applyAlignment="0" applyProtection="0"/>
    <xf numFmtId="167" fontId="96" fillId="0" borderId="0" applyFont="0" applyFill="0" applyBorder="0" applyAlignment="0" applyProtection="0"/>
    <xf numFmtId="167" fontId="96" fillId="0" borderId="0" applyFont="0" applyFill="0" applyBorder="0" applyAlignment="0" applyProtection="0"/>
    <xf numFmtId="43" fontId="96" fillId="0" borderId="0" applyFont="0" applyFill="0" applyBorder="0" applyAlignment="0" applyProtection="0"/>
    <xf numFmtId="169" fontId="96" fillId="0" borderId="0" applyFont="0" applyFill="0" applyBorder="0" applyAlignment="0" applyProtection="0"/>
    <xf numFmtId="43" fontId="96" fillId="0" borderId="0" applyFont="0" applyFill="0" applyBorder="0" applyAlignment="0" applyProtection="0"/>
    <xf numFmtId="169"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7" fontId="96" fillId="0" borderId="0" applyFont="0" applyFill="0" applyBorder="0" applyAlignment="0" applyProtection="0"/>
    <xf numFmtId="167" fontId="96" fillId="0" borderId="0" applyFont="0" applyFill="0" applyBorder="0" applyAlignment="0" applyProtection="0"/>
    <xf numFmtId="43" fontId="96" fillId="0" borderId="0" applyFont="0" applyFill="0" applyBorder="0" applyAlignment="0" applyProtection="0"/>
    <xf numFmtId="3" fontId="2" fillId="0" borderId="0" applyFont="0" applyBorder="0" applyAlignment="0"/>
    <xf numFmtId="0" fontId="4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23" fontId="68"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5" fontId="68"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0" fontId="98" fillId="0" borderId="0" applyNumberFormat="0" applyAlignment="0">
      <alignment horizontal="left"/>
    </xf>
    <xf numFmtId="0" fontId="99" fillId="0" borderId="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289" fontId="17" fillId="0" borderId="0" applyFont="0" applyFill="0" applyBorder="0" applyAlignment="0" applyProtection="0"/>
    <xf numFmtId="0" fontId="100" fillId="0" borderId="0"/>
    <xf numFmtId="0" fontId="101" fillId="0" borderId="0" applyNumberFormat="0" applyFill="0" applyBorder="0" applyAlignment="0" applyProtection="0"/>
    <xf numFmtId="3" fontId="2" fillId="0" borderId="0" applyFont="0" applyBorder="0" applyAlignment="0"/>
    <xf numFmtId="0" fontId="17" fillId="0" borderId="0"/>
    <xf numFmtId="0" fontId="17" fillId="0" borderId="0"/>
    <xf numFmtId="0" fontId="17" fillId="0" borderId="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8" fillId="0" borderId="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2" fontId="17" fillId="0" borderId="0" applyFont="0" applyFill="0" applyBorder="0" applyAlignment="0" applyProtection="0"/>
    <xf numFmtId="0" fontId="102" fillId="0" borderId="0" applyNumberFormat="0" applyFill="0" applyBorder="0" applyAlignment="0" applyProtection="0"/>
    <xf numFmtId="0" fontId="103" fillId="0" borderId="0" applyNumberFormat="0" applyFill="0" applyBorder="0" applyProtection="0">
      <alignment vertical="center"/>
    </xf>
    <xf numFmtId="0" fontId="104" fillId="0" borderId="0" applyNumberFormat="0" applyFill="0" applyBorder="0" applyAlignment="0" applyProtection="0"/>
    <xf numFmtId="0" fontId="105" fillId="0" borderId="0" applyNumberFormat="0" applyFill="0" applyBorder="0" applyProtection="0">
      <alignment vertical="center"/>
    </xf>
    <xf numFmtId="0" fontId="106" fillId="0" borderId="0" applyNumberFormat="0" applyFill="0" applyBorder="0" applyAlignment="0" applyProtection="0"/>
    <xf numFmtId="0" fontId="107" fillId="0" borderId="0" applyNumberFormat="0" applyFill="0" applyBorder="0" applyAlignment="0" applyProtection="0"/>
    <xf numFmtId="290" fontId="108" fillId="0" borderId="15" applyNumberFormat="0" applyFill="0" applyBorder="0" applyAlignment="0" applyProtection="0"/>
    <xf numFmtId="0" fontId="109" fillId="0" borderId="0" applyNumberFormat="0" applyFill="0" applyBorder="0" applyAlignment="0" applyProtection="0"/>
    <xf numFmtId="0" fontId="110" fillId="0" borderId="0">
      <alignment vertical="top" wrapText="1"/>
    </xf>
    <xf numFmtId="3" fontId="2" fillId="24" borderId="16">
      <alignment horizontal="right" vertical="top" wrapText="1"/>
    </xf>
    <xf numFmtId="0" fontId="111" fillId="6" borderId="0" applyNumberFormat="0" applyBorder="0" applyAlignment="0" applyProtection="0"/>
    <xf numFmtId="38" fontId="112" fillId="2"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38" fontId="112" fillId="25" borderId="0" applyNumberFormat="0" applyBorder="0" applyAlignment="0" applyProtection="0"/>
    <xf numFmtId="291" fontId="6" fillId="2" borderId="0" applyBorder="0" applyProtection="0"/>
    <xf numFmtId="0" fontId="113" fillId="0" borderId="17" applyNumberFormat="0" applyFill="0" applyBorder="0" applyAlignment="0" applyProtection="0">
      <alignment horizontal="center" vertical="center"/>
    </xf>
    <xf numFmtId="0" fontId="114" fillId="0" borderId="0" applyNumberFormat="0" applyFont="0" applyBorder="0" applyAlignment="0">
      <alignment horizontal="left" vertical="center"/>
    </xf>
    <xf numFmtId="292" fontId="63" fillId="0" borderId="0" applyFont="0" applyFill="0" applyBorder="0" applyAlignment="0" applyProtection="0"/>
    <xf numFmtId="0" fontId="115" fillId="26" borderId="0"/>
    <xf numFmtId="0" fontId="116" fillId="0" borderId="0">
      <alignment horizontal="left"/>
    </xf>
    <xf numFmtId="0" fontId="117" fillId="0" borderId="0">
      <alignment horizontal="left"/>
    </xf>
    <xf numFmtId="0" fontId="25" fillId="0" borderId="18" applyNumberFormat="0" applyAlignment="0" applyProtection="0">
      <alignment horizontal="left" vertical="center"/>
    </xf>
    <xf numFmtId="0" fontId="25" fillId="0" borderId="18" applyNumberFormat="0" applyAlignment="0" applyProtection="0">
      <alignment horizontal="left" vertical="center"/>
    </xf>
    <xf numFmtId="0" fontId="25" fillId="0" borderId="19">
      <alignment horizontal="left" vertical="center"/>
    </xf>
    <xf numFmtId="0" fontId="25" fillId="0" borderId="19">
      <alignment horizontal="left" vertical="center"/>
    </xf>
    <xf numFmtId="0" fontId="25" fillId="0" borderId="19">
      <alignment horizontal="left" vertical="center"/>
    </xf>
    <xf numFmtId="0" fontId="25" fillId="0" borderId="19">
      <alignment horizontal="left" vertical="center"/>
    </xf>
    <xf numFmtId="14" fontId="118" fillId="27" borderId="20">
      <alignment horizontal="center" vertical="center" wrapText="1"/>
    </xf>
    <xf numFmtId="0" fontId="119" fillId="0" borderId="21" applyNumberFormat="0" applyFill="0" applyAlignment="0" applyProtection="0"/>
    <xf numFmtId="0" fontId="120" fillId="0" borderId="22" applyNumberFormat="0" applyFill="0" applyAlignment="0" applyProtection="0"/>
    <xf numFmtId="0" fontId="121" fillId="0" borderId="23" applyNumberFormat="0" applyFill="0" applyAlignment="0" applyProtection="0"/>
    <xf numFmtId="0" fontId="121" fillId="0" borderId="0" applyNumberFormat="0" applyFill="0" applyBorder="0" applyAlignment="0" applyProtection="0"/>
    <xf numFmtId="0" fontId="72" fillId="0" borderId="0" applyFill="0" applyAlignment="0" applyProtection="0">
      <protection locked="0"/>
    </xf>
    <xf numFmtId="0" fontId="72" fillId="0" borderId="5" applyFill="0" applyAlignment="0" applyProtection="0">
      <protection locked="0"/>
    </xf>
    <xf numFmtId="0" fontId="122" fillId="0" borderId="0" applyProtection="0"/>
    <xf numFmtId="0" fontId="25" fillId="0" borderId="0" applyProtection="0"/>
    <xf numFmtId="0" fontId="123" fillId="0" borderId="20">
      <alignment horizontal="center"/>
    </xf>
    <xf numFmtId="0" fontId="123" fillId="0" borderId="0">
      <alignment horizontal="center"/>
    </xf>
    <xf numFmtId="5" fontId="124" fillId="28" borderId="1" applyNumberFormat="0" applyAlignment="0">
      <alignment horizontal="left" vertical="top"/>
    </xf>
    <xf numFmtId="5" fontId="124" fillId="28" borderId="1" applyNumberFormat="0" applyAlignment="0">
      <alignment horizontal="left" vertical="top"/>
    </xf>
    <xf numFmtId="293" fontId="124" fillId="28" borderId="1" applyNumberFormat="0" applyAlignment="0">
      <alignment horizontal="left" vertical="top"/>
    </xf>
    <xf numFmtId="49" fontId="125" fillId="0" borderId="1">
      <alignment vertical="center"/>
    </xf>
    <xf numFmtId="49" fontId="125" fillId="0" borderId="1">
      <alignment vertical="center"/>
    </xf>
    <xf numFmtId="0" fontId="4" fillId="0" borderId="0"/>
    <xf numFmtId="176" fontId="2" fillId="0" borderId="0" applyFont="0" applyFill="0" applyBorder="0" applyAlignment="0" applyProtection="0"/>
    <xf numFmtId="38" fontId="30" fillId="0" borderId="0" applyFont="0" applyFill="0" applyBorder="0" applyAlignment="0" applyProtection="0"/>
    <xf numFmtId="41" fontId="26" fillId="0" borderId="0" applyFont="0" applyFill="0" applyBorder="0" applyAlignment="0" applyProtection="0"/>
    <xf numFmtId="203" fontId="26" fillId="0" borderId="0" applyFont="0" applyFill="0" applyBorder="0" applyAlignment="0" applyProtection="0"/>
    <xf numFmtId="294" fontId="126" fillId="0" borderId="0" applyFont="0" applyFill="0" applyBorder="0" applyAlignment="0" applyProtection="0"/>
    <xf numFmtId="10" fontId="112" fillId="29"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9" borderId="1" applyNumberFormat="0" applyBorder="0" applyAlignment="0" applyProtection="0"/>
    <xf numFmtId="10" fontId="112" fillId="29"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10" fontId="112" fillId="25" borderId="1" applyNumberFormat="0" applyBorder="0" applyAlignment="0" applyProtection="0"/>
    <xf numFmtId="0" fontId="127" fillId="9" borderId="6" applyNumberFormat="0" applyAlignment="0" applyProtection="0"/>
    <xf numFmtId="0" fontId="127" fillId="9" borderId="6" applyNumberFormat="0" applyAlignment="0" applyProtection="0"/>
    <xf numFmtId="0" fontId="127" fillId="9" borderId="6" applyNumberFormat="0" applyAlignment="0" applyProtection="0"/>
    <xf numFmtId="0" fontId="127" fillId="9" borderId="6" applyNumberFormat="0" applyAlignment="0" applyProtection="0"/>
    <xf numFmtId="0" fontId="127" fillId="9" borderId="6" applyNumberFormat="0" applyAlignment="0" applyProtection="0"/>
    <xf numFmtId="0" fontId="127" fillId="9" borderId="6" applyNumberFormat="0" applyAlignment="0" applyProtection="0"/>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30"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76" fontId="2" fillId="0" borderId="0" applyFont="0" applyFill="0" applyBorder="0" applyAlignment="0" applyProtection="0"/>
    <xf numFmtId="0" fontId="2" fillId="0" borderId="0"/>
    <xf numFmtId="0" fontId="56" fillId="0" borderId="24">
      <alignment horizontal="centerContinuous"/>
    </xf>
    <xf numFmtId="0" fontId="56" fillId="0" borderId="24">
      <alignment horizontal="centerContinuous"/>
    </xf>
    <xf numFmtId="238" fontId="2" fillId="30" borderId="16">
      <alignment vertical="top" wrapText="1"/>
    </xf>
    <xf numFmtId="0" fontId="30" fillId="0" borderId="0"/>
    <xf numFmtId="0" fontId="9" fillId="0" borderId="0"/>
    <xf numFmtId="0" fontId="9" fillId="0" borderId="0"/>
    <xf numFmtId="0" fontId="34" fillId="0" borderId="0"/>
    <xf numFmtId="0" fontId="172" fillId="0" borderId="0"/>
    <xf numFmtId="0" fontId="4" fillId="0" borderId="0" applyNumberFormat="0" applyFont="0" applyFill="0" applyBorder="0" applyProtection="0">
      <alignment horizontal="left" vertical="center"/>
    </xf>
    <xf numFmtId="0" fontId="30" fillId="0" borderId="0"/>
    <xf numFmtId="0" fontId="4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23" fontId="68"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5" fontId="68"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0" fontId="131" fillId="0" borderId="25" applyNumberFormat="0" applyFill="0" applyAlignment="0" applyProtection="0"/>
    <xf numFmtId="3" fontId="132" fillId="0" borderId="13" applyNumberFormat="0" applyAlignment="0">
      <alignment horizontal="center" vertical="center"/>
    </xf>
    <xf numFmtId="3" fontId="41" fillId="0" borderId="13" applyNumberFormat="0" applyAlignment="0">
      <alignment horizontal="center" vertical="center"/>
    </xf>
    <xf numFmtId="3" fontId="124" fillId="0" borderId="13" applyNumberFormat="0" applyAlignment="0">
      <alignment horizontal="center" vertical="center"/>
    </xf>
    <xf numFmtId="278" fontId="133" fillId="0" borderId="26" applyNumberFormat="0" applyFont="0" applyFill="0" applyBorder="0">
      <alignment horizontal="center"/>
    </xf>
    <xf numFmtId="278" fontId="133" fillId="0" borderId="26" applyNumberFormat="0" applyFont="0" applyFill="0" applyBorder="0">
      <alignment horizontal="center"/>
    </xf>
    <xf numFmtId="38" fontId="30" fillId="0" borderId="0" applyFont="0" applyFill="0" applyBorder="0" applyAlignment="0" applyProtection="0"/>
    <xf numFmtId="4" fontId="68" fillId="0" borderId="0" applyFont="0" applyFill="0" applyBorder="0" applyAlignment="0" applyProtection="0"/>
    <xf numFmtId="38" fontId="30" fillId="0" borderId="0" applyFont="0" applyFill="0" applyBorder="0" applyAlignment="0" applyProtection="0"/>
    <xf numFmtId="40" fontId="30" fillId="0" borderId="0" applyFont="0" applyFill="0" applyBorder="0" applyAlignment="0" applyProtection="0"/>
    <xf numFmtId="176" fontId="47" fillId="0" borderId="0" applyFont="0" applyFill="0" applyBorder="0" applyAlignment="0" applyProtection="0"/>
    <xf numFmtId="169" fontId="47" fillId="0" borderId="0" applyFont="0" applyFill="0" applyBorder="0" applyAlignment="0" applyProtection="0"/>
    <xf numFmtId="0" fontId="134" fillId="0" borderId="20"/>
    <xf numFmtId="0" fontId="135" fillId="0" borderId="20"/>
    <xf numFmtId="295" fontId="47" fillId="0" borderId="26"/>
    <xf numFmtId="295" fontId="47" fillId="0" borderId="26"/>
    <xf numFmtId="296" fontId="136" fillId="0" borderId="26"/>
    <xf numFmtId="297" fontId="52" fillId="0" borderId="0" applyFont="0" applyFill="0" applyBorder="0" applyAlignment="0" applyProtection="0"/>
    <xf numFmtId="298" fontId="52" fillId="0" borderId="0" applyFont="0" applyFill="0" applyBorder="0" applyAlignment="0" applyProtection="0"/>
    <xf numFmtId="299" fontId="47" fillId="0" borderId="0" applyFont="0" applyFill="0" applyBorder="0" applyAlignment="0" applyProtection="0"/>
    <xf numFmtId="300" fontId="47" fillId="0" borderId="0" applyFont="0" applyFill="0" applyBorder="0" applyAlignment="0" applyProtection="0"/>
    <xf numFmtId="0" fontId="34" fillId="0" borderId="0" applyNumberFormat="0" applyFont="0" applyFill="0" applyAlignment="0"/>
    <xf numFmtId="0" fontId="79" fillId="0" borderId="0"/>
    <xf numFmtId="0" fontId="137" fillId="31" borderId="0" applyNumberFormat="0" applyBorder="0" applyAlignment="0" applyProtection="0"/>
    <xf numFmtId="0" fontId="63" fillId="0" borderId="1"/>
    <xf numFmtId="0" fontId="4" fillId="0" borderId="0"/>
    <xf numFmtId="0" fontId="14" fillId="0" borderId="27" applyNumberFormat="0" applyAlignment="0">
      <alignment horizontal="center"/>
    </xf>
    <xf numFmtId="37" fontId="138" fillId="0" borderId="0"/>
    <xf numFmtId="37" fontId="138" fillId="0" borderId="0"/>
    <xf numFmtId="37" fontId="138" fillId="0" borderId="0"/>
    <xf numFmtId="0" fontId="139" fillId="0" borderId="1" applyNumberFormat="0" applyFont="0" applyFill="0" applyBorder="0" applyAlignment="0">
      <alignment horizontal="center"/>
    </xf>
    <xf numFmtId="0" fontId="139" fillId="0" borderId="1" applyNumberFormat="0" applyFont="0" applyFill="0" applyBorder="0" applyAlignment="0">
      <alignment horizontal="center"/>
    </xf>
    <xf numFmtId="301" fontId="2" fillId="0" borderId="0"/>
    <xf numFmtId="0" fontId="140" fillId="0" borderId="0"/>
    <xf numFmtId="0" fontId="17" fillId="0" borderId="0"/>
    <xf numFmtId="0" fontId="17" fillId="0" borderId="0"/>
    <xf numFmtId="0" fontId="141" fillId="0" borderId="0"/>
    <xf numFmtId="0" fontId="142" fillId="0" borderId="0"/>
    <xf numFmtId="0" fontId="2" fillId="0" borderId="0"/>
    <xf numFmtId="0" fontId="79" fillId="0" borderId="0"/>
    <xf numFmtId="0" fontId="2" fillId="0" borderId="0"/>
    <xf numFmtId="0" fontId="174" fillId="0" borderId="0"/>
    <xf numFmtId="0" fontId="176" fillId="0" borderId="0"/>
    <xf numFmtId="0" fontId="79" fillId="0" borderId="0"/>
    <xf numFmtId="0" fontId="79" fillId="0" borderId="0"/>
    <xf numFmtId="0" fontId="81" fillId="0" borderId="0"/>
    <xf numFmtId="0" fontId="174" fillId="0" borderId="0"/>
    <xf numFmtId="0" fontId="79" fillId="0" borderId="0"/>
    <xf numFmtId="0" fontId="17" fillId="0" borderId="0"/>
    <xf numFmtId="0" fontId="177" fillId="0" borderId="0"/>
    <xf numFmtId="0" fontId="17" fillId="0" borderId="0"/>
    <xf numFmtId="0" fontId="7" fillId="0" borderId="0"/>
    <xf numFmtId="0" fontId="143"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8" fillId="0" borderId="0"/>
    <xf numFmtId="0" fontId="37" fillId="0" borderId="0"/>
    <xf numFmtId="0" fontId="47" fillId="0" borderId="0"/>
    <xf numFmtId="0" fontId="179" fillId="0" borderId="0"/>
    <xf numFmtId="0" fontId="2" fillId="0" borderId="0"/>
    <xf numFmtId="0" fontId="17" fillId="0" borderId="0"/>
    <xf numFmtId="0" fontId="9"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6" fillId="0" borderId="0"/>
    <xf numFmtId="0" fontId="2" fillId="0" borderId="0"/>
    <xf numFmtId="0" fontId="79" fillId="0" borderId="0"/>
    <xf numFmtId="0" fontId="81" fillId="0" borderId="0"/>
    <xf numFmtId="0" fontId="2" fillId="0" borderId="0"/>
    <xf numFmtId="0" fontId="79" fillId="0" borderId="0"/>
    <xf numFmtId="0" fontId="17" fillId="0" borderId="0"/>
    <xf numFmtId="0" fontId="2" fillId="0" borderId="0"/>
    <xf numFmtId="0" fontId="47" fillId="0" borderId="0"/>
    <xf numFmtId="0" fontId="79" fillId="0" borderId="0"/>
    <xf numFmtId="0" fontId="2" fillId="0" borderId="0"/>
    <xf numFmtId="0" fontId="9" fillId="0" borderId="0"/>
    <xf numFmtId="0" fontId="34" fillId="0" borderId="0"/>
    <xf numFmtId="0" fontId="176" fillId="0" borderId="0"/>
    <xf numFmtId="0" fontId="176" fillId="0" borderId="0"/>
    <xf numFmtId="0" fontId="17" fillId="0" borderId="0"/>
    <xf numFmtId="0" fontId="174" fillId="0" borderId="0"/>
    <xf numFmtId="0" fontId="174" fillId="0" borderId="0"/>
    <xf numFmtId="0" fontId="174" fillId="0" borderId="0"/>
    <xf numFmtId="0" fontId="174" fillId="0" borderId="0"/>
    <xf numFmtId="0" fontId="174" fillId="0" borderId="0"/>
    <xf numFmtId="0" fontId="79"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8" fillId="0" borderId="0" applyProtection="0"/>
    <xf numFmtId="0" fontId="17"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 fillId="0" borderId="0"/>
    <xf numFmtId="0" fontId="17"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8" fillId="0" borderId="0"/>
    <xf numFmtId="0" fontId="8" fillId="0" borderId="0"/>
    <xf numFmtId="0" fontId="17" fillId="0" borderId="0"/>
    <xf numFmtId="0" fontId="17" fillId="0" borderId="0"/>
    <xf numFmtId="0" fontId="79" fillId="0" borderId="0"/>
    <xf numFmtId="0" fontId="178" fillId="0" borderId="0"/>
    <xf numFmtId="0" fontId="17" fillId="0" borderId="0"/>
    <xf numFmtId="0" fontId="17" fillId="0" borderId="0"/>
    <xf numFmtId="0" fontId="9" fillId="0" borderId="0"/>
    <xf numFmtId="0" fontId="79" fillId="0" borderId="0"/>
    <xf numFmtId="0" fontId="9" fillId="0" borderId="0"/>
    <xf numFmtId="0" fontId="79" fillId="0" borderId="0"/>
    <xf numFmtId="0" fontId="9" fillId="0" borderId="0"/>
    <xf numFmtId="0" fontId="14" fillId="0" borderId="0"/>
    <xf numFmtId="0" fontId="9" fillId="0" borderId="0"/>
    <xf numFmtId="0" fontId="79" fillId="0" borderId="0"/>
    <xf numFmtId="0" fontId="79" fillId="0" borderId="0"/>
    <xf numFmtId="0" fontId="79" fillId="0" borderId="0"/>
    <xf numFmtId="0" fontId="9" fillId="0" borderId="0"/>
    <xf numFmtId="0" fontId="9" fillId="0" borderId="0"/>
    <xf numFmtId="0" fontId="9" fillId="0" borderId="0"/>
    <xf numFmtId="0" fontId="9" fillId="0" borderId="0"/>
    <xf numFmtId="0" fontId="9" fillId="0" borderId="0"/>
    <xf numFmtId="0" fontId="17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4" fillId="0" borderId="0"/>
    <xf numFmtId="0" fontId="174" fillId="0" borderId="0"/>
    <xf numFmtId="0" fontId="174" fillId="0" borderId="0"/>
    <xf numFmtId="0" fontId="174" fillId="0" borderId="0"/>
    <xf numFmtId="0" fontId="17" fillId="0" borderId="0"/>
    <xf numFmtId="0" fontId="9" fillId="0" borderId="0"/>
    <xf numFmtId="0" fontId="17" fillId="0" borderId="0"/>
    <xf numFmtId="0" fontId="17" fillId="0" borderId="0"/>
    <xf numFmtId="0" fontId="17" fillId="0" borderId="0"/>
    <xf numFmtId="0" fontId="17"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79" fillId="0" borderId="0"/>
    <xf numFmtId="0" fontId="7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9" fillId="0" borderId="0"/>
    <xf numFmtId="0" fontId="79" fillId="0" borderId="0"/>
    <xf numFmtId="0" fontId="178" fillId="0" borderId="0"/>
    <xf numFmtId="0" fontId="178" fillId="0" borderId="0"/>
    <xf numFmtId="0" fontId="178" fillId="0" borderId="0"/>
    <xf numFmtId="0" fontId="177" fillId="0" borderId="0"/>
    <xf numFmtId="0" fontId="8" fillId="0" borderId="0" applyProtection="0"/>
    <xf numFmtId="0" fontId="180"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79" fillId="0" borderId="0"/>
    <xf numFmtId="0" fontId="79" fillId="0" borderId="0"/>
    <xf numFmtId="0" fontId="79" fillId="0" borderId="0"/>
    <xf numFmtId="0" fontId="79" fillId="0" borderId="0"/>
    <xf numFmtId="0" fontId="79" fillId="0" borderId="0"/>
    <xf numFmtId="0" fontId="176" fillId="0" borderId="0"/>
    <xf numFmtId="0" fontId="176" fillId="0" borderId="0"/>
    <xf numFmtId="0" fontId="86" fillId="0" borderId="0"/>
    <xf numFmtId="0" fontId="172" fillId="0" borderId="0"/>
    <xf numFmtId="0" fontId="176" fillId="0" borderId="0"/>
    <xf numFmtId="0" fontId="174" fillId="0" borderId="0"/>
    <xf numFmtId="0" fontId="174" fillId="0" borderId="0"/>
    <xf numFmtId="0" fontId="174" fillId="0" borderId="0"/>
    <xf numFmtId="0" fontId="79" fillId="0" borderId="0"/>
    <xf numFmtId="0" fontId="2" fillId="0" borderId="0"/>
    <xf numFmtId="0" fontId="174" fillId="0" borderId="0"/>
    <xf numFmtId="0" fontId="9" fillId="0" borderId="0"/>
    <xf numFmtId="0" fontId="79" fillId="0" borderId="0"/>
    <xf numFmtId="0" fontId="79" fillId="0" borderId="0" applyProtection="0"/>
    <xf numFmtId="0" fontId="174" fillId="0" borderId="0"/>
    <xf numFmtId="0" fontId="9" fillId="0" borderId="0"/>
    <xf numFmtId="0" fontId="85" fillId="0" borderId="0"/>
    <xf numFmtId="0" fontId="85" fillId="0" borderId="0"/>
    <xf numFmtId="0" fontId="9" fillId="0" borderId="0"/>
    <xf numFmtId="0" fontId="85" fillId="0" borderId="0"/>
    <xf numFmtId="0" fontId="85" fillId="0" borderId="0"/>
    <xf numFmtId="0" fontId="9" fillId="0" borderId="0"/>
    <xf numFmtId="0" fontId="85" fillId="0" borderId="0"/>
    <xf numFmtId="0" fontId="85" fillId="0" borderId="0"/>
    <xf numFmtId="0" fontId="9" fillId="0" borderId="0"/>
    <xf numFmtId="0" fontId="85" fillId="0" borderId="0"/>
    <xf numFmtId="0" fontId="85" fillId="0" borderId="0"/>
    <xf numFmtId="0" fontId="9" fillId="0" borderId="0"/>
    <xf numFmtId="0" fontId="14" fillId="0" borderId="0"/>
    <xf numFmtId="0" fontId="178" fillId="0" borderId="0"/>
    <xf numFmtId="0" fontId="17" fillId="0" borderId="0"/>
    <xf numFmtId="0" fontId="9" fillId="0" borderId="0"/>
    <xf numFmtId="0" fontId="178" fillId="0" borderId="0"/>
    <xf numFmtId="0" fontId="17" fillId="0" borderId="0"/>
    <xf numFmtId="0" fontId="8" fillId="0" borderId="0"/>
    <xf numFmtId="0" fontId="8" fillId="0" borderId="0" applyProtection="0"/>
    <xf numFmtId="0" fontId="8" fillId="0" borderId="0"/>
    <xf numFmtId="0" fontId="8" fillId="0" borderId="0" applyProtection="0"/>
    <xf numFmtId="0" fontId="17" fillId="0" borderId="0"/>
    <xf numFmtId="0" fontId="8" fillId="0" borderId="0" applyProtection="0"/>
    <xf numFmtId="0" fontId="34" fillId="0" borderId="0"/>
    <xf numFmtId="0" fontId="17" fillId="0" borderId="0"/>
    <xf numFmtId="0" fontId="8" fillId="0" borderId="0" applyProtection="0"/>
    <xf numFmtId="0" fontId="8" fillId="0" borderId="0"/>
    <xf numFmtId="0" fontId="34" fillId="0" borderId="0"/>
    <xf numFmtId="0" fontId="8" fillId="0" borderId="0" applyProtection="0"/>
    <xf numFmtId="0" fontId="34" fillId="0" borderId="0"/>
    <xf numFmtId="0" fontId="8" fillId="0" borderId="0" applyProtection="0"/>
    <xf numFmtId="0" fontId="79" fillId="0" borderId="0"/>
    <xf numFmtId="0" fontId="8" fillId="0" borderId="0" applyProtection="0"/>
    <xf numFmtId="0" fontId="17" fillId="0" borderId="0"/>
    <xf numFmtId="0" fontId="181" fillId="0" borderId="0"/>
    <xf numFmtId="0" fontId="79" fillId="0" borderId="0"/>
    <xf numFmtId="0" fontId="17" fillId="0" borderId="0"/>
    <xf numFmtId="0" fontId="81" fillId="0" borderId="0"/>
    <xf numFmtId="0" fontId="17" fillId="0" borderId="0"/>
    <xf numFmtId="0" fontId="17" fillId="0" borderId="0"/>
    <xf numFmtId="0" fontId="17" fillId="0" borderId="0"/>
    <xf numFmtId="0" fontId="17" fillId="0" borderId="0"/>
    <xf numFmtId="0" fontId="17" fillId="0" borderId="0"/>
    <xf numFmtId="0" fontId="79" fillId="0" borderId="0"/>
    <xf numFmtId="0" fontId="17" fillId="0" borderId="0"/>
    <xf numFmtId="0" fontId="17" fillId="0" borderId="0"/>
    <xf numFmtId="0" fontId="17" fillId="0" borderId="0"/>
    <xf numFmtId="0" fontId="174" fillId="0" borderId="0"/>
    <xf numFmtId="0" fontId="174" fillId="0" borderId="0"/>
    <xf numFmtId="0" fontId="174" fillId="0" borderId="0"/>
    <xf numFmtId="0" fontId="174" fillId="0" borderId="0"/>
    <xf numFmtId="0" fontId="178" fillId="0" borderId="0"/>
    <xf numFmtId="0" fontId="17" fillId="0" borderId="0"/>
    <xf numFmtId="0" fontId="17" fillId="0" borderId="0"/>
    <xf numFmtId="0" fontId="17" fillId="0" borderId="0"/>
    <xf numFmtId="0" fontId="178" fillId="0" borderId="0"/>
    <xf numFmtId="0" fontId="178" fillId="0" borderId="0"/>
    <xf numFmtId="0" fontId="52" fillId="0" borderId="0"/>
    <xf numFmtId="0" fontId="52" fillId="0" borderId="0" applyProtection="0"/>
    <xf numFmtId="0" fontId="79" fillId="0" borderId="0" applyProtection="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 fillId="0" borderId="0"/>
    <xf numFmtId="0" fontId="47" fillId="0" borderId="0"/>
    <xf numFmtId="0" fontId="17" fillId="0" borderId="0"/>
    <xf numFmtId="0" fontId="52" fillId="0" borderId="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8"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8" fillId="0" borderId="0"/>
    <xf numFmtId="0" fontId="143" fillId="0" borderId="0"/>
    <xf numFmtId="0" fontId="8" fillId="0" borderId="0"/>
    <xf numFmtId="0" fontId="8" fillId="0" borderId="0"/>
    <xf numFmtId="0" fontId="8" fillId="0" borderId="0"/>
    <xf numFmtId="0" fontId="176" fillId="0" borderId="0"/>
    <xf numFmtId="0" fontId="176" fillId="0" borderId="0"/>
    <xf numFmtId="0" fontId="79" fillId="0" borderId="0" applyProtection="0"/>
    <xf numFmtId="0" fontId="176" fillId="0" borderId="0"/>
    <xf numFmtId="0" fontId="176" fillId="0" borderId="0"/>
    <xf numFmtId="0" fontId="176" fillId="0" borderId="0"/>
    <xf numFmtId="0" fontId="176" fillId="0" borderId="0"/>
    <xf numFmtId="0" fontId="8" fillId="0" borderId="0"/>
    <xf numFmtId="0" fontId="176" fillId="0" borderId="0"/>
    <xf numFmtId="0" fontId="176" fillId="0" borderId="0"/>
    <xf numFmtId="0" fontId="8"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79" fillId="0" borderId="0"/>
    <xf numFmtId="0" fontId="17" fillId="0" borderId="0"/>
    <xf numFmtId="0" fontId="17" fillId="0" borderId="0"/>
    <xf numFmtId="0" fontId="17" fillId="0" borderId="0"/>
    <xf numFmtId="0" fontId="9" fillId="0" borderId="0"/>
    <xf numFmtId="0" fontId="1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17" fillId="0" borderId="0"/>
    <xf numFmtId="0" fontId="17" fillId="0" borderId="0"/>
    <xf numFmtId="0" fontId="17" fillId="0" borderId="0"/>
    <xf numFmtId="0" fontId="17" fillId="0" borderId="0"/>
    <xf numFmtId="0" fontId="17"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82" fillId="0" borderId="0"/>
    <xf numFmtId="0" fontId="17" fillId="0" borderId="0"/>
    <xf numFmtId="0" fontId="8" fillId="0" borderId="0"/>
    <xf numFmtId="0" fontId="17" fillId="0" borderId="0"/>
    <xf numFmtId="0" fontId="17" fillId="0" borderId="0" applyProtection="0"/>
    <xf numFmtId="0" fontId="28" fillId="0" borderId="0"/>
    <xf numFmtId="0" fontId="174" fillId="0" borderId="0"/>
    <xf numFmtId="0" fontId="17" fillId="0" borderId="0"/>
    <xf numFmtId="0" fontId="17" fillId="0" borderId="0"/>
    <xf numFmtId="0" fontId="8" fillId="0" borderId="0"/>
    <xf numFmtId="0" fontId="8"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44" fillId="0" borderId="0" applyNumberFormat="0" applyFill="0" applyBorder="0" applyProtection="0">
      <alignment vertical="top"/>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0" fillId="0" borderId="0"/>
    <xf numFmtId="0" fontId="17" fillId="0" borderId="0"/>
    <xf numFmtId="0" fontId="17" fillId="0" borderId="0"/>
    <xf numFmtId="0" fontId="17" fillId="0" borderId="0"/>
    <xf numFmtId="0" fontId="144" fillId="0" borderId="0" applyNumberFormat="0" applyFill="0" applyBorder="0" applyProtection="0">
      <alignment vertical="top"/>
    </xf>
    <xf numFmtId="0" fontId="17" fillId="0" borderId="0"/>
    <xf numFmtId="0" fontId="17" fillId="0" borderId="0"/>
    <xf numFmtId="0" fontId="17" fillId="0" borderId="0"/>
    <xf numFmtId="0" fontId="17" fillId="0" borderId="0"/>
    <xf numFmtId="0" fontId="17" fillId="0" borderId="0"/>
    <xf numFmtId="0" fontId="86" fillId="0" borderId="0"/>
    <xf numFmtId="0" fontId="174" fillId="0" borderId="0"/>
    <xf numFmtId="0" fontId="174" fillId="0" borderId="0"/>
    <xf numFmtId="0" fontId="174" fillId="0" borderId="0"/>
    <xf numFmtId="0" fontId="174" fillId="0" borderId="0"/>
    <xf numFmtId="0" fontId="173" fillId="0" borderId="0"/>
    <xf numFmtId="0" fontId="17" fillId="0" borderId="0"/>
    <xf numFmtId="0" fontId="17" fillId="0" borderId="0"/>
    <xf numFmtId="0" fontId="2" fillId="0" borderId="0"/>
    <xf numFmtId="0" fontId="2" fillId="0" borderId="0"/>
    <xf numFmtId="0" fontId="37" fillId="0" borderId="0"/>
    <xf numFmtId="0" fontId="79" fillId="0" borderId="0"/>
    <xf numFmtId="0" fontId="4" fillId="0" borderId="0"/>
    <xf numFmtId="0" fontId="79" fillId="0" borderId="0"/>
    <xf numFmtId="0" fontId="4" fillId="0" borderId="0"/>
    <xf numFmtId="0" fontId="2"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174" fillId="0" borderId="0"/>
    <xf numFmtId="0" fontId="79" fillId="0" borderId="0"/>
    <xf numFmtId="0" fontId="79" fillId="0" borderId="0"/>
    <xf numFmtId="0" fontId="79" fillId="0" borderId="0"/>
    <xf numFmtId="0" fontId="17" fillId="0" borderId="0"/>
    <xf numFmtId="0" fontId="17" fillId="0" borderId="0"/>
    <xf numFmtId="0" fontId="17" fillId="0" borderId="0"/>
    <xf numFmtId="0" fontId="79" fillId="0" borderId="0"/>
    <xf numFmtId="0" fontId="183" fillId="0" borderId="0"/>
    <xf numFmtId="0" fontId="17" fillId="0" borderId="0"/>
    <xf numFmtId="0" fontId="17" fillId="0" borderId="0"/>
    <xf numFmtId="0" fontId="17" fillId="0" borderId="0"/>
    <xf numFmtId="0" fontId="174" fillId="0" borderId="0"/>
    <xf numFmtId="0" fontId="174" fillId="0" borderId="0"/>
    <xf numFmtId="0" fontId="17" fillId="0" borderId="0"/>
    <xf numFmtId="0" fontId="174" fillId="0" borderId="0"/>
    <xf numFmtId="0" fontId="2" fillId="0" borderId="0"/>
    <xf numFmtId="0" fontId="36" fillId="0" borderId="0" applyFont="0"/>
    <xf numFmtId="0" fontId="68" fillId="25" borderId="0"/>
    <xf numFmtId="0" fontId="96" fillId="0" borderId="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79" fillId="31" borderId="28" applyNumberFormat="0" applyFont="0" applyAlignment="0" applyProtection="0"/>
    <xf numFmtId="0" fontId="47" fillId="32" borderId="28" applyNumberFormat="0" applyFont="0" applyAlignment="0" applyProtection="0"/>
    <xf numFmtId="0" fontId="47" fillId="32" borderId="28" applyNumberFormat="0" applyFont="0" applyAlignment="0" applyProtection="0"/>
    <xf numFmtId="0" fontId="79" fillId="50" borderId="35" applyNumberFormat="0" applyFont="0" applyAlignment="0" applyProtection="0"/>
    <xf numFmtId="0" fontId="79" fillId="50" borderId="35" applyNumberFormat="0" applyFont="0" applyAlignment="0" applyProtection="0"/>
    <xf numFmtId="302" fontId="145" fillId="0" borderId="0" applyFont="0" applyFill="0" applyBorder="0" applyProtection="0">
      <alignment vertical="top" wrapText="1"/>
    </xf>
    <xf numFmtId="0" fontId="14" fillId="0" borderId="0"/>
    <xf numFmtId="0" fontId="14" fillId="0" borderId="0" applyProtection="0"/>
    <xf numFmtId="0" fontId="14" fillId="0" borderId="0" applyProtection="0"/>
    <xf numFmtId="3" fontId="146" fillId="0" borderId="0" applyFont="0" applyFill="0" applyBorder="0" applyAlignment="0" applyProtection="0"/>
    <xf numFmtId="176" fontId="35" fillId="0" borderId="0" applyFont="0" applyFill="0" applyBorder="0" applyAlignment="0" applyProtection="0"/>
    <xf numFmtId="0" fontId="72" fillId="0" borderId="0" applyNumberFormat="0" applyFill="0" applyBorder="0" applyAlignment="0" applyProtection="0"/>
    <xf numFmtId="0" fontId="63" fillId="0" borderId="0" applyNumberFormat="0" applyFill="0" applyBorder="0" applyAlignment="0" applyProtection="0"/>
    <xf numFmtId="0" fontId="2" fillId="0" borderId="0" applyNumberFormat="0" applyFill="0" applyBorder="0" applyAlignment="0" applyProtection="0"/>
    <xf numFmtId="0" fontId="72" fillId="0" borderId="0" applyNumberFormat="0" applyFill="0" applyBorder="0" applyAlignment="0" applyProtection="0"/>
    <xf numFmtId="0" fontId="147" fillId="0" borderId="0" applyNumberFormat="0" applyFill="0" applyBorder="0" applyAlignment="0" applyProtection="0"/>
    <xf numFmtId="0" fontId="63" fillId="0" borderId="0" applyNumberFormat="0" applyFill="0" applyBorder="0" applyAlignment="0" applyProtection="0"/>
    <xf numFmtId="0" fontId="2" fillId="0" borderId="0" applyNumberFormat="0" applyFill="0" applyBorder="0" applyAlignment="0" applyProtection="0"/>
    <xf numFmtId="0" fontId="72" fillId="0" borderId="0" applyProtection="0"/>
    <xf numFmtId="0" fontId="17" fillId="0" borderId="0" applyFont="0" applyFill="0" applyBorder="0" applyAlignment="0" applyProtection="0"/>
    <xf numFmtId="0" fontId="4" fillId="0" borderId="0"/>
    <xf numFmtId="0" fontId="148" fillId="22" borderId="29" applyNumberFormat="0" applyAlignment="0" applyProtection="0"/>
    <xf numFmtId="0" fontId="184" fillId="48" borderId="36" applyNumberFormat="0" applyAlignment="0" applyProtection="0"/>
    <xf numFmtId="0" fontId="148" fillId="22" borderId="29" applyNumberFormat="0" applyAlignment="0" applyProtection="0"/>
    <xf numFmtId="168" fontId="149" fillId="0" borderId="27" applyFont="0" applyBorder="0" applyAlignment="0"/>
    <xf numFmtId="0" fontId="150" fillId="25" borderId="0"/>
    <xf numFmtId="0" fontId="85" fillId="25" borderId="0"/>
    <xf numFmtId="0" fontId="85" fillId="25" borderId="0"/>
    <xf numFmtId="0" fontId="85" fillId="25" borderId="0"/>
    <xf numFmtId="41" fontId="4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288" fontId="17" fillId="0" borderId="0" applyFont="0" applyFill="0" applyBorder="0" applyAlignment="0" applyProtection="0"/>
    <xf numFmtId="14" fontId="56" fillId="0" borderId="0">
      <alignment horizontal="center" wrapText="1"/>
      <protection locked="0"/>
    </xf>
    <xf numFmtId="14" fontId="57" fillId="0" borderId="0">
      <alignment horizontal="center" wrapText="1"/>
      <protection locked="0"/>
    </xf>
    <xf numFmtId="303" fontId="72" fillId="0" borderId="0" applyFont="0" applyFill="0" applyBorder="0" applyAlignment="0" applyProtection="0"/>
    <xf numFmtId="304" fontId="5" fillId="0" borderId="0" applyFont="0" applyFill="0" applyBorder="0" applyAlignment="0" applyProtection="0"/>
    <xf numFmtId="305" fontId="80"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306" fontId="17" fillId="0" borderId="0" applyFont="0" applyFill="0" applyBorder="0" applyAlignment="0" applyProtection="0"/>
    <xf numFmtId="221" fontId="4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307" fontId="4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308"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8" fillId="0" borderId="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309" fontId="80" fillId="0" borderId="0" applyFont="0" applyFill="0" applyBorder="0" applyAlignment="0" applyProtection="0"/>
    <xf numFmtId="310" fontId="5" fillId="0" borderId="0" applyFont="0" applyFill="0" applyBorder="0" applyAlignment="0" applyProtection="0"/>
    <xf numFmtId="311" fontId="80" fillId="0" borderId="0" applyFont="0" applyFill="0" applyBorder="0" applyAlignment="0" applyProtection="0"/>
    <xf numFmtId="312" fontId="5" fillId="0" borderId="0" applyFont="0" applyFill="0" applyBorder="0" applyAlignment="0" applyProtection="0"/>
    <xf numFmtId="313" fontId="80" fillId="0" borderId="0" applyFont="0" applyFill="0" applyBorder="0" applyAlignment="0" applyProtection="0"/>
    <xf numFmtId="314" fontId="5"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30" fillId="0" borderId="30" applyNumberFormat="0" applyBorder="0"/>
    <xf numFmtId="9" fontId="30" fillId="0" borderId="30" applyNumberFormat="0" applyBorder="0"/>
    <xf numFmtId="0" fontId="4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23" fontId="68"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5" fontId="68"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26" fontId="17" fillId="0" borderId="0" applyFill="0" applyBorder="0" applyAlignment="0"/>
    <xf numFmtId="215" fontId="68"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0" fontId="151" fillId="0" borderId="0"/>
    <xf numFmtId="0" fontId="152" fillId="0" borderId="0"/>
    <xf numFmtId="0" fontId="30" fillId="0" borderId="0" applyNumberFormat="0" applyFont="0" applyFill="0" applyBorder="0" applyAlignment="0" applyProtection="0">
      <alignment horizontal="left"/>
    </xf>
    <xf numFmtId="0" fontId="153" fillId="0" borderId="20">
      <alignment horizontal="center"/>
    </xf>
    <xf numFmtId="1" fontId="47" fillId="0" borderId="13" applyNumberFormat="0" applyFill="0" applyAlignment="0" applyProtection="0">
      <alignment horizontal="center" vertical="center"/>
    </xf>
    <xf numFmtId="0" fontId="154" fillId="33" borderId="0" applyNumberFormat="0" applyFont="0" applyBorder="0" applyAlignment="0">
      <alignment horizontal="center"/>
    </xf>
    <xf numFmtId="0" fontId="154" fillId="33" borderId="0" applyNumberFormat="0" applyFont="0" applyBorder="0" applyAlignment="0">
      <alignment horizontal="center"/>
    </xf>
    <xf numFmtId="14" fontId="155" fillId="0" borderId="0" applyNumberFormat="0" applyFill="0" applyBorder="0" applyAlignment="0" applyProtection="0">
      <alignment horizontal="left"/>
    </xf>
    <xf numFmtId="0" fontId="129" fillId="0" borderId="0"/>
    <xf numFmtId="0" fontId="14" fillId="0" borderId="0"/>
    <xf numFmtId="41" fontId="26" fillId="0" borderId="0" applyFont="0" applyFill="0" applyBorder="0" applyAlignment="0" applyProtection="0"/>
    <xf numFmtId="203" fontId="26"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Protection="0"/>
    <xf numFmtId="200" fontId="26" fillId="0" borderId="0" applyFont="0" applyFill="0" applyBorder="0" applyAlignment="0" applyProtection="0"/>
    <xf numFmtId="41" fontId="8" fillId="0" borderId="0" applyProtection="0"/>
    <xf numFmtId="4" fontId="156" fillId="34" borderId="31" applyNumberFormat="0" applyProtection="0">
      <alignment vertical="center"/>
    </xf>
    <xf numFmtId="4" fontId="157" fillId="34" borderId="31" applyNumberFormat="0" applyProtection="0">
      <alignment vertical="center"/>
    </xf>
    <xf numFmtId="4" fontId="157" fillId="34" borderId="31" applyNumberFormat="0" applyProtection="0">
      <alignment vertical="center"/>
    </xf>
    <xf numFmtId="4" fontId="156" fillId="34" borderId="31" applyNumberFormat="0" applyProtection="0">
      <alignment vertical="center"/>
    </xf>
    <xf numFmtId="4" fontId="158" fillId="34" borderId="31" applyNumberFormat="0" applyProtection="0">
      <alignment vertical="center"/>
    </xf>
    <xf numFmtId="4" fontId="159" fillId="34" borderId="31" applyNumberFormat="0" applyProtection="0">
      <alignment vertical="center"/>
    </xf>
    <xf numFmtId="4" fontId="159" fillId="34" borderId="31" applyNumberFormat="0" applyProtection="0">
      <alignment vertical="center"/>
    </xf>
    <xf numFmtId="4" fontId="158" fillId="34" borderId="31" applyNumberFormat="0" applyProtection="0">
      <alignment vertical="center"/>
    </xf>
    <xf numFmtId="4" fontId="160" fillId="34" borderId="31" applyNumberFormat="0" applyProtection="0">
      <alignment horizontal="left" vertical="center" indent="1"/>
    </xf>
    <xf numFmtId="4" fontId="161" fillId="34" borderId="31" applyNumberFormat="0" applyProtection="0">
      <alignment horizontal="left" vertical="center" indent="1"/>
    </xf>
    <xf numFmtId="4" fontId="161" fillId="34" borderId="31" applyNumberFormat="0" applyProtection="0">
      <alignment horizontal="left" vertical="center" indent="1"/>
    </xf>
    <xf numFmtId="4" fontId="160" fillId="34" borderId="31" applyNumberFormat="0" applyProtection="0">
      <alignment horizontal="left" vertical="center" indent="1"/>
    </xf>
    <xf numFmtId="4" fontId="160" fillId="35" borderId="0" applyNumberFormat="0" applyProtection="0">
      <alignment horizontal="left" vertical="center" indent="1"/>
    </xf>
    <xf numFmtId="4" fontId="161" fillId="35" borderId="0" applyNumberFormat="0" applyProtection="0">
      <alignment horizontal="left" vertical="center" indent="1"/>
    </xf>
    <xf numFmtId="4" fontId="160" fillId="36" borderId="31" applyNumberFormat="0" applyProtection="0">
      <alignment horizontal="right" vertical="center"/>
    </xf>
    <xf numFmtId="4" fontId="161" fillId="36" borderId="31" applyNumberFormat="0" applyProtection="0">
      <alignment horizontal="right" vertical="center"/>
    </xf>
    <xf numFmtId="4" fontId="161" fillId="36" borderId="31" applyNumberFormat="0" applyProtection="0">
      <alignment horizontal="right" vertical="center"/>
    </xf>
    <xf numFmtId="4" fontId="160" fillId="36" borderId="31" applyNumberFormat="0" applyProtection="0">
      <alignment horizontal="right" vertical="center"/>
    </xf>
    <xf numFmtId="4" fontId="160" fillId="37" borderId="31" applyNumberFormat="0" applyProtection="0">
      <alignment horizontal="right" vertical="center"/>
    </xf>
    <xf numFmtId="4" fontId="161" fillId="37" borderId="31" applyNumberFormat="0" applyProtection="0">
      <alignment horizontal="right" vertical="center"/>
    </xf>
    <xf numFmtId="4" fontId="161" fillId="37" borderId="31" applyNumberFormat="0" applyProtection="0">
      <alignment horizontal="right" vertical="center"/>
    </xf>
    <xf numFmtId="4" fontId="160" fillId="37" borderId="31" applyNumberFormat="0" applyProtection="0">
      <alignment horizontal="right" vertical="center"/>
    </xf>
    <xf numFmtId="4" fontId="160" fillId="38" borderId="31" applyNumberFormat="0" applyProtection="0">
      <alignment horizontal="right" vertical="center"/>
    </xf>
    <xf numFmtId="4" fontId="161" fillId="38" borderId="31" applyNumberFormat="0" applyProtection="0">
      <alignment horizontal="right" vertical="center"/>
    </xf>
    <xf numFmtId="4" fontId="161" fillId="38" borderId="31" applyNumberFormat="0" applyProtection="0">
      <alignment horizontal="right" vertical="center"/>
    </xf>
    <xf numFmtId="4" fontId="160" fillId="38" borderId="31" applyNumberFormat="0" applyProtection="0">
      <alignment horizontal="right" vertical="center"/>
    </xf>
    <xf numFmtId="4" fontId="160" fillId="39" borderId="31" applyNumberFormat="0" applyProtection="0">
      <alignment horizontal="right" vertical="center"/>
    </xf>
    <xf numFmtId="4" fontId="161" fillId="39" borderId="31" applyNumberFormat="0" applyProtection="0">
      <alignment horizontal="right" vertical="center"/>
    </xf>
    <xf numFmtId="4" fontId="161" fillId="39" borderId="31" applyNumberFormat="0" applyProtection="0">
      <alignment horizontal="right" vertical="center"/>
    </xf>
    <xf numFmtId="4" fontId="160" fillId="39" borderId="31" applyNumberFormat="0" applyProtection="0">
      <alignment horizontal="right" vertical="center"/>
    </xf>
    <xf numFmtId="4" fontId="160" fillId="40" borderId="31" applyNumberFormat="0" applyProtection="0">
      <alignment horizontal="right" vertical="center"/>
    </xf>
    <xf numFmtId="4" fontId="161" fillId="40" borderId="31" applyNumberFormat="0" applyProtection="0">
      <alignment horizontal="right" vertical="center"/>
    </xf>
    <xf numFmtId="4" fontId="161" fillId="40" borderId="31" applyNumberFormat="0" applyProtection="0">
      <alignment horizontal="right" vertical="center"/>
    </xf>
    <xf numFmtId="4" fontId="160" fillId="40" borderId="31" applyNumberFormat="0" applyProtection="0">
      <alignment horizontal="right" vertical="center"/>
    </xf>
    <xf numFmtId="4" fontId="160" fillId="41" borderId="31" applyNumberFormat="0" applyProtection="0">
      <alignment horizontal="right" vertical="center"/>
    </xf>
    <xf numFmtId="4" fontId="161" fillId="41" borderId="31" applyNumberFormat="0" applyProtection="0">
      <alignment horizontal="right" vertical="center"/>
    </xf>
    <xf numFmtId="4" fontId="161" fillId="41" borderId="31" applyNumberFormat="0" applyProtection="0">
      <alignment horizontal="right" vertical="center"/>
    </xf>
    <xf numFmtId="4" fontId="160" fillId="41" borderId="31" applyNumberFormat="0" applyProtection="0">
      <alignment horizontal="right" vertical="center"/>
    </xf>
    <xf numFmtId="4" fontId="160" fillId="42" borderId="31" applyNumberFormat="0" applyProtection="0">
      <alignment horizontal="right" vertical="center"/>
    </xf>
    <xf numFmtId="4" fontId="161" fillId="42" borderId="31" applyNumberFormat="0" applyProtection="0">
      <alignment horizontal="right" vertical="center"/>
    </xf>
    <xf numFmtId="4" fontId="161" fillId="42" borderId="31" applyNumberFormat="0" applyProtection="0">
      <alignment horizontal="right" vertical="center"/>
    </xf>
    <xf numFmtId="4" fontId="160" fillId="42" borderId="31" applyNumberFormat="0" applyProtection="0">
      <alignment horizontal="right" vertical="center"/>
    </xf>
    <xf numFmtId="4" fontId="160" fillId="43" borderId="31" applyNumberFormat="0" applyProtection="0">
      <alignment horizontal="right" vertical="center"/>
    </xf>
    <xf numFmtId="4" fontId="161" fillId="43" borderId="31" applyNumberFormat="0" applyProtection="0">
      <alignment horizontal="right" vertical="center"/>
    </xf>
    <xf numFmtId="4" fontId="161" fillId="43" borderId="31" applyNumberFormat="0" applyProtection="0">
      <alignment horizontal="right" vertical="center"/>
    </xf>
    <xf numFmtId="4" fontId="160" fillId="43" borderId="31" applyNumberFormat="0" applyProtection="0">
      <alignment horizontal="right" vertical="center"/>
    </xf>
    <xf numFmtId="4" fontId="160" fillId="44" borderId="31" applyNumberFormat="0" applyProtection="0">
      <alignment horizontal="right" vertical="center"/>
    </xf>
    <xf numFmtId="4" fontId="161" fillId="44" borderId="31" applyNumberFormat="0" applyProtection="0">
      <alignment horizontal="right" vertical="center"/>
    </xf>
    <xf numFmtId="4" fontId="161" fillId="44" borderId="31" applyNumberFormat="0" applyProtection="0">
      <alignment horizontal="right" vertical="center"/>
    </xf>
    <xf numFmtId="4" fontId="160" fillId="44" borderId="31" applyNumberFormat="0" applyProtection="0">
      <alignment horizontal="right" vertical="center"/>
    </xf>
    <xf numFmtId="4" fontId="156" fillId="45" borderId="32" applyNumberFormat="0" applyProtection="0">
      <alignment horizontal="left" vertical="center" indent="1"/>
    </xf>
    <xf numFmtId="4" fontId="157" fillId="45" borderId="32" applyNumberFormat="0" applyProtection="0">
      <alignment horizontal="left" vertical="center" indent="1"/>
    </xf>
    <xf numFmtId="4" fontId="156" fillId="46" borderId="0" applyNumberFormat="0" applyProtection="0">
      <alignment horizontal="left" vertical="center" indent="1"/>
    </xf>
    <xf numFmtId="4" fontId="157" fillId="46" borderId="0" applyNumberFormat="0" applyProtection="0">
      <alignment horizontal="left" vertical="center" indent="1"/>
    </xf>
    <xf numFmtId="4" fontId="156" fillId="35" borderId="0" applyNumberFormat="0" applyProtection="0">
      <alignment horizontal="left" vertical="center" indent="1"/>
    </xf>
    <xf numFmtId="4" fontId="157" fillId="35" borderId="0" applyNumberFormat="0" applyProtection="0">
      <alignment horizontal="left" vertical="center" indent="1"/>
    </xf>
    <xf numFmtId="4" fontId="160" fillId="46" borderId="31" applyNumberFormat="0" applyProtection="0">
      <alignment horizontal="right" vertical="center"/>
    </xf>
    <xf numFmtId="4" fontId="161" fillId="46" borderId="31" applyNumberFormat="0" applyProtection="0">
      <alignment horizontal="right" vertical="center"/>
    </xf>
    <xf numFmtId="4" fontId="161" fillId="46" borderId="31" applyNumberFormat="0" applyProtection="0">
      <alignment horizontal="right" vertical="center"/>
    </xf>
    <xf numFmtId="4" fontId="160" fillId="46" borderId="31" applyNumberFormat="0" applyProtection="0">
      <alignment horizontal="right" vertical="center"/>
    </xf>
    <xf numFmtId="4" fontId="29" fillId="46" borderId="0" applyNumberFormat="0" applyProtection="0">
      <alignment horizontal="left" vertical="center" indent="1"/>
    </xf>
    <xf numFmtId="4" fontId="28" fillId="46" borderId="0" applyNumberFormat="0" applyProtection="0">
      <alignment horizontal="left" vertical="center" indent="1"/>
    </xf>
    <xf numFmtId="4" fontId="29" fillId="35" borderId="0" applyNumberFormat="0" applyProtection="0">
      <alignment horizontal="left" vertical="center" indent="1"/>
    </xf>
    <xf numFmtId="4" fontId="28" fillId="35" borderId="0" applyNumberFormat="0" applyProtection="0">
      <alignment horizontal="left" vertical="center" indent="1"/>
    </xf>
    <xf numFmtId="4" fontId="160" fillId="47" borderId="31" applyNumberFormat="0" applyProtection="0">
      <alignment vertical="center"/>
    </xf>
    <xf numFmtId="4" fontId="161" fillId="47" borderId="31" applyNumberFormat="0" applyProtection="0">
      <alignment vertical="center"/>
    </xf>
    <xf numFmtId="4" fontId="161" fillId="47" borderId="31" applyNumberFormat="0" applyProtection="0">
      <alignment vertical="center"/>
    </xf>
    <xf numFmtId="4" fontId="160" fillId="47" borderId="31" applyNumberFormat="0" applyProtection="0">
      <alignment vertical="center"/>
    </xf>
    <xf numFmtId="4" fontId="162" fillId="47" borderId="31" applyNumberFormat="0" applyProtection="0">
      <alignment vertical="center"/>
    </xf>
    <xf numFmtId="4" fontId="163" fillId="47" borderId="31" applyNumberFormat="0" applyProtection="0">
      <alignment vertical="center"/>
    </xf>
    <xf numFmtId="4" fontId="163" fillId="47" borderId="31" applyNumberFormat="0" applyProtection="0">
      <alignment vertical="center"/>
    </xf>
    <xf numFmtId="4" fontId="162" fillId="47" borderId="31" applyNumberFormat="0" applyProtection="0">
      <alignment vertical="center"/>
    </xf>
    <xf numFmtId="4" fontId="156" fillId="46" borderId="33" applyNumberFormat="0" applyProtection="0">
      <alignment horizontal="left" vertical="center" indent="1"/>
    </xf>
    <xf numFmtId="4" fontId="157" fillId="46" borderId="33" applyNumberFormat="0" applyProtection="0">
      <alignment horizontal="left" vertical="center" indent="1"/>
    </xf>
    <xf numFmtId="4" fontId="157" fillId="46" borderId="33" applyNumberFormat="0" applyProtection="0">
      <alignment horizontal="left" vertical="center" indent="1"/>
    </xf>
    <xf numFmtId="4" fontId="156" fillId="46" borderId="33" applyNumberFormat="0" applyProtection="0">
      <alignment horizontal="left" vertical="center" indent="1"/>
    </xf>
    <xf numFmtId="4" fontId="160" fillId="47" borderId="31" applyNumberFormat="0" applyProtection="0">
      <alignment horizontal="right" vertical="center"/>
    </xf>
    <xf numFmtId="4" fontId="161" fillId="47" borderId="31" applyNumberFormat="0" applyProtection="0">
      <alignment horizontal="right" vertical="center"/>
    </xf>
    <xf numFmtId="4" fontId="161" fillId="47" borderId="31" applyNumberFormat="0" applyProtection="0">
      <alignment horizontal="right" vertical="center"/>
    </xf>
    <xf numFmtId="4" fontId="160" fillId="47" borderId="31" applyNumberFormat="0" applyProtection="0">
      <alignment horizontal="right" vertical="center"/>
    </xf>
    <xf numFmtId="4" fontId="162" fillId="47" borderId="31" applyNumberFormat="0" applyProtection="0">
      <alignment horizontal="right" vertical="center"/>
    </xf>
    <xf numFmtId="4" fontId="163" fillId="47" borderId="31" applyNumberFormat="0" applyProtection="0">
      <alignment horizontal="right" vertical="center"/>
    </xf>
    <xf numFmtId="4" fontId="163" fillId="47" borderId="31" applyNumberFormat="0" applyProtection="0">
      <alignment horizontal="right" vertical="center"/>
    </xf>
    <xf numFmtId="4" fontId="162" fillId="47" borderId="31" applyNumberFormat="0" applyProtection="0">
      <alignment horizontal="right" vertical="center"/>
    </xf>
    <xf numFmtId="4" fontId="156" fillId="46" borderId="31" applyNumberFormat="0" applyProtection="0">
      <alignment horizontal="left" vertical="center" indent="1"/>
    </xf>
    <xf numFmtId="4" fontId="157" fillId="46" borderId="31" applyNumberFormat="0" applyProtection="0">
      <alignment horizontal="left" vertical="center" indent="1"/>
    </xf>
    <xf numFmtId="4" fontId="157" fillId="46" borderId="31" applyNumberFormat="0" applyProtection="0">
      <alignment horizontal="left" vertical="center" indent="1"/>
    </xf>
    <xf numFmtId="4" fontId="156" fillId="46" borderId="31" applyNumberFormat="0" applyProtection="0">
      <alignment horizontal="left" vertical="center" indent="1"/>
    </xf>
    <xf numFmtId="4" fontId="164" fillId="28" borderId="33" applyNumberFormat="0" applyProtection="0">
      <alignment horizontal="left" vertical="center" indent="1"/>
    </xf>
    <xf numFmtId="4" fontId="165" fillId="28" borderId="33" applyNumberFormat="0" applyProtection="0">
      <alignment horizontal="left" vertical="center" indent="1"/>
    </xf>
    <xf numFmtId="4" fontId="165" fillId="28" borderId="33" applyNumberFormat="0" applyProtection="0">
      <alignment horizontal="left" vertical="center" indent="1"/>
    </xf>
    <xf numFmtId="4" fontId="164" fillId="28" borderId="33" applyNumberFormat="0" applyProtection="0">
      <alignment horizontal="left" vertical="center" indent="1"/>
    </xf>
    <xf numFmtId="4" fontId="166" fillId="47" borderId="31" applyNumberFormat="0" applyProtection="0">
      <alignment horizontal="right" vertical="center"/>
    </xf>
    <xf numFmtId="4" fontId="167" fillId="47" borderId="31" applyNumberFormat="0" applyProtection="0">
      <alignment horizontal="right" vertical="center"/>
    </xf>
    <xf numFmtId="4" fontId="167" fillId="47" borderId="31" applyNumberFormat="0" applyProtection="0">
      <alignment horizontal="right" vertical="center"/>
    </xf>
    <xf numFmtId="4" fontId="166" fillId="47" borderId="31" applyNumberFormat="0" applyProtection="0">
      <alignment horizontal="right" vertical="center"/>
    </xf>
    <xf numFmtId="315" fontId="168" fillId="0" borderId="0" applyFont="0" applyFill="0" applyBorder="0" applyAlignment="0" applyProtection="0"/>
    <xf numFmtId="0" fontId="154" fillId="1" borderId="19" applyNumberFormat="0" applyFont="0" applyAlignment="0">
      <alignment horizontal="center"/>
    </xf>
    <xf numFmtId="0" fontId="154" fillId="1" borderId="19" applyNumberFormat="0" applyFont="0" applyAlignment="0">
      <alignment horizontal="center"/>
    </xf>
    <xf numFmtId="0" fontId="154" fillId="1" borderId="19" applyNumberFormat="0" applyFont="0" applyAlignment="0">
      <alignment horizontal="center"/>
    </xf>
    <xf numFmtId="0" fontId="154" fillId="1" borderId="19" applyNumberFormat="0" applyFont="0" applyAlignment="0">
      <alignment horizontal="center"/>
    </xf>
    <xf numFmtId="3" fontId="10" fillId="0" borderId="0"/>
    <xf numFmtId="0" fontId="169" fillId="0" borderId="0" applyNumberFormat="0" applyFill="0" applyBorder="0" applyAlignment="0">
      <alignment horizontal="center"/>
    </xf>
    <xf numFmtId="0" fontId="47" fillId="0" borderId="0"/>
    <xf numFmtId="168" fontId="170" fillId="0" borderId="0" applyNumberFormat="0" applyBorder="0" applyAlignment="0">
      <alignment horizontal="centerContinuous"/>
    </xf>
    <xf numFmtId="0" fontId="2" fillId="0" borderId="13">
      <alignment horizontal="center"/>
    </xf>
    <xf numFmtId="0" fontId="30" fillId="0" borderId="0"/>
    <xf numFmtId="0" fontId="27" fillId="0" borderId="0"/>
    <xf numFmtId="0" fontId="14" fillId="0" borderId="0" applyNumberFormat="0" applyFill="0" applyBorder="0" applyAlignment="0" applyProtection="0"/>
    <xf numFmtId="0" fontId="27" fillId="0" borderId="0"/>
    <xf numFmtId="0" fontId="27" fillId="0" borderId="0"/>
    <xf numFmtId="0" fontId="14" fillId="0" borderId="0" applyNumberFormat="0" applyFill="0" applyBorder="0" applyAlignment="0" applyProtection="0"/>
    <xf numFmtId="42" fontId="26" fillId="0" borderId="0" applyFont="0" applyFill="0" applyBorder="0" applyAlignment="0" applyProtection="0"/>
    <xf numFmtId="168" fontId="37" fillId="0" borderId="0" applyFont="0" applyFill="0" applyBorder="0" applyAlignment="0" applyProtection="0"/>
    <xf numFmtId="202"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41" fontId="26" fillId="0" borderId="0" applyFont="0" applyFill="0" applyBorder="0" applyAlignment="0" applyProtection="0"/>
    <xf numFmtId="203" fontId="26" fillId="0" borderId="0" applyFont="0" applyFill="0" applyBorder="0" applyAlignment="0" applyProtection="0"/>
    <xf numFmtId="204" fontId="26" fillId="0" borderId="0" applyFont="0" applyFill="0" applyBorder="0" applyAlignment="0" applyProtection="0"/>
    <xf numFmtId="201" fontId="26" fillId="0" borderId="0" applyFont="0" applyFill="0" applyBorder="0" applyAlignment="0" applyProtection="0"/>
    <xf numFmtId="201"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176" fontId="2" fillId="0" borderId="0" applyFont="0" applyFill="0" applyBorder="0" applyAlignment="0" applyProtection="0"/>
    <xf numFmtId="180"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76" fontId="2" fillId="0" borderId="0" applyFont="0" applyFill="0" applyBorder="0" applyAlignment="0" applyProtection="0"/>
    <xf numFmtId="180" fontId="26" fillId="0" borderId="0" applyFont="0" applyFill="0" applyBorder="0" applyAlignment="0" applyProtection="0"/>
    <xf numFmtId="181"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10" fillId="0" borderId="0" applyFont="0" applyFill="0" applyBorder="0" applyAlignment="0" applyProtection="0"/>
    <xf numFmtId="193" fontId="26" fillId="0" borderId="0" applyFont="0" applyFill="0" applyBorder="0" applyAlignment="0" applyProtection="0"/>
    <xf numFmtId="181" fontId="26" fillId="0" borderId="0" applyFont="0" applyFill="0" applyBorder="0" applyAlignment="0" applyProtection="0"/>
    <xf numFmtId="196" fontId="26" fillId="0" borderId="0" applyFont="0" applyFill="0" applyBorder="0" applyAlignment="0" applyProtection="0"/>
    <xf numFmtId="184" fontId="26" fillId="0" borderId="0" applyFont="0" applyFill="0" applyBorder="0" applyAlignment="0" applyProtection="0"/>
    <xf numFmtId="184" fontId="26" fillId="0" borderId="0" applyFont="0" applyFill="0" applyBorder="0" applyAlignment="0" applyProtection="0"/>
    <xf numFmtId="176" fontId="2" fillId="0" borderId="0" applyFont="0" applyFill="0" applyBorder="0" applyAlignment="0" applyProtection="0"/>
    <xf numFmtId="180" fontId="26" fillId="0" borderId="0" applyFont="0" applyFill="0" applyBorder="0" applyAlignment="0" applyProtection="0"/>
    <xf numFmtId="42" fontId="26" fillId="0" borderId="0" applyFont="0" applyFill="0" applyBorder="0" applyAlignment="0" applyProtection="0"/>
    <xf numFmtId="0" fontId="14" fillId="0" borderId="0"/>
    <xf numFmtId="316" fontId="63"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68" fontId="37" fillId="0" borderId="0" applyFont="0" applyFill="0" applyBorder="0" applyAlignment="0" applyProtection="0"/>
    <xf numFmtId="199"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184" fontId="26" fillId="0" borderId="0" applyFont="0" applyFill="0" applyBorder="0" applyAlignment="0" applyProtection="0"/>
    <xf numFmtId="181"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93" fontId="26" fillId="0" borderId="0" applyFont="0" applyFill="0" applyBorder="0" applyAlignment="0" applyProtection="0"/>
    <xf numFmtId="181" fontId="10" fillId="0" borderId="0" applyFont="0" applyFill="0" applyBorder="0" applyAlignment="0" applyProtection="0"/>
    <xf numFmtId="193" fontId="26" fillId="0" borderId="0" applyFont="0" applyFill="0" applyBorder="0" applyAlignment="0" applyProtection="0"/>
    <xf numFmtId="181" fontId="26" fillId="0" borderId="0" applyFont="0" applyFill="0" applyBorder="0" applyAlignment="0" applyProtection="0"/>
    <xf numFmtId="168" fontId="37" fillId="0" borderId="0" applyFont="0" applyFill="0" applyBorder="0" applyAlignment="0" applyProtection="0"/>
    <xf numFmtId="199" fontId="26" fillId="0" borderId="0" applyFont="0" applyFill="0" applyBorder="0" applyAlignment="0" applyProtection="0"/>
    <xf numFmtId="196" fontId="26" fillId="0" borderId="0" applyFont="0" applyFill="0" applyBorder="0" applyAlignment="0" applyProtection="0"/>
    <xf numFmtId="184" fontId="26" fillId="0" borderId="0" applyFont="0" applyFill="0" applyBorder="0" applyAlignment="0" applyProtection="0"/>
    <xf numFmtId="184" fontId="26" fillId="0" borderId="0" applyFont="0" applyFill="0" applyBorder="0" applyAlignment="0" applyProtection="0"/>
    <xf numFmtId="42" fontId="26" fillId="0" borderId="0" applyFont="0" applyFill="0" applyBorder="0" applyAlignment="0" applyProtection="0"/>
    <xf numFmtId="0" fontId="14" fillId="0" borderId="0"/>
    <xf numFmtId="316" fontId="63"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199" fontId="26" fillId="0" borderId="0" applyFont="0" applyFill="0" applyBorder="0" applyAlignment="0" applyProtection="0"/>
    <xf numFmtId="165"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203" fontId="26" fillId="0" borderId="0" applyFont="0" applyFill="0" applyBorder="0" applyAlignment="0" applyProtection="0"/>
    <xf numFmtId="41" fontId="26" fillId="0" borderId="0" applyFont="0" applyFill="0" applyBorder="0" applyAlignment="0" applyProtection="0"/>
    <xf numFmtId="197" fontId="26" fillId="0" borderId="0" applyFont="0" applyFill="0" applyBorder="0" applyAlignment="0" applyProtection="0"/>
    <xf numFmtId="165" fontId="26" fillId="0" borderId="0" applyFont="0" applyFill="0" applyBorder="0" applyAlignment="0" applyProtection="0"/>
    <xf numFmtId="197" fontId="26" fillId="0" borderId="0" applyFont="0" applyFill="0" applyBorder="0" applyAlignment="0" applyProtection="0"/>
    <xf numFmtId="165" fontId="26" fillId="0" borderId="0" applyFont="0" applyFill="0" applyBorder="0" applyAlignment="0" applyProtection="0"/>
    <xf numFmtId="198" fontId="26" fillId="0" borderId="0" applyFont="0" applyFill="0" applyBorder="0" applyAlignment="0" applyProtection="0"/>
    <xf numFmtId="41"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42" fontId="26" fillId="0" borderId="0" applyFont="0" applyFill="0" applyBorder="0" applyAlignment="0" applyProtection="0"/>
    <xf numFmtId="199" fontId="26" fillId="0" borderId="0" applyFont="0" applyFill="0" applyBorder="0" applyAlignment="0" applyProtection="0"/>
    <xf numFmtId="193" fontId="26" fillId="0" borderId="0" applyFont="0" applyFill="0" applyBorder="0" applyAlignment="0" applyProtection="0"/>
    <xf numFmtId="199" fontId="26" fillId="0" borderId="0" applyFont="0" applyFill="0" applyBorder="0" applyAlignment="0" applyProtection="0"/>
    <xf numFmtId="181" fontId="10" fillId="0" borderId="0" applyFont="0" applyFill="0" applyBorder="0" applyAlignment="0" applyProtection="0"/>
    <xf numFmtId="198" fontId="26" fillId="0" borderId="0" applyFont="0" applyFill="0" applyBorder="0" applyAlignment="0" applyProtection="0"/>
    <xf numFmtId="181" fontId="26" fillId="0" borderId="0" applyFont="0" applyFill="0" applyBorder="0" applyAlignment="0" applyProtection="0"/>
    <xf numFmtId="180" fontId="10" fillId="0" borderId="0" applyFont="0" applyFill="0" applyBorder="0" applyAlignment="0" applyProtection="0"/>
    <xf numFmtId="0" fontId="14" fillId="0" borderId="0"/>
    <xf numFmtId="202" fontId="26" fillId="0" borderId="0" applyFont="0" applyFill="0" applyBorder="0" applyAlignment="0" applyProtection="0"/>
    <xf numFmtId="316" fontId="63"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198" fontId="26" fillId="0" borderId="0" applyFont="0" applyFill="0" applyBorder="0" applyAlignment="0" applyProtection="0"/>
    <xf numFmtId="168" fontId="37" fillId="0" borderId="0" applyFont="0" applyFill="0" applyBorder="0" applyAlignment="0" applyProtection="0"/>
    <xf numFmtId="180" fontId="26" fillId="0" borderId="0" applyFont="0" applyFill="0" applyBorder="0" applyAlignment="0" applyProtection="0"/>
    <xf numFmtId="176" fontId="2" fillId="0" borderId="0" applyFont="0" applyFill="0" applyBorder="0" applyAlignment="0" applyProtection="0"/>
    <xf numFmtId="180" fontId="26" fillId="0" borderId="0" applyFont="0" applyFill="0" applyBorder="0" applyAlignment="0" applyProtection="0"/>
    <xf numFmtId="176" fontId="2" fillId="0" borderId="0" applyFont="0" applyFill="0" applyBorder="0" applyAlignment="0" applyProtection="0"/>
    <xf numFmtId="199" fontId="26" fillId="0" borderId="0" applyFont="0" applyFill="0" applyBorder="0" applyAlignment="0" applyProtection="0"/>
    <xf numFmtId="176" fontId="2" fillId="0" borderId="0" applyFont="0" applyFill="0" applyBorder="0" applyAlignment="0" applyProtection="0"/>
    <xf numFmtId="199" fontId="26" fillId="0" borderId="0" applyFont="0" applyFill="0" applyBorder="0" applyAlignment="0" applyProtection="0"/>
    <xf numFmtId="168" fontId="37" fillId="0" borderId="0" applyFont="0" applyFill="0" applyBorder="0" applyAlignment="0" applyProtection="0"/>
    <xf numFmtId="180" fontId="26" fillId="0" borderId="0" applyFont="0" applyFill="0" applyBorder="0" applyAlignment="0" applyProtection="0"/>
    <xf numFmtId="168" fontId="37" fillId="0" borderId="0" applyFont="0" applyFill="0" applyBorder="0" applyAlignment="0" applyProtection="0"/>
    <xf numFmtId="199"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203" fontId="26" fillId="0" borderId="0" applyFont="0" applyFill="0" applyBorder="0" applyAlignment="0" applyProtection="0"/>
    <xf numFmtId="165" fontId="26" fillId="0" borderId="0" applyFont="0" applyFill="0" applyBorder="0" applyAlignment="0" applyProtection="0"/>
    <xf numFmtId="182" fontId="26" fillId="0" borderId="0" applyFont="0" applyFill="0" applyBorder="0" applyAlignment="0" applyProtection="0"/>
    <xf numFmtId="165" fontId="26" fillId="0" borderId="0" applyFont="0" applyFill="0" applyBorder="0" applyAlignment="0" applyProtection="0"/>
    <xf numFmtId="181" fontId="10" fillId="0" borderId="0" applyFont="0" applyFill="0" applyBorder="0" applyAlignment="0" applyProtection="0"/>
    <xf numFmtId="165" fontId="26" fillId="0" borderId="0" applyFont="0" applyFill="0" applyBorder="0" applyAlignment="0" applyProtection="0"/>
    <xf numFmtId="199" fontId="26" fillId="0" borderId="0" applyFont="0" applyFill="0" applyBorder="0" applyAlignment="0" applyProtection="0"/>
    <xf numFmtId="41" fontId="26" fillId="0" borderId="0" applyFont="0" applyFill="0" applyBorder="0" applyAlignment="0" applyProtection="0"/>
    <xf numFmtId="182" fontId="26" fillId="0" borderId="0" applyFont="0" applyFill="0" applyBorder="0" applyAlignment="0" applyProtection="0"/>
    <xf numFmtId="176" fontId="26" fillId="0" borderId="0" applyFont="0" applyFill="0" applyBorder="0" applyAlignment="0" applyProtection="0"/>
    <xf numFmtId="182" fontId="26" fillId="0" borderId="0" applyFont="0" applyFill="0" applyBorder="0" applyAlignment="0" applyProtection="0"/>
    <xf numFmtId="176" fontId="26" fillId="0" borderId="0" applyFont="0" applyFill="0" applyBorder="0" applyAlignment="0" applyProtection="0"/>
    <xf numFmtId="181" fontId="26" fillId="0" borderId="0" applyFont="0" applyFill="0" applyBorder="0" applyAlignment="0" applyProtection="0"/>
    <xf numFmtId="176" fontId="26" fillId="0" borderId="0" applyFont="0" applyFill="0" applyBorder="0" applyAlignment="0" applyProtection="0"/>
    <xf numFmtId="194" fontId="31" fillId="0" borderId="0" applyFont="0" applyFill="0" applyBorder="0" applyAlignment="0" applyProtection="0"/>
    <xf numFmtId="176" fontId="26" fillId="0" borderId="0" applyFont="0" applyFill="0" applyBorder="0" applyAlignment="0" applyProtection="0"/>
    <xf numFmtId="195" fontId="26" fillId="0" borderId="0" applyFont="0" applyFill="0" applyBorder="0" applyAlignment="0" applyProtection="0"/>
    <xf numFmtId="41" fontId="26" fillId="0" borderId="0" applyFont="0" applyFill="0" applyBorder="0" applyAlignment="0" applyProtection="0"/>
    <xf numFmtId="181" fontId="26" fillId="0" borderId="0" applyFont="0" applyFill="0" applyBorder="0" applyAlignment="0" applyProtection="0"/>
    <xf numFmtId="165" fontId="26" fillId="0" borderId="0" applyFont="0" applyFill="0" applyBorder="0" applyAlignment="0" applyProtection="0"/>
    <xf numFmtId="196" fontId="26" fillId="0" borderId="0" applyFont="0" applyFill="0" applyBorder="0" applyAlignment="0" applyProtection="0"/>
    <xf numFmtId="165" fontId="26" fillId="0" borderId="0" applyFont="0" applyFill="0" applyBorder="0" applyAlignment="0" applyProtection="0"/>
    <xf numFmtId="182" fontId="26" fillId="0" borderId="0" applyFont="0" applyFill="0" applyBorder="0" applyAlignment="0" applyProtection="0"/>
    <xf numFmtId="180" fontId="26" fillId="0" borderId="0" applyFont="0" applyFill="0" applyBorder="0" applyAlignment="0" applyProtection="0"/>
    <xf numFmtId="181" fontId="10" fillId="0" borderId="0" applyFont="0" applyFill="0" applyBorder="0" applyAlignment="0" applyProtection="0"/>
    <xf numFmtId="176" fontId="26" fillId="0" borderId="0" applyFont="0" applyFill="0" applyBorder="0" applyAlignment="0" applyProtection="0"/>
    <xf numFmtId="182"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182" fontId="26" fillId="0" borderId="0" applyFont="0" applyFill="0" applyBorder="0" applyAlignment="0" applyProtection="0"/>
    <xf numFmtId="180" fontId="26" fillId="0" borderId="0" applyFont="0" applyFill="0" applyBorder="0" applyAlignment="0" applyProtection="0"/>
    <xf numFmtId="181" fontId="26" fillId="0" borderId="0" applyFont="0" applyFill="0" applyBorder="0" applyAlignment="0" applyProtection="0"/>
    <xf numFmtId="180" fontId="26" fillId="0" borderId="0" applyFont="0" applyFill="0" applyBorder="0" applyAlignment="0" applyProtection="0"/>
    <xf numFmtId="194" fontId="31" fillId="0" borderId="0" applyFont="0" applyFill="0" applyBorder="0" applyAlignment="0" applyProtection="0"/>
    <xf numFmtId="165" fontId="26" fillId="0" borderId="0" applyFont="0" applyFill="0" applyBorder="0" applyAlignment="0" applyProtection="0"/>
    <xf numFmtId="195" fontId="26" fillId="0" borderId="0" applyFont="0" applyFill="0" applyBorder="0" applyAlignment="0" applyProtection="0"/>
    <xf numFmtId="41" fontId="26" fillId="0" borderId="0" applyFont="0" applyFill="0" applyBorder="0" applyAlignment="0" applyProtection="0"/>
    <xf numFmtId="181" fontId="26" fillId="0" borderId="0" applyFont="0" applyFill="0" applyBorder="0" applyAlignment="0" applyProtection="0"/>
    <xf numFmtId="176" fontId="26" fillId="0" borderId="0" applyFont="0" applyFill="0" applyBorder="0" applyAlignment="0" applyProtection="0"/>
    <xf numFmtId="196"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80" fontId="26" fillId="0" borderId="0" applyFont="0" applyFill="0" applyBorder="0" applyAlignment="0" applyProtection="0"/>
    <xf numFmtId="41" fontId="26" fillId="0" borderId="0" applyFont="0" applyFill="0" applyBorder="0" applyAlignment="0" applyProtection="0"/>
    <xf numFmtId="165" fontId="26" fillId="0" borderId="0" applyFont="0" applyFill="0" applyBorder="0" applyAlignment="0" applyProtection="0"/>
    <xf numFmtId="199"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203" fontId="26" fillId="0" borderId="0" applyFont="0" applyFill="0" applyBorder="0" applyAlignment="0" applyProtection="0"/>
    <xf numFmtId="204" fontId="26" fillId="0" borderId="0" applyFont="0" applyFill="0" applyBorder="0" applyAlignment="0" applyProtection="0"/>
    <xf numFmtId="41" fontId="26" fillId="0" borderId="0" applyFont="0" applyFill="0" applyBorder="0" applyAlignment="0" applyProtection="0"/>
    <xf numFmtId="42" fontId="26" fillId="0" borderId="0" applyFont="0" applyFill="0" applyBorder="0" applyAlignment="0" applyProtection="0"/>
    <xf numFmtId="42" fontId="26" fillId="0" borderId="0" applyFont="0" applyFill="0" applyBorder="0" applyAlignment="0" applyProtection="0"/>
    <xf numFmtId="181" fontId="26" fillId="0" borderId="0" applyFont="0" applyFill="0" applyBorder="0" applyAlignment="0" applyProtection="0"/>
    <xf numFmtId="193" fontId="26" fillId="0" borderId="0" applyFont="0" applyFill="0" applyBorder="0" applyAlignment="0" applyProtection="0"/>
    <xf numFmtId="181" fontId="10" fillId="0" borderId="0" applyFont="0" applyFill="0" applyBorder="0" applyAlignment="0" applyProtection="0"/>
    <xf numFmtId="165" fontId="26" fillId="0" borderId="0" applyFont="0" applyFill="0" applyBorder="0" applyAlignment="0" applyProtection="0"/>
    <xf numFmtId="199" fontId="26" fillId="0" borderId="0" applyFont="0" applyFill="0" applyBorder="0" applyAlignment="0" applyProtection="0"/>
    <xf numFmtId="193" fontId="26" fillId="0" borderId="0" applyFont="0" applyFill="0" applyBorder="0" applyAlignment="0" applyProtection="0"/>
    <xf numFmtId="181" fontId="26" fillId="0" borderId="0" applyFont="0" applyFill="0" applyBorder="0" applyAlignment="0" applyProtection="0"/>
    <xf numFmtId="196" fontId="26" fillId="0" borderId="0" applyFont="0" applyFill="0" applyBorder="0" applyAlignment="0" applyProtection="0"/>
    <xf numFmtId="0" fontId="14" fillId="0" borderId="0"/>
    <xf numFmtId="316" fontId="63" fillId="0" borderId="0" applyFont="0" applyFill="0" applyBorder="0" applyAlignment="0" applyProtection="0"/>
    <xf numFmtId="165" fontId="26" fillId="0" borderId="0" applyFont="0" applyFill="0" applyBorder="0" applyAlignment="0" applyProtection="0"/>
    <xf numFmtId="176" fontId="26" fillId="0" borderId="0" applyFont="0" applyFill="0" applyBorder="0" applyAlignment="0" applyProtection="0"/>
    <xf numFmtId="165"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98"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201" fontId="26" fillId="0" borderId="0" applyFont="0" applyFill="0" applyBorder="0" applyAlignment="0" applyProtection="0"/>
    <xf numFmtId="165"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80" fontId="10" fillId="0" borderId="0" applyFont="0" applyFill="0" applyBorder="0" applyAlignment="0" applyProtection="0"/>
    <xf numFmtId="176" fontId="26" fillId="0" borderId="0" applyFont="0" applyFill="0" applyBorder="0" applyAlignment="0" applyProtection="0"/>
    <xf numFmtId="180" fontId="26"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xf numFmtId="176" fontId="26" fillId="0" borderId="0" applyFont="0" applyFill="0" applyBorder="0" applyAlignment="0" applyProtection="0"/>
    <xf numFmtId="201" fontId="26" fillId="0" borderId="0" applyFont="0" applyFill="0" applyBorder="0" applyAlignment="0" applyProtection="0"/>
    <xf numFmtId="165" fontId="26" fillId="0" borderId="0" applyFont="0" applyFill="0" applyBorder="0" applyAlignment="0" applyProtection="0"/>
    <xf numFmtId="201" fontId="26" fillId="0" borderId="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on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43" fontId="10" fillId="0" borderId="0" applyFont="0" applyFill="0" applyBorder="0" applyAlignment="0" applyProtection="0"/>
    <xf numFmtId="0" fontId="186" fillId="0" borderId="0"/>
    <xf numFmtId="0" fontId="186" fillId="0" borderId="0"/>
    <xf numFmtId="0" fontId="186" fillId="0" borderId="0"/>
    <xf numFmtId="0" fontId="186" fillId="0" borderId="0"/>
    <xf numFmtId="0" fontId="186" fillId="0" borderId="0"/>
    <xf numFmtId="43" fontId="186" fillId="0" borderId="0" applyFont="0" applyFill="0" applyBorder="0" applyAlignment="0" applyProtection="0"/>
    <xf numFmtId="43" fontId="1" fillId="0" borderId="0" applyFont="0" applyFill="0" applyBorder="0" applyAlignment="0" applyProtection="0"/>
    <xf numFmtId="0" fontId="1" fillId="0" borderId="0"/>
    <xf numFmtId="43" fontId="10" fillId="0" borderId="0" applyFont="0" applyFill="0" applyBorder="0" applyAlignment="0" applyProtection="0"/>
    <xf numFmtId="0" fontId="10" fillId="0" borderId="0"/>
    <xf numFmtId="0" fontId="17" fillId="0" borderId="0"/>
    <xf numFmtId="0" fontId="17" fillId="0" borderId="0"/>
    <xf numFmtId="43" fontId="174" fillId="0" borderId="0" applyFont="0" applyFill="0" applyBorder="0" applyAlignment="0" applyProtection="0"/>
    <xf numFmtId="43" fontId="10" fillId="0" borderId="0" applyFont="0" applyFill="0" applyBorder="0" applyAlignment="0" applyProtection="0"/>
    <xf numFmtId="0" fontId="10" fillId="0" borderId="0"/>
    <xf numFmtId="43" fontId="174" fillId="0" borderId="0" applyFont="0" applyFill="0" applyBorder="0" applyAlignment="0" applyProtection="0"/>
    <xf numFmtId="169" fontId="1" fillId="0" borderId="0" applyFont="0" applyFill="0" applyBorder="0" applyAlignment="0" applyProtection="0"/>
    <xf numFmtId="0" fontId="10" fillId="0" borderId="0"/>
    <xf numFmtId="43" fontId="10" fillId="0" borderId="0" applyFont="0" applyFill="0" applyBorder="0" applyAlignment="0" applyProtection="0"/>
    <xf numFmtId="43" fontId="174" fillId="0" borderId="0" applyFont="0" applyFill="0" applyBorder="0" applyAlignment="0" applyProtection="0"/>
    <xf numFmtId="0" fontId="186" fillId="0" borderId="0"/>
    <xf numFmtId="0" fontId="1" fillId="0" borderId="0"/>
    <xf numFmtId="0" fontId="1" fillId="0" borderId="0"/>
    <xf numFmtId="0" fontId="10" fillId="0" borderId="0"/>
    <xf numFmtId="43" fontId="174" fillId="0" borderId="0" applyFont="0" applyFill="0" applyBorder="0" applyAlignment="0" applyProtection="0"/>
    <xf numFmtId="43" fontId="10" fillId="0" borderId="0" applyFont="0" applyFill="0" applyBorder="0" applyAlignment="0" applyProtection="0"/>
    <xf numFmtId="0" fontId="10" fillId="0" borderId="0"/>
  </cellStyleXfs>
  <cellXfs count="286">
    <xf numFmtId="0" fontId="0" fillId="0" borderId="0" xfId="0"/>
    <xf numFmtId="0" fontId="9" fillId="0" borderId="1" xfId="5248" applyNumberFormat="1" applyFont="1" applyFill="1" applyBorder="1" applyAlignment="1">
      <alignment horizontal="center" vertical="center" wrapText="1"/>
    </xf>
    <xf numFmtId="168" fontId="9" fillId="0" borderId="0" xfId="0" applyNumberFormat="1" applyFont="1" applyFill="1"/>
    <xf numFmtId="168" fontId="9" fillId="0" borderId="0" xfId="0" applyNumberFormat="1" applyFont="1" applyFill="1" applyBorder="1" applyAlignment="1">
      <alignment horizontal="center" vertical="center" wrapText="1"/>
    </xf>
    <xf numFmtId="168" fontId="187" fillId="0" borderId="0" xfId="0" quotePrefix="1" applyNumberFormat="1" applyFont="1" applyFill="1" applyBorder="1" applyAlignment="1">
      <alignment vertical="center" wrapText="1"/>
    </xf>
    <xf numFmtId="168" fontId="189" fillId="0" borderId="5" xfId="5253" applyNumberFormat="1" applyFont="1" applyFill="1" applyBorder="1" applyAlignment="1">
      <alignment vertical="center" wrapText="1"/>
    </xf>
    <xf numFmtId="43" fontId="190" fillId="0" borderId="5" xfId="5253" applyNumberFormat="1" applyFont="1" applyFill="1" applyBorder="1" applyAlignment="1">
      <alignment vertical="center" wrapText="1"/>
    </xf>
    <xf numFmtId="168" fontId="187" fillId="0" borderId="0" xfId="0" applyNumberFormat="1" applyFont="1" applyFill="1"/>
    <xf numFmtId="168" fontId="6" fillId="0" borderId="0" xfId="0" applyNumberFormat="1" applyFont="1" applyFill="1"/>
    <xf numFmtId="168" fontId="5" fillId="0" borderId="0" xfId="0" applyNumberFormat="1" applyFont="1" applyFill="1" applyAlignment="1">
      <alignment wrapText="1"/>
    </xf>
    <xf numFmtId="168" fontId="5" fillId="0" borderId="9" xfId="5253" applyNumberFormat="1" applyFont="1" applyFill="1" applyBorder="1" applyAlignment="1">
      <alignment vertical="center" wrapText="1"/>
    </xf>
    <xf numFmtId="168" fontId="5" fillId="0" borderId="37" xfId="0" applyNumberFormat="1" applyFont="1" applyFill="1" applyBorder="1" applyAlignment="1">
      <alignment horizontal="center" vertical="center" wrapText="1"/>
    </xf>
    <xf numFmtId="168" fontId="5" fillId="0" borderId="1" xfId="0" applyNumberFormat="1" applyFont="1" applyFill="1" applyBorder="1" applyAlignment="1">
      <alignment horizontal="center" vertical="center" wrapText="1"/>
    </xf>
    <xf numFmtId="168" fontId="6" fillId="0" borderId="8" xfId="0" applyNumberFormat="1" applyFont="1" applyFill="1" applyBorder="1" applyAlignment="1">
      <alignment horizontal="center" vertical="center" wrapText="1"/>
    </xf>
    <xf numFmtId="168" fontId="6" fillId="0" borderId="1" xfId="5253" applyNumberFormat="1" applyFont="1" applyFill="1" applyBorder="1" applyAlignment="1">
      <alignment horizontal="center" vertical="center" wrapText="1"/>
    </xf>
    <xf numFmtId="168" fontId="5" fillId="0" borderId="1" xfId="5253" applyNumberFormat="1" applyFont="1" applyFill="1" applyBorder="1" applyAlignment="1">
      <alignment horizontal="center" vertical="center" wrapText="1"/>
    </xf>
    <xf numFmtId="168" fontId="5" fillId="0" borderId="8" xfId="5253" applyNumberFormat="1" applyFont="1" applyFill="1" applyBorder="1" applyAlignment="1">
      <alignment horizontal="center" vertical="center" wrapText="1"/>
    </xf>
    <xf numFmtId="168" fontId="5" fillId="0" borderId="13" xfId="5253" applyNumberFormat="1" applyFont="1" applyFill="1" applyBorder="1" applyAlignment="1">
      <alignment horizontal="center" vertical="center" wrapText="1"/>
    </xf>
    <xf numFmtId="168" fontId="191" fillId="0" borderId="37" xfId="0" applyNumberFormat="1" applyFont="1" applyFill="1" applyBorder="1" applyAlignment="1">
      <alignment horizontal="center" vertical="center" wrapText="1"/>
    </xf>
    <xf numFmtId="168" fontId="185" fillId="0" borderId="1" xfId="0" applyNumberFormat="1" applyFont="1" applyFill="1" applyBorder="1" applyAlignment="1">
      <alignment horizontal="center" vertical="center" wrapText="1"/>
    </xf>
    <xf numFmtId="168" fontId="185" fillId="0" borderId="1" xfId="5253" applyNumberFormat="1" applyFont="1" applyFill="1" applyBorder="1" applyAlignment="1">
      <alignment horizontal="center" vertical="center" wrapText="1"/>
    </xf>
    <xf numFmtId="10" fontId="6" fillId="0" borderId="1" xfId="5253" applyNumberFormat="1" applyFont="1" applyFill="1" applyBorder="1" applyAlignment="1">
      <alignment horizontal="center" vertical="center" wrapText="1"/>
    </xf>
    <xf numFmtId="168" fontId="185" fillId="0" borderId="0" xfId="0" applyNumberFormat="1" applyFont="1" applyFill="1" applyAlignment="1">
      <alignment wrapText="1"/>
    </xf>
    <xf numFmtId="168" fontId="6" fillId="0" borderId="1" xfId="0" applyNumberFormat="1" applyFont="1" applyFill="1" applyBorder="1" applyAlignment="1">
      <alignment horizontal="center" vertical="center" wrapText="1"/>
    </xf>
    <xf numFmtId="168" fontId="192" fillId="0" borderId="1" xfId="0" quotePrefix="1" applyNumberFormat="1" applyFont="1" applyFill="1" applyBorder="1" applyAlignment="1">
      <alignment vertical="center" wrapText="1"/>
    </xf>
    <xf numFmtId="168" fontId="6" fillId="0" borderId="1" xfId="0" applyNumberFormat="1" applyFont="1" applyFill="1" applyBorder="1" applyAlignment="1">
      <alignment horizontal="right" vertical="center" wrapText="1"/>
    </xf>
    <xf numFmtId="168" fontId="6" fillId="0" borderId="0" xfId="0" applyNumberFormat="1" applyFont="1" applyFill="1" applyAlignment="1">
      <alignment wrapText="1"/>
    </xf>
    <xf numFmtId="168" fontId="185" fillId="0" borderId="1" xfId="0" applyNumberFormat="1" applyFont="1" applyFill="1" applyBorder="1" applyAlignment="1">
      <alignment vertical="center" wrapText="1"/>
    </xf>
    <xf numFmtId="10" fontId="185" fillId="0" borderId="1" xfId="5253" applyNumberFormat="1" applyFont="1" applyFill="1" applyBorder="1" applyAlignment="1">
      <alignment horizontal="center" vertical="center" wrapText="1"/>
    </xf>
    <xf numFmtId="168" fontId="193" fillId="0" borderId="1" xfId="5253" applyNumberFormat="1" applyFont="1" applyFill="1" applyBorder="1" applyAlignment="1">
      <alignment horizontal="center" vertical="center" wrapText="1"/>
    </xf>
    <xf numFmtId="168" fontId="185" fillId="0" borderId="0" xfId="0" applyNumberFormat="1" applyFont="1" applyFill="1"/>
    <xf numFmtId="168" fontId="5" fillId="0" borderId="37" xfId="5254" applyNumberFormat="1" applyFont="1" applyFill="1" applyBorder="1" applyAlignment="1">
      <alignment horizontal="center" vertical="center" wrapText="1"/>
    </xf>
    <xf numFmtId="168" fontId="5" fillId="0" borderId="1" xfId="0" applyNumberFormat="1" applyFont="1" applyFill="1" applyBorder="1" applyAlignment="1">
      <alignment horizontal="left" vertical="center" wrapText="1"/>
    </xf>
    <xf numFmtId="168" fontId="5" fillId="0" borderId="1" xfId="0" applyNumberFormat="1" applyFont="1" applyFill="1" applyBorder="1" applyAlignment="1">
      <alignment vertical="center" wrapText="1"/>
    </xf>
    <xf numFmtId="168" fontId="194" fillId="0" borderId="1" xfId="1555" applyNumberFormat="1" applyFont="1" applyBorder="1" applyAlignment="1">
      <alignment horizontal="center" vertical="center" wrapText="1"/>
    </xf>
    <xf numFmtId="168" fontId="195" fillId="0" borderId="1" xfId="5253" applyNumberFormat="1" applyFont="1" applyFill="1" applyBorder="1" applyAlignment="1">
      <alignment horizontal="center" vertical="center" wrapText="1"/>
    </xf>
    <xf numFmtId="168" fontId="5" fillId="0" borderId="0" xfId="0" applyNumberFormat="1" applyFont="1" applyFill="1"/>
    <xf numFmtId="168" fontId="9" fillId="0" borderId="1" xfId="5254" applyNumberFormat="1" applyFont="1" applyFill="1" applyBorder="1" applyAlignment="1">
      <alignment horizontal="left" vertical="center" wrapText="1"/>
    </xf>
    <xf numFmtId="168" fontId="9" fillId="0" borderId="1" xfId="0" applyNumberFormat="1" applyFont="1" applyFill="1" applyBorder="1" applyAlignment="1">
      <alignment horizontal="left" vertical="center" wrapText="1"/>
    </xf>
    <xf numFmtId="168" fontId="9" fillId="0" borderId="1" xfId="2966" applyNumberFormat="1" applyFont="1" applyFill="1" applyBorder="1" applyAlignment="1">
      <alignment vertical="center" wrapText="1"/>
    </xf>
    <xf numFmtId="168" fontId="9" fillId="0" borderId="1" xfId="0" applyNumberFormat="1" applyFont="1" applyFill="1" applyBorder="1" applyAlignment="1">
      <alignment vertical="center" wrapText="1"/>
    </xf>
    <xf numFmtId="0" fontId="9" fillId="0" borderId="1" xfId="0" applyFont="1" applyFill="1" applyBorder="1" applyAlignment="1">
      <alignment wrapText="1"/>
    </xf>
    <xf numFmtId="168" fontId="5" fillId="0" borderId="1" xfId="5253" applyNumberFormat="1" applyFont="1" applyFill="1" applyBorder="1" applyAlignment="1">
      <alignment horizontal="right" vertical="center" wrapText="1"/>
    </xf>
    <xf numFmtId="168" fontId="9" fillId="0" borderId="0" xfId="0" applyNumberFormat="1" applyFont="1" applyFill="1" applyAlignment="1">
      <alignment horizontal="center"/>
    </xf>
    <xf numFmtId="168" fontId="5" fillId="0" borderId="0" xfId="1555" applyNumberFormat="1" applyFont="1"/>
    <xf numFmtId="0" fontId="5" fillId="0" borderId="0" xfId="0" applyFont="1"/>
    <xf numFmtId="0" fontId="5" fillId="0" borderId="0" xfId="0" applyFont="1" applyAlignment="1">
      <alignment horizontal="center"/>
    </xf>
    <xf numFmtId="168" fontId="5" fillId="0" borderId="0" xfId="1555" applyNumberFormat="1" applyFont="1" applyAlignment="1">
      <alignment horizontal="center"/>
    </xf>
    <xf numFmtId="0" fontId="6" fillId="0" borderId="0" xfId="0" applyFont="1"/>
    <xf numFmtId="0" fontId="6" fillId="0" borderId="0" xfId="0" applyFont="1" applyAlignment="1">
      <alignment horizontal="right"/>
    </xf>
    <xf numFmtId="168" fontId="6" fillId="0" borderId="0" xfId="1555" applyNumberFormat="1" applyFont="1"/>
    <xf numFmtId="168" fontId="5" fillId="0" borderId="0" xfId="0" applyNumberFormat="1" applyFont="1"/>
    <xf numFmtId="0" fontId="5" fillId="0" borderId="1" xfId="0" applyFont="1" applyBorder="1" applyAlignment="1">
      <alignment horizontal="center" vertical="center" wrapText="1"/>
    </xf>
    <xf numFmtId="168" fontId="5" fillId="0" borderId="1" xfId="1555" applyNumberFormat="1"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168" fontId="6" fillId="0" borderId="1" xfId="1555" applyNumberFormat="1" applyFont="1" applyBorder="1" applyAlignment="1">
      <alignment vertical="center" wrapText="1"/>
    </xf>
    <xf numFmtId="168" fontId="5" fillId="0" borderId="1" xfId="1555" applyNumberFormat="1" applyFont="1" applyBorder="1" applyAlignment="1">
      <alignment vertical="center" wrapText="1"/>
    </xf>
    <xf numFmtId="0" fontId="6" fillId="0" borderId="1" xfId="0" applyFont="1" applyBorder="1" applyAlignment="1">
      <alignment horizontal="center" vertical="center" wrapText="1"/>
    </xf>
    <xf numFmtId="168" fontId="6" fillId="0" borderId="1" xfId="1555" applyNumberFormat="1" applyFont="1" applyBorder="1" applyAlignment="1">
      <alignment horizontal="center" vertical="center" wrapText="1"/>
    </xf>
    <xf numFmtId="168" fontId="6" fillId="0" borderId="1" xfId="1555" applyNumberFormat="1" applyFont="1" applyBorder="1" applyAlignment="1">
      <alignment horizontal="right" vertical="center" wrapText="1"/>
    </xf>
    <xf numFmtId="168" fontId="5" fillId="0" borderId="1" xfId="1555" applyNumberFormat="1" applyFont="1" applyBorder="1" applyAlignment="1">
      <alignment horizontal="right" vertical="center" wrapText="1"/>
    </xf>
    <xf numFmtId="0" fontId="6" fillId="51" borderId="1" xfId="0" applyFont="1" applyFill="1" applyBorder="1" applyAlignment="1">
      <alignment horizontal="center" vertical="center" wrapText="1"/>
    </xf>
    <xf numFmtId="0" fontId="6" fillId="51" borderId="1" xfId="0" applyFont="1" applyFill="1" applyBorder="1" applyAlignment="1">
      <alignment vertical="center" wrapText="1"/>
    </xf>
    <xf numFmtId="168" fontId="6" fillId="51" borderId="1" xfId="1555" applyNumberFormat="1" applyFont="1" applyFill="1" applyBorder="1" applyAlignment="1">
      <alignment horizontal="center" vertical="center" wrapText="1"/>
    </xf>
    <xf numFmtId="168" fontId="6" fillId="51" borderId="1" xfId="1555" applyNumberFormat="1" applyFont="1" applyFill="1" applyBorder="1" applyAlignment="1">
      <alignment horizontal="right" vertical="center" wrapText="1"/>
    </xf>
    <xf numFmtId="168" fontId="6" fillId="51" borderId="1" xfId="1555" applyNumberFormat="1" applyFont="1" applyFill="1" applyBorder="1" applyAlignment="1">
      <alignment vertical="center" wrapText="1"/>
    </xf>
    <xf numFmtId="168" fontId="6" fillId="51" borderId="0" xfId="1555" applyNumberFormat="1" applyFont="1" applyFill="1"/>
    <xf numFmtId="0" fontId="6" fillId="51" borderId="0" xfId="0" applyFont="1" applyFill="1"/>
    <xf numFmtId="0" fontId="9" fillId="0" borderId="1" xfId="0" quotePrefix="1" applyFont="1" applyFill="1" applyBorder="1" applyAlignment="1">
      <alignment horizontal="center" vertical="center" wrapText="1"/>
    </xf>
    <xf numFmtId="0" fontId="5" fillId="0" borderId="1" xfId="0" quotePrefix="1" applyFont="1" applyBorder="1" applyAlignment="1">
      <alignment horizontal="center" vertical="center" wrapText="1"/>
    </xf>
    <xf numFmtId="168" fontId="6" fillId="0" borderId="1" xfId="1555" applyNumberFormat="1" applyFont="1" applyFill="1" applyBorder="1" applyAlignment="1">
      <alignment horizontal="righ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168" fontId="5" fillId="0" borderId="1" xfId="1555" applyNumberFormat="1" applyFont="1" applyFill="1" applyBorder="1" applyAlignment="1">
      <alignment horizontal="center" vertical="center" wrapText="1"/>
    </xf>
    <xf numFmtId="168" fontId="5" fillId="0" borderId="1" xfId="1555" applyNumberFormat="1" applyFont="1" applyFill="1" applyBorder="1" applyAlignment="1">
      <alignment horizontal="right" vertical="center" wrapText="1"/>
    </xf>
    <xf numFmtId="168" fontId="5" fillId="0" borderId="1" xfId="1555" applyNumberFormat="1" applyFont="1" applyFill="1" applyBorder="1" applyAlignment="1">
      <alignment vertical="center" wrapText="1"/>
    </xf>
    <xf numFmtId="168" fontId="5" fillId="0" borderId="0" xfId="1555" applyNumberFormat="1" applyFont="1" applyFill="1"/>
    <xf numFmtId="0" fontId="5" fillId="0" borderId="0" xfId="0" applyFont="1" applyFill="1"/>
    <xf numFmtId="0" fontId="5" fillId="0" borderId="1" xfId="0" quotePrefix="1" applyFont="1" applyFill="1" applyBorder="1" applyAlignment="1">
      <alignment horizontal="center" vertical="center" wrapText="1"/>
    </xf>
    <xf numFmtId="0" fontId="192" fillId="0" borderId="1" xfId="0" applyFont="1" applyBorder="1" applyAlignment="1">
      <alignment horizontal="center" vertical="center" wrapText="1"/>
    </xf>
    <xf numFmtId="0" fontId="192" fillId="0" borderId="1" xfId="0" applyFont="1" applyBorder="1" applyAlignment="1">
      <alignment vertical="center" wrapText="1"/>
    </xf>
    <xf numFmtId="168" fontId="192" fillId="0" borderId="1" xfId="1555" applyNumberFormat="1" applyFont="1" applyBorder="1" applyAlignment="1">
      <alignment horizontal="center" vertical="center" wrapText="1"/>
    </xf>
    <xf numFmtId="168" fontId="192" fillId="0" borderId="1" xfId="1555" applyNumberFormat="1" applyFont="1" applyBorder="1" applyAlignment="1">
      <alignment horizontal="right" vertical="center" wrapText="1"/>
    </xf>
    <xf numFmtId="168" fontId="192" fillId="0" borderId="1" xfId="1555" applyNumberFormat="1" applyFont="1" applyBorder="1" applyAlignment="1">
      <alignment vertical="center" wrapText="1"/>
    </xf>
    <xf numFmtId="168" fontId="192" fillId="0" borderId="0" xfId="1555" applyNumberFormat="1" applyFont="1"/>
    <xf numFmtId="0" fontId="192" fillId="0" borderId="0" xfId="0" applyFont="1"/>
    <xf numFmtId="0" fontId="9" fillId="0" borderId="2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 xfId="0" applyFont="1" applyBorder="1" applyAlignment="1">
      <alignment horizontal="center" vertical="center" wrapText="1"/>
    </xf>
    <xf numFmtId="168" fontId="6" fillId="0" borderId="1" xfId="1555" applyNumberFormat="1" applyFont="1" applyBorder="1" applyAlignment="1">
      <alignment horizontal="center" vertical="center" wrapText="1"/>
    </xf>
    <xf numFmtId="168" fontId="5" fillId="0" borderId="1" xfId="1555" applyNumberFormat="1" applyFont="1" applyBorder="1" applyAlignment="1">
      <alignment horizontal="center" vertical="center" wrapText="1"/>
    </xf>
    <xf numFmtId="0" fontId="6" fillId="0" borderId="1" xfId="0" applyFont="1" applyBorder="1" applyAlignment="1">
      <alignment horizontal="center" vertical="center" wrapText="1"/>
    </xf>
    <xf numFmtId="168" fontId="5" fillId="0" borderId="0" xfId="1555" applyNumberFormat="1" applyFont="1"/>
    <xf numFmtId="168" fontId="5" fillId="0" borderId="0" xfId="1555" applyNumberFormat="1" applyFont="1"/>
    <xf numFmtId="168" fontId="6" fillId="0" borderId="0" xfId="0" applyNumberFormat="1" applyFont="1"/>
    <xf numFmtId="168" fontId="198" fillId="52" borderId="0" xfId="1555" applyNumberFormat="1" applyFont="1" applyFill="1"/>
    <xf numFmtId="168" fontId="199" fillId="51" borderId="1" xfId="1555" applyNumberFormat="1" applyFont="1" applyFill="1" applyBorder="1" applyAlignment="1">
      <alignment horizontal="center" vertical="center" wrapText="1"/>
    </xf>
    <xf numFmtId="0" fontId="5" fillId="0" borderId="27" xfId="0" applyFont="1" applyFill="1" applyBorder="1" applyAlignment="1">
      <alignment horizontal="center" vertical="center" wrapText="1"/>
    </xf>
    <xf numFmtId="0" fontId="199" fillId="51" borderId="1" xfId="0" applyFont="1" applyFill="1" applyBorder="1" applyAlignment="1">
      <alignment horizontal="center" vertical="center" wrapText="1"/>
    </xf>
    <xf numFmtId="0" fontId="199" fillId="51" borderId="1" xfId="0" applyFont="1" applyFill="1" applyBorder="1" applyAlignment="1">
      <alignment vertical="center" wrapText="1"/>
    </xf>
    <xf numFmtId="0" fontId="5" fillId="0" borderId="27" xfId="0" applyFont="1" applyFill="1" applyBorder="1" applyAlignment="1">
      <alignment horizontal="center" vertical="center" wrapText="1"/>
    </xf>
    <xf numFmtId="0" fontId="5" fillId="0" borderId="27" xfId="0" quotePrefix="1" applyFont="1" applyFill="1" applyBorder="1" applyAlignment="1">
      <alignment horizontal="center" vertical="center" wrapText="1"/>
    </xf>
    <xf numFmtId="168" fontId="199" fillId="51" borderId="1" xfId="1555" applyNumberFormat="1" applyFont="1" applyFill="1" applyBorder="1" applyAlignment="1">
      <alignment horizontal="right" vertical="center" wrapText="1"/>
    </xf>
    <xf numFmtId="168" fontId="199" fillId="51" borderId="1" xfId="1555" applyNumberFormat="1" applyFont="1" applyFill="1" applyBorder="1" applyAlignment="1">
      <alignment vertical="center" wrapText="1"/>
    </xf>
    <xf numFmtId="168" fontId="199" fillId="51" borderId="0" xfId="1555" applyNumberFormat="1" applyFont="1" applyFill="1"/>
    <xf numFmtId="168" fontId="199" fillId="51" borderId="0" xfId="0" applyNumberFormat="1" applyFont="1" applyFill="1"/>
    <xf numFmtId="0" fontId="199" fillId="51" borderId="0" xfId="0" applyFont="1" applyFill="1"/>
    <xf numFmtId="0" fontId="198" fillId="0" borderId="0" xfId="0" applyFont="1" applyAlignment="1">
      <alignment horizontal="center"/>
    </xf>
    <xf numFmtId="0" fontId="198" fillId="0" borderId="0" xfId="0" applyFont="1"/>
    <xf numFmtId="168" fontId="198" fillId="0" borderId="0" xfId="1555" applyNumberFormat="1" applyFont="1" applyAlignment="1">
      <alignment horizontal="center"/>
    </xf>
    <xf numFmtId="168" fontId="200" fillId="0" borderId="0" xfId="1555" applyNumberFormat="1" applyFont="1"/>
    <xf numFmtId="168" fontId="198" fillId="0" borderId="0" xfId="1555" applyNumberFormat="1" applyFont="1"/>
    <xf numFmtId="168" fontId="200" fillId="0" borderId="0" xfId="0" applyNumberFormat="1" applyFont="1"/>
    <xf numFmtId="0" fontId="199" fillId="0" borderId="1" xfId="0" applyFont="1" applyFill="1" applyBorder="1" applyAlignment="1">
      <alignment horizontal="center" vertical="center" wrapText="1"/>
    </xf>
    <xf numFmtId="0" fontId="199" fillId="0" borderId="1" xfId="0" applyFont="1" applyFill="1" applyBorder="1" applyAlignment="1">
      <alignment vertical="center" wrapText="1"/>
    </xf>
    <xf numFmtId="168" fontId="199" fillId="0" borderId="1" xfId="1555" applyNumberFormat="1" applyFont="1" applyFill="1" applyBorder="1" applyAlignment="1">
      <alignment horizontal="center" vertical="center" wrapText="1"/>
    </xf>
    <xf numFmtId="168" fontId="199" fillId="0" borderId="1" xfId="1555" applyNumberFormat="1" applyFont="1" applyFill="1" applyBorder="1" applyAlignment="1">
      <alignment horizontal="right" vertical="center" wrapText="1"/>
    </xf>
    <xf numFmtId="168" fontId="199" fillId="0" borderId="1" xfId="1555" applyNumberFormat="1" applyFont="1" applyFill="1" applyBorder="1" applyAlignment="1">
      <alignment vertical="center" wrapText="1"/>
    </xf>
    <xf numFmtId="168" fontId="199" fillId="0" borderId="0" xfId="1555" applyNumberFormat="1" applyFont="1" applyFill="1"/>
    <xf numFmtId="168" fontId="199" fillId="0" borderId="0" xfId="0" applyNumberFormat="1" applyFont="1" applyFill="1"/>
    <xf numFmtId="0" fontId="199" fillId="0" borderId="0" xfId="0" applyFont="1" applyFill="1"/>
    <xf numFmtId="0" fontId="201" fillId="0" borderId="1" xfId="0" applyFont="1" applyFill="1" applyBorder="1" applyAlignment="1">
      <alignment horizontal="center" vertical="center" wrapText="1"/>
    </xf>
    <xf numFmtId="0" fontId="201" fillId="0" borderId="1" xfId="0" applyFont="1" applyFill="1" applyBorder="1" applyAlignment="1">
      <alignment vertical="center" wrapText="1"/>
    </xf>
    <xf numFmtId="168" fontId="201" fillId="0" borderId="1" xfId="1555" applyNumberFormat="1" applyFont="1" applyFill="1" applyBorder="1" applyAlignment="1">
      <alignment horizontal="center" vertical="center" wrapText="1"/>
    </xf>
    <xf numFmtId="0" fontId="201" fillId="0" borderId="27" xfId="0" quotePrefix="1" applyFont="1" applyFill="1" applyBorder="1" applyAlignment="1">
      <alignment horizontal="center" vertical="center" wrapText="1"/>
    </xf>
    <xf numFmtId="168" fontId="201" fillId="0" borderId="1" xfId="1555" applyNumberFormat="1" applyFont="1" applyFill="1" applyBorder="1" applyAlignment="1">
      <alignment horizontal="right" vertical="center" wrapText="1"/>
    </xf>
    <xf numFmtId="168" fontId="201" fillId="0" borderId="1" xfId="1555" applyNumberFormat="1" applyFont="1" applyFill="1" applyBorder="1" applyAlignment="1">
      <alignment vertical="center" wrapText="1"/>
    </xf>
    <xf numFmtId="168" fontId="201" fillId="0" borderId="0" xfId="1555" applyNumberFormat="1" applyFont="1" applyFill="1"/>
    <xf numFmtId="0" fontId="201" fillId="0" borderId="0" xfId="0" applyFont="1" applyFill="1"/>
    <xf numFmtId="0" fontId="6" fillId="0" borderId="8" xfId="0" applyFont="1" applyBorder="1" applyAlignment="1">
      <alignment horizontal="center" vertical="center" wrapText="1"/>
    </xf>
    <xf numFmtId="168" fontId="6" fillId="0" borderId="1" xfId="1555" applyNumberFormat="1" applyFont="1" applyBorder="1" applyAlignment="1">
      <alignment horizontal="center" vertical="center" wrapText="1"/>
    </xf>
    <xf numFmtId="0" fontId="6" fillId="0" borderId="1" xfId="0" applyFont="1" applyBorder="1" applyAlignment="1">
      <alignment horizontal="center" vertical="center" wrapText="1"/>
    </xf>
    <xf numFmtId="0" fontId="202" fillId="0" borderId="0" xfId="0" applyFont="1" applyFill="1"/>
    <xf numFmtId="168" fontId="143" fillId="0" borderId="0" xfId="1555" applyNumberFormat="1" applyFont="1" applyFill="1" applyAlignment="1">
      <alignment vertical="center"/>
    </xf>
    <xf numFmtId="0" fontId="143" fillId="0" borderId="0" xfId="0" applyFont="1" applyFill="1" applyAlignment="1">
      <alignment vertical="center"/>
    </xf>
    <xf numFmtId="0" fontId="204" fillId="0" borderId="0" xfId="0" applyFont="1" applyFill="1" applyAlignment="1">
      <alignment vertical="center"/>
    </xf>
    <xf numFmtId="0" fontId="204" fillId="0" borderId="0" xfId="0" applyFont="1" applyFill="1" applyAlignment="1">
      <alignment horizontal="center" vertical="center" wrapText="1"/>
    </xf>
    <xf numFmtId="0" fontId="143" fillId="0" borderId="0" xfId="0" applyFont="1" applyFill="1" applyAlignment="1">
      <alignment horizontal="center" vertical="center"/>
    </xf>
    <xf numFmtId="168" fontId="143" fillId="0" borderId="0" xfId="1555" applyNumberFormat="1" applyFont="1" applyFill="1" applyAlignment="1">
      <alignment horizontal="center" vertical="center"/>
    </xf>
    <xf numFmtId="0" fontId="205" fillId="0" borderId="0" xfId="0" applyFont="1" applyFill="1" applyAlignment="1">
      <alignment vertical="center"/>
    </xf>
    <xf numFmtId="168" fontId="205" fillId="0" borderId="0" xfId="1555" applyNumberFormat="1" applyFont="1" applyFill="1" applyAlignment="1">
      <alignment vertical="center"/>
    </xf>
    <xf numFmtId="168" fontId="207" fillId="0" borderId="0" xfId="1555" applyNumberFormat="1" applyFont="1" applyFill="1" applyAlignment="1">
      <alignment vertical="center"/>
    </xf>
    <xf numFmtId="0" fontId="203" fillId="0" borderId="1" xfId="0" applyFont="1" applyFill="1" applyBorder="1" applyAlignment="1">
      <alignment vertical="center" wrapText="1"/>
    </xf>
    <xf numFmtId="0" fontId="203" fillId="0" borderId="1" xfId="0" applyFont="1" applyFill="1" applyBorder="1" applyAlignment="1">
      <alignment horizontal="center" vertical="center" wrapText="1"/>
    </xf>
    <xf numFmtId="0" fontId="203" fillId="0" borderId="1" xfId="0" applyFont="1" applyFill="1" applyBorder="1" applyAlignment="1">
      <alignment horizontal="left" vertical="center" wrapText="1"/>
    </xf>
    <xf numFmtId="168" fontId="203" fillId="0" borderId="1" xfId="5258" applyNumberFormat="1" applyFont="1" applyFill="1" applyBorder="1" applyAlignment="1">
      <alignment horizontal="center" vertical="center" wrapText="1"/>
    </xf>
    <xf numFmtId="3" fontId="203" fillId="0" borderId="1" xfId="0" applyNumberFormat="1" applyFont="1" applyFill="1" applyBorder="1" applyAlignment="1">
      <alignment horizontal="center" vertical="center" wrapText="1"/>
    </xf>
    <xf numFmtId="168" fontId="203" fillId="0" borderId="1" xfId="5258" applyNumberFormat="1" applyFont="1" applyFill="1" applyBorder="1" applyAlignment="1">
      <alignment vertical="center" wrapText="1"/>
    </xf>
    <xf numFmtId="168" fontId="205" fillId="0" borderId="1" xfId="5258" quotePrefix="1" applyNumberFormat="1" applyFont="1" applyFill="1" applyBorder="1" applyAlignment="1">
      <alignment horizontal="center" vertical="center" wrapText="1"/>
    </xf>
    <xf numFmtId="168" fontId="205" fillId="0" borderId="1" xfId="5258" quotePrefix="1" applyNumberFormat="1" applyFont="1" applyFill="1" applyBorder="1" applyAlignment="1">
      <alignment vertical="center" wrapText="1"/>
    </xf>
    <xf numFmtId="168" fontId="209" fillId="0" borderId="1" xfId="5258" applyNumberFormat="1" applyFont="1" applyFill="1" applyBorder="1" applyAlignment="1">
      <alignment vertical="center" wrapText="1"/>
    </xf>
    <xf numFmtId="168" fontId="210" fillId="0" borderId="1" xfId="5258" applyNumberFormat="1" applyFont="1" applyFill="1" applyBorder="1" applyAlignment="1">
      <alignment vertical="center" wrapText="1"/>
    </xf>
    <xf numFmtId="0" fontId="209" fillId="0" borderId="1" xfId="0" applyFont="1" applyFill="1" applyBorder="1" applyAlignment="1">
      <alignment horizontal="center" vertical="center" wrapText="1"/>
    </xf>
    <xf numFmtId="0" fontId="209" fillId="0" borderId="1" xfId="0" applyFont="1" applyFill="1" applyBorder="1" applyAlignment="1">
      <alignment horizontal="left" vertical="center" wrapText="1"/>
    </xf>
    <xf numFmtId="168" fontId="209" fillId="0" borderId="1" xfId="5258" applyNumberFormat="1" applyFont="1" applyFill="1" applyBorder="1" applyAlignment="1">
      <alignment horizontal="center" vertical="center" wrapText="1"/>
    </xf>
    <xf numFmtId="168" fontId="208" fillId="0" borderId="1" xfId="5258" quotePrefix="1" applyNumberFormat="1" applyFont="1" applyFill="1" applyBorder="1" applyAlignment="1">
      <alignment vertical="center" wrapText="1"/>
    </xf>
    <xf numFmtId="168" fontId="208" fillId="0" borderId="1" xfId="5258" quotePrefix="1" applyNumberFormat="1" applyFont="1" applyFill="1" applyBorder="1" applyAlignment="1">
      <alignment horizontal="center" vertical="center" wrapText="1"/>
    </xf>
    <xf numFmtId="168" fontId="205" fillId="0" borderId="1" xfId="5258" applyNumberFormat="1" applyFont="1" applyFill="1" applyBorder="1" applyAlignment="1">
      <alignment horizontal="center" vertical="center"/>
    </xf>
    <xf numFmtId="0" fontId="211" fillId="0" borderId="1" xfId="0" applyFont="1" applyFill="1" applyBorder="1" applyAlignment="1">
      <alignment horizontal="center" vertical="center" wrapText="1"/>
    </xf>
    <xf numFmtId="0" fontId="211" fillId="0" borderId="1" xfId="0" applyFont="1" applyFill="1" applyBorder="1" applyAlignment="1">
      <alignment horizontal="left" vertical="center" wrapText="1"/>
    </xf>
    <xf numFmtId="168" fontId="211" fillId="0" borderId="1" xfId="5258" applyNumberFormat="1" applyFont="1" applyFill="1" applyBorder="1" applyAlignment="1">
      <alignment horizontal="center" vertical="center" wrapText="1"/>
    </xf>
    <xf numFmtId="168" fontId="211" fillId="0" borderId="1" xfId="5258" applyNumberFormat="1" applyFont="1" applyFill="1" applyBorder="1" applyAlignment="1">
      <alignment vertical="center" wrapText="1"/>
    </xf>
    <xf numFmtId="168" fontId="212" fillId="0" borderId="1" xfId="5258" applyNumberFormat="1" applyFont="1" applyFill="1" applyBorder="1" applyAlignment="1">
      <alignment vertical="center" wrapText="1"/>
    </xf>
    <xf numFmtId="168" fontId="211" fillId="0" borderId="1" xfId="5258" applyNumberFormat="1" applyFont="1" applyFill="1" applyBorder="1" applyAlignment="1">
      <alignment horizontal="center" vertical="center"/>
    </xf>
    <xf numFmtId="168" fontId="143" fillId="0" borderId="1" xfId="5258" applyNumberFormat="1" applyFont="1" applyFill="1" applyBorder="1" applyAlignment="1">
      <alignment horizontal="center" vertical="center"/>
    </xf>
    <xf numFmtId="0" fontId="213" fillId="0" borderId="1" xfId="0" applyFont="1" applyFill="1" applyBorder="1" applyAlignment="1">
      <alignment horizontal="center" vertical="center" wrapText="1"/>
    </xf>
    <xf numFmtId="0" fontId="213" fillId="0" borderId="1" xfId="0" applyFont="1" applyFill="1" applyBorder="1" applyAlignment="1">
      <alignment horizontal="left" vertical="center" wrapText="1"/>
    </xf>
    <xf numFmtId="168" fontId="213" fillId="0" borderId="1" xfId="5258" applyNumberFormat="1" applyFont="1" applyFill="1" applyBorder="1" applyAlignment="1">
      <alignment horizontal="center" vertical="center" wrapText="1"/>
    </xf>
    <xf numFmtId="168" fontId="143" fillId="0" borderId="1" xfId="5258" applyNumberFormat="1" applyFont="1" applyFill="1" applyBorder="1" applyAlignment="1">
      <alignment vertical="center"/>
    </xf>
    <xf numFmtId="168" fontId="213" fillId="0" borderId="1" xfId="5258" applyNumberFormat="1" applyFont="1" applyFill="1" applyBorder="1" applyAlignment="1">
      <alignment vertical="center" wrapText="1"/>
    </xf>
    <xf numFmtId="168" fontId="143" fillId="0" borderId="1" xfId="5258" applyNumberFormat="1" applyFont="1" applyFill="1" applyBorder="1" applyAlignment="1">
      <alignment horizontal="center" vertical="center" wrapText="1"/>
    </xf>
    <xf numFmtId="0" fontId="214" fillId="0" borderId="1" xfId="0" applyFont="1" applyFill="1" applyBorder="1" applyAlignment="1">
      <alignment horizontal="left" vertical="center" wrapText="1"/>
    </xf>
    <xf numFmtId="0" fontId="214" fillId="0" borderId="1" xfId="0" applyFont="1" applyFill="1" applyBorder="1" applyAlignment="1">
      <alignment horizontal="center" vertical="center" wrapText="1"/>
    </xf>
    <xf numFmtId="168" fontId="214" fillId="0" borderId="1" xfId="5258" applyNumberFormat="1" applyFont="1" applyFill="1" applyBorder="1" applyAlignment="1">
      <alignment horizontal="center" vertical="center" wrapText="1"/>
    </xf>
    <xf numFmtId="168" fontId="214" fillId="0" borderId="1" xfId="5258" applyNumberFormat="1" applyFont="1" applyFill="1" applyBorder="1" applyAlignment="1">
      <alignment vertical="center"/>
    </xf>
    <xf numFmtId="168" fontId="214" fillId="0" borderId="1" xfId="5258" applyNumberFormat="1" applyFont="1" applyFill="1" applyBorder="1" applyAlignment="1">
      <alignment vertical="center" wrapText="1"/>
    </xf>
    <xf numFmtId="168" fontId="215" fillId="0" borderId="1" xfId="5258" applyNumberFormat="1" applyFont="1" applyFill="1" applyBorder="1" applyAlignment="1">
      <alignment vertical="center" wrapText="1"/>
    </xf>
    <xf numFmtId="242" fontId="143" fillId="0" borderId="1" xfId="5258" quotePrefix="1" applyNumberFormat="1" applyFont="1" applyFill="1" applyBorder="1" applyAlignment="1">
      <alignment horizontal="right" vertical="center" wrapText="1"/>
    </xf>
    <xf numFmtId="168" fontId="143" fillId="0" borderId="1" xfId="5258" quotePrefix="1" applyNumberFormat="1" applyFont="1" applyFill="1" applyBorder="1" applyAlignment="1">
      <alignment vertical="center" wrapText="1"/>
    </xf>
    <xf numFmtId="0" fontId="143" fillId="0" borderId="1" xfId="0" applyFont="1" applyFill="1" applyBorder="1" applyAlignment="1">
      <alignment horizontal="center" vertical="center" wrapText="1"/>
    </xf>
    <xf numFmtId="0" fontId="143" fillId="0" borderId="1" xfId="0" applyFont="1" applyFill="1" applyBorder="1" applyAlignment="1">
      <alignment horizontal="left" vertical="center" wrapText="1"/>
    </xf>
    <xf numFmtId="0" fontId="143" fillId="0" borderId="1" xfId="0" quotePrefix="1" applyFont="1" applyFill="1" applyBorder="1" applyAlignment="1">
      <alignment horizontal="center" vertical="center" wrapText="1"/>
    </xf>
    <xf numFmtId="168" fontId="143" fillId="0" borderId="1" xfId="5258" applyNumberFormat="1" applyFont="1" applyFill="1" applyBorder="1" applyAlignment="1">
      <alignment vertical="center" wrapText="1"/>
    </xf>
    <xf numFmtId="168" fontId="203" fillId="0" borderId="1" xfId="0" applyNumberFormat="1" applyFont="1" applyFill="1" applyBorder="1" applyAlignment="1">
      <alignment horizontal="center" vertical="center" wrapText="1"/>
    </xf>
    <xf numFmtId="3" fontId="143" fillId="0" borderId="1" xfId="5253" applyNumberFormat="1" applyFont="1" applyFill="1" applyBorder="1" applyAlignment="1">
      <alignment vertical="center" wrapText="1"/>
    </xf>
    <xf numFmtId="1" fontId="143" fillId="0" borderId="1" xfId="5253" applyNumberFormat="1" applyFont="1" applyFill="1" applyBorder="1" applyAlignment="1">
      <alignment vertical="center" wrapText="1"/>
    </xf>
    <xf numFmtId="0" fontId="143" fillId="0" borderId="1" xfId="0" applyFont="1" applyFill="1" applyBorder="1" applyAlignment="1">
      <alignment vertical="center" wrapText="1"/>
    </xf>
    <xf numFmtId="168" fontId="211" fillId="0" borderId="1" xfId="0" applyNumberFormat="1" applyFont="1" applyFill="1" applyBorder="1" applyAlignment="1">
      <alignment horizontal="center" vertical="center" wrapText="1"/>
    </xf>
    <xf numFmtId="168" fontId="215" fillId="0" borderId="1" xfId="5258" applyNumberFormat="1" applyFont="1" applyFill="1" applyBorder="1" applyAlignment="1">
      <alignment horizontal="center" vertical="center" wrapText="1"/>
    </xf>
    <xf numFmtId="168" fontId="215" fillId="0" borderId="1" xfId="5258" applyNumberFormat="1" applyFont="1" applyFill="1" applyBorder="1" applyAlignment="1">
      <alignment horizontal="right" vertical="center" wrapText="1"/>
    </xf>
    <xf numFmtId="1" fontId="143" fillId="0" borderId="27" xfId="5253" applyNumberFormat="1" applyFont="1" applyFill="1" applyBorder="1" applyAlignment="1">
      <alignment horizontal="center" vertical="center" wrapText="1"/>
    </xf>
    <xf numFmtId="2" fontId="143" fillId="0" borderId="27" xfId="2855" applyNumberFormat="1" applyFont="1" applyFill="1" applyBorder="1" applyAlignment="1">
      <alignment horizontal="center" vertical="center" wrapText="1"/>
    </xf>
    <xf numFmtId="168" fontId="143" fillId="0" borderId="27" xfId="5258" applyNumberFormat="1" applyFont="1" applyFill="1" applyBorder="1" applyAlignment="1">
      <alignment horizontal="right" vertical="center"/>
    </xf>
    <xf numFmtId="168" fontId="203" fillId="0" borderId="1" xfId="5258" applyNumberFormat="1" applyFont="1" applyFill="1" applyBorder="1" applyAlignment="1">
      <alignment horizontal="right" vertical="center" wrapText="1"/>
    </xf>
    <xf numFmtId="168" fontId="209" fillId="0" borderId="1" xfId="5258" applyNumberFormat="1" applyFont="1" applyFill="1" applyBorder="1" applyAlignment="1">
      <alignment horizontal="right" vertical="center" wrapText="1"/>
    </xf>
    <xf numFmtId="168" fontId="143" fillId="0" borderId="1" xfId="5258" applyNumberFormat="1" applyFont="1" applyFill="1" applyBorder="1" applyAlignment="1">
      <alignment horizontal="right" vertical="center"/>
    </xf>
    <xf numFmtId="168" fontId="213" fillId="0" borderId="1" xfId="5258" applyNumberFormat="1" applyFont="1" applyFill="1" applyBorder="1" applyAlignment="1">
      <alignment horizontal="right" vertical="center" wrapText="1"/>
    </xf>
    <xf numFmtId="168" fontId="143" fillId="0" borderId="27" xfId="5258" applyNumberFormat="1" applyFont="1" applyFill="1" applyBorder="1" applyAlignment="1">
      <alignment horizontal="center" vertical="center" wrapText="1"/>
    </xf>
    <xf numFmtId="168" fontId="210" fillId="0" borderId="1" xfId="5258" applyNumberFormat="1" applyFont="1" applyFill="1" applyBorder="1" applyAlignment="1">
      <alignment horizontal="right" vertical="center" wrapText="1"/>
    </xf>
    <xf numFmtId="1" fontId="143" fillId="0" borderId="1" xfId="5253" applyNumberFormat="1" applyFont="1" applyFill="1" applyBorder="1" applyAlignment="1">
      <alignment horizontal="center" vertical="center"/>
    </xf>
    <xf numFmtId="3" fontId="213" fillId="0" borderId="1" xfId="0" applyNumberFormat="1" applyFont="1" applyFill="1" applyBorder="1" applyAlignment="1">
      <alignment horizontal="right" vertical="center" wrapText="1"/>
    </xf>
    <xf numFmtId="1" fontId="143" fillId="0" borderId="1" xfId="5253" applyNumberFormat="1" applyFont="1" applyFill="1" applyBorder="1" applyAlignment="1">
      <alignment horizontal="center" vertical="center" wrapText="1"/>
    </xf>
    <xf numFmtId="0" fontId="205" fillId="0" borderId="0" xfId="0" applyFont="1" applyFill="1" applyAlignment="1">
      <alignment horizontal="center" vertical="center"/>
    </xf>
    <xf numFmtId="0" fontId="203" fillId="0" borderId="0" xfId="0" applyFont="1" applyFill="1" applyAlignment="1">
      <alignment vertical="center"/>
    </xf>
    <xf numFmtId="0" fontId="212" fillId="0" borderId="1" xfId="0" applyFont="1" applyFill="1" applyBorder="1" applyAlignment="1">
      <alignment horizontal="center" vertical="center" wrapText="1"/>
    </xf>
    <xf numFmtId="0" fontId="212" fillId="0" borderId="1" xfId="0" applyFont="1" applyFill="1" applyBorder="1" applyAlignment="1">
      <alignment horizontal="left" vertical="center" wrapText="1"/>
    </xf>
    <xf numFmtId="168" fontId="212" fillId="0" borderId="1" xfId="5258" applyNumberFormat="1" applyFont="1" applyFill="1" applyBorder="1" applyAlignment="1">
      <alignment horizontal="center" vertical="center" wrapText="1"/>
    </xf>
    <xf numFmtId="168" fontId="212" fillId="0" borderId="1" xfId="5258" applyNumberFormat="1" applyFont="1" applyFill="1" applyBorder="1" applyAlignment="1">
      <alignment horizontal="right" vertical="center" wrapText="1"/>
    </xf>
    <xf numFmtId="168" fontId="212" fillId="0" borderId="1" xfId="5258" applyNumberFormat="1" applyFont="1" applyFill="1" applyBorder="1" applyAlignment="1">
      <alignment horizontal="center" vertical="center"/>
    </xf>
    <xf numFmtId="168" fontId="143" fillId="0" borderId="0" xfId="1555" applyNumberFormat="1" applyFont="1" applyFill="1" applyAlignment="1">
      <alignment vertical="center"/>
    </xf>
    <xf numFmtId="168" fontId="211" fillId="0" borderId="1" xfId="5258" applyNumberFormat="1" applyFont="1" applyFill="1" applyBorder="1" applyAlignment="1">
      <alignment vertical="center"/>
    </xf>
    <xf numFmtId="0" fontId="211" fillId="0" borderId="0" xfId="0" applyFont="1" applyFill="1" applyAlignment="1">
      <alignment vertical="center"/>
    </xf>
    <xf numFmtId="168" fontId="211" fillId="0" borderId="0" xfId="1555" applyNumberFormat="1" applyFont="1" applyFill="1" applyAlignment="1">
      <alignment vertical="center"/>
    </xf>
    <xf numFmtId="0" fontId="216" fillId="0" borderId="1" xfId="0" applyFont="1" applyFill="1" applyBorder="1" applyAlignment="1">
      <alignment horizontal="center" vertical="center" wrapText="1"/>
    </xf>
    <xf numFmtId="0" fontId="216" fillId="0" borderId="1" xfId="0" applyFont="1" applyFill="1" applyBorder="1" applyAlignment="1">
      <alignment horizontal="left" vertical="center" wrapText="1"/>
    </xf>
    <xf numFmtId="168" fontId="216" fillId="0" borderId="1" xfId="5258" applyNumberFormat="1" applyFont="1" applyFill="1" applyBorder="1" applyAlignment="1">
      <alignment horizontal="center" vertical="center" wrapText="1"/>
    </xf>
    <xf numFmtId="168" fontId="216" fillId="0" borderId="1" xfId="5258" applyNumberFormat="1" applyFont="1" applyFill="1" applyBorder="1" applyAlignment="1">
      <alignment vertical="center" wrapText="1"/>
    </xf>
    <xf numFmtId="168" fontId="217" fillId="0" borderId="1" xfId="5258" applyNumberFormat="1" applyFont="1" applyFill="1" applyBorder="1" applyAlignment="1">
      <alignment vertical="center" wrapText="1"/>
    </xf>
    <xf numFmtId="0" fontId="218" fillId="0" borderId="1" xfId="0" applyFont="1" applyFill="1" applyBorder="1" applyAlignment="1">
      <alignment horizontal="center" vertical="center" wrapText="1"/>
    </xf>
    <xf numFmtId="0" fontId="218" fillId="0" borderId="1" xfId="0" applyFont="1" applyFill="1" applyBorder="1" applyAlignment="1">
      <alignment horizontal="left" vertical="center" wrapText="1"/>
    </xf>
    <xf numFmtId="168" fontId="218" fillId="0" borderId="1" xfId="5258" applyNumberFormat="1" applyFont="1" applyFill="1" applyBorder="1" applyAlignment="1">
      <alignment horizontal="center" vertical="center" wrapText="1"/>
    </xf>
    <xf numFmtId="168" fontId="7" fillId="0" borderId="1" xfId="5258" applyNumberFormat="1" applyFont="1" applyFill="1" applyBorder="1" applyAlignment="1">
      <alignment vertical="center"/>
    </xf>
    <xf numFmtId="168" fontId="218" fillId="0" borderId="1" xfId="5258" applyNumberFormat="1" applyFont="1" applyFill="1" applyBorder="1" applyAlignment="1">
      <alignment vertical="center" wrapText="1"/>
    </xf>
    <xf numFmtId="3" fontId="143" fillId="0" borderId="10" xfId="5253" applyNumberFormat="1" applyFont="1" applyFill="1" applyBorder="1" applyAlignment="1">
      <alignment horizontal="center" vertical="center" wrapText="1"/>
    </xf>
    <xf numFmtId="3" fontId="143" fillId="0" borderId="5" xfId="5253" applyNumberFormat="1" applyFont="1" applyFill="1" applyBorder="1" applyAlignment="1">
      <alignment horizontal="center" vertical="center" wrapText="1"/>
    </xf>
    <xf numFmtId="168" fontId="143" fillId="0" borderId="0" xfId="1555" applyNumberFormat="1" applyFont="1" applyFill="1" applyAlignment="1">
      <alignment vertical="center"/>
    </xf>
    <xf numFmtId="168" fontId="143" fillId="0" borderId="0" xfId="1555" applyNumberFormat="1" applyFont="1" applyFill="1" applyAlignment="1">
      <alignment vertical="center"/>
    </xf>
    <xf numFmtId="0" fontId="196" fillId="0" borderId="0" xfId="0" applyFont="1" applyAlignment="1">
      <alignment horizontal="center"/>
    </xf>
    <xf numFmtId="0" fontId="197" fillId="0" borderId="0" xfId="0" applyFont="1" applyAlignment="1">
      <alignment horizontal="center"/>
    </xf>
    <xf numFmtId="168" fontId="5" fillId="0" borderId="0" xfId="1555" applyNumberFormat="1" applyFont="1"/>
    <xf numFmtId="0" fontId="6" fillId="0" borderId="1" xfId="0" applyFont="1" applyBorder="1" applyAlignment="1">
      <alignment horizontal="center" vertical="center" wrapText="1"/>
    </xf>
    <xf numFmtId="168" fontId="6" fillId="0" borderId="1" xfId="1555" applyNumberFormat="1"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8" xfId="0" applyFont="1" applyBorder="1" applyAlignment="1">
      <alignment horizontal="center" vertical="center" wrapText="1"/>
    </xf>
    <xf numFmtId="168" fontId="5" fillId="0" borderId="1" xfId="1555"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8" xfId="0" applyFont="1" applyBorder="1" applyAlignment="1">
      <alignment horizontal="center" vertical="center" wrapText="1"/>
    </xf>
    <xf numFmtId="168" fontId="143" fillId="0" borderId="0" xfId="1555" applyNumberFormat="1" applyFont="1" applyFill="1" applyAlignment="1">
      <alignment vertical="center"/>
    </xf>
    <xf numFmtId="3" fontId="143" fillId="0" borderId="1" xfId="5253" applyNumberFormat="1" applyFont="1" applyFill="1" applyBorder="1" applyAlignment="1">
      <alignment horizontal="center" vertical="center" wrapText="1"/>
    </xf>
    <xf numFmtId="3" fontId="143" fillId="0" borderId="9" xfId="5253" applyNumberFormat="1" applyFont="1" applyFill="1" applyBorder="1" applyAlignment="1">
      <alignment horizontal="center" vertical="center" wrapText="1"/>
    </xf>
    <xf numFmtId="3" fontId="143" fillId="0" borderId="13" xfId="5253" applyNumberFormat="1" applyFont="1" applyFill="1" applyBorder="1" applyAlignment="1">
      <alignment horizontal="center" vertical="center" wrapText="1"/>
    </xf>
    <xf numFmtId="3" fontId="143" fillId="0" borderId="8" xfId="5253" applyNumberFormat="1" applyFont="1" applyFill="1" applyBorder="1" applyAlignment="1">
      <alignment horizontal="center" vertical="center" wrapText="1"/>
    </xf>
    <xf numFmtId="0" fontId="206" fillId="0" borderId="13" xfId="0" applyFont="1" applyFill="1" applyBorder="1" applyAlignment="1">
      <alignment vertical="center"/>
    </xf>
    <xf numFmtId="0" fontId="206" fillId="0" borderId="8" xfId="0" applyFont="1" applyFill="1" applyBorder="1" applyAlignment="1">
      <alignment vertical="center"/>
    </xf>
    <xf numFmtId="168" fontId="143" fillId="0" borderId="9" xfId="5258" applyNumberFormat="1" applyFont="1" applyFill="1" applyBorder="1" applyAlignment="1">
      <alignment horizontal="center" vertical="center" wrapText="1"/>
    </xf>
    <xf numFmtId="168" fontId="143" fillId="0" borderId="13" xfId="5258" applyNumberFormat="1" applyFont="1" applyFill="1" applyBorder="1" applyAlignment="1">
      <alignment horizontal="center" vertical="center" wrapText="1"/>
    </xf>
    <xf numFmtId="168" fontId="143" fillId="0" borderId="8" xfId="5258" applyNumberFormat="1" applyFont="1" applyFill="1" applyBorder="1" applyAlignment="1">
      <alignment horizontal="center" vertical="center" wrapText="1"/>
    </xf>
    <xf numFmtId="3" fontId="208" fillId="0" borderId="1" xfId="5253" applyNumberFormat="1" applyFont="1" applyFill="1" applyBorder="1" applyAlignment="1">
      <alignment horizontal="center" vertical="center" wrapText="1"/>
    </xf>
    <xf numFmtId="3" fontId="143" fillId="0" borderId="37" xfId="5253" applyNumberFormat="1" applyFont="1" applyFill="1" applyBorder="1" applyAlignment="1">
      <alignment horizontal="center" vertical="center" wrapText="1"/>
    </xf>
    <xf numFmtId="3" fontId="143" fillId="0" borderId="19" xfId="5253" applyNumberFormat="1" applyFont="1" applyFill="1" applyBorder="1" applyAlignment="1">
      <alignment horizontal="center" vertical="center" wrapText="1"/>
    </xf>
    <xf numFmtId="3" fontId="143" fillId="0" borderId="38" xfId="5253" applyNumberFormat="1" applyFont="1" applyFill="1" applyBorder="1" applyAlignment="1">
      <alignment horizontal="center" vertical="center" wrapText="1"/>
    </xf>
    <xf numFmtId="3" fontId="143" fillId="0" borderId="39" xfId="5253" applyNumberFormat="1" applyFont="1" applyFill="1" applyBorder="1" applyAlignment="1">
      <alignment horizontal="center" vertical="center" wrapText="1"/>
    </xf>
    <xf numFmtId="0" fontId="206" fillId="0" borderId="40" xfId="0" applyFont="1" applyFill="1" applyBorder="1" applyAlignment="1">
      <alignment horizontal="center" vertical="center" wrapText="1"/>
    </xf>
    <xf numFmtId="0" fontId="206" fillId="0" borderId="42" xfId="0" applyFont="1" applyFill="1" applyBorder="1" applyAlignment="1">
      <alignment horizontal="center" vertical="center" wrapText="1"/>
    </xf>
    <xf numFmtId="0" fontId="206" fillId="0" borderId="43" xfId="0" applyFont="1" applyFill="1" applyBorder="1" applyAlignment="1">
      <alignment horizontal="center" vertical="center" wrapText="1"/>
    </xf>
    <xf numFmtId="3" fontId="143" fillId="0" borderId="10" xfId="5253" applyNumberFormat="1" applyFont="1" applyFill="1" applyBorder="1" applyAlignment="1">
      <alignment horizontal="center" vertical="center" wrapText="1"/>
    </xf>
    <xf numFmtId="3" fontId="143" fillId="0" borderId="41" xfId="5253" applyNumberFormat="1" applyFont="1" applyFill="1" applyBorder="1" applyAlignment="1">
      <alignment horizontal="center" vertical="center" wrapText="1"/>
    </xf>
    <xf numFmtId="3" fontId="143" fillId="0" borderId="5" xfId="5253" applyNumberFormat="1" applyFont="1" applyFill="1" applyBorder="1" applyAlignment="1">
      <alignment horizontal="center" vertical="center" wrapText="1"/>
    </xf>
    <xf numFmtId="0" fontId="205" fillId="0" borderId="0" xfId="0" applyFont="1" applyFill="1" applyAlignment="1">
      <alignment horizontal="center" vertical="center"/>
    </xf>
    <xf numFmtId="0" fontId="219" fillId="0" borderId="0" xfId="0" applyFont="1" applyFill="1" applyAlignment="1">
      <alignment horizontal="center" vertical="center" wrapText="1"/>
    </xf>
    <xf numFmtId="0" fontId="220" fillId="0" borderId="0" xfId="0" applyFont="1" applyFill="1" applyAlignment="1">
      <alignment horizontal="center" vertical="center" wrapText="1"/>
    </xf>
    <xf numFmtId="0" fontId="221" fillId="0" borderId="5" xfId="0" applyFont="1" applyFill="1" applyBorder="1" applyAlignment="1">
      <alignment horizontal="right" vertical="center"/>
    </xf>
    <xf numFmtId="168" fontId="5" fillId="0" borderId="37" xfId="0" applyNumberFormat="1" applyFont="1" applyFill="1" applyBorder="1" applyAlignment="1">
      <alignment horizontal="center" vertical="center" wrapText="1"/>
    </xf>
    <xf numFmtId="168" fontId="6" fillId="0" borderId="1" xfId="0" applyNumberFormat="1" applyFont="1" applyFill="1" applyBorder="1" applyAlignment="1">
      <alignment horizontal="center" vertical="center" wrapText="1"/>
    </xf>
    <xf numFmtId="168" fontId="5" fillId="0" borderId="1" xfId="0" applyNumberFormat="1" applyFont="1" applyFill="1" applyBorder="1" applyAlignment="1">
      <alignment horizontal="center" vertical="center" wrapText="1"/>
    </xf>
    <xf numFmtId="168" fontId="6" fillId="0" borderId="9" xfId="0" applyNumberFormat="1" applyFont="1" applyFill="1" applyBorder="1" applyAlignment="1">
      <alignment horizontal="center" vertical="center" wrapText="1"/>
    </xf>
    <xf numFmtId="168" fontId="6" fillId="0" borderId="13" xfId="0" applyNumberFormat="1" applyFont="1" applyFill="1" applyBorder="1" applyAlignment="1">
      <alignment horizontal="center" vertical="center" wrapText="1"/>
    </xf>
    <xf numFmtId="168" fontId="6" fillId="0" borderId="8" xfId="0" applyNumberFormat="1" applyFont="1" applyFill="1" applyBorder="1" applyAlignment="1">
      <alignment horizontal="center" vertical="center" wrapText="1"/>
    </xf>
    <xf numFmtId="168" fontId="5" fillId="0" borderId="1" xfId="5253" applyNumberFormat="1" applyFont="1" applyFill="1" applyBorder="1" applyAlignment="1">
      <alignment horizontal="center" vertical="center" wrapText="1"/>
    </xf>
    <xf numFmtId="168" fontId="188" fillId="0" borderId="0" xfId="0" applyNumberFormat="1" applyFont="1" applyFill="1" applyAlignment="1">
      <alignment horizontal="right"/>
    </xf>
    <xf numFmtId="0" fontId="89" fillId="0" borderId="0" xfId="0" applyFont="1" applyFill="1" applyBorder="1" applyAlignment="1">
      <alignment horizontal="center" vertical="center" wrapText="1"/>
    </xf>
    <xf numFmtId="168" fontId="188" fillId="0" borderId="0" xfId="0" applyNumberFormat="1" applyFont="1" applyFill="1" applyBorder="1" applyAlignment="1">
      <alignment horizontal="center" vertical="center" wrapText="1"/>
    </xf>
    <xf numFmtId="168" fontId="187" fillId="0" borderId="5" xfId="0" applyNumberFormat="1" applyFont="1" applyFill="1" applyBorder="1" applyAlignment="1">
      <alignment horizontal="center" vertical="center" wrapText="1"/>
    </xf>
    <xf numFmtId="168" fontId="187" fillId="0" borderId="5" xfId="0" quotePrefix="1" applyNumberFormat="1" applyFont="1" applyFill="1" applyBorder="1" applyAlignment="1">
      <alignment horizontal="center" vertical="center" wrapText="1"/>
    </xf>
    <xf numFmtId="168" fontId="189" fillId="0" borderId="5" xfId="5253" applyNumberFormat="1" applyFont="1" applyFill="1" applyBorder="1" applyAlignment="1">
      <alignment horizontal="right" vertical="center" wrapText="1"/>
    </xf>
    <xf numFmtId="168" fontId="6" fillId="0" borderId="1" xfId="5253" applyNumberFormat="1" applyFont="1" applyFill="1" applyBorder="1" applyAlignment="1">
      <alignment horizontal="center" vertical="center" wrapText="1"/>
    </xf>
    <xf numFmtId="168" fontId="5" fillId="0" borderId="9" xfId="5253" applyNumberFormat="1" applyFont="1" applyFill="1" applyBorder="1" applyAlignment="1">
      <alignment horizontal="center" vertical="center" wrapText="1"/>
    </xf>
    <xf numFmtId="168" fontId="5" fillId="0" borderId="13" xfId="5253" applyNumberFormat="1" applyFont="1" applyFill="1" applyBorder="1" applyAlignment="1">
      <alignment horizontal="center" vertical="center" wrapText="1"/>
    </xf>
    <xf numFmtId="168" fontId="5" fillId="0" borderId="8" xfId="5253" applyNumberFormat="1" applyFont="1" applyFill="1" applyBorder="1" applyAlignment="1">
      <alignment horizontal="center" vertical="center" wrapText="1"/>
    </xf>
    <xf numFmtId="168" fontId="5" fillId="0" borderId="37" xfId="5253" applyNumberFormat="1" applyFont="1" applyFill="1" applyBorder="1" applyAlignment="1">
      <alignment horizontal="center" vertical="center" wrapText="1"/>
    </xf>
    <xf numFmtId="168" fontId="5" fillId="0" borderId="19" xfId="5253" applyNumberFormat="1" applyFont="1" applyFill="1" applyBorder="1" applyAlignment="1">
      <alignment horizontal="center" vertical="center" wrapText="1"/>
    </xf>
    <xf numFmtId="168" fontId="5" fillId="0" borderId="38" xfId="5253" applyNumberFormat="1" applyFont="1" applyFill="1" applyBorder="1" applyAlignment="1">
      <alignment horizontal="center" vertical="center" wrapText="1"/>
    </xf>
  </cellXfs>
  <cellStyles count="5270">
    <cellStyle name="_x0001_" xfId="1"/>
    <cellStyle name="          _x000a__x000a_shell=progman.exe_x000a__x000a_m" xfId="2"/>
    <cellStyle name="          _x000d__x000a_shell=progman.exe_x000d__x000a_m" xfId="3"/>
    <cellStyle name="          _x005f_x000d__x005f_x000a_shell=progman.exe_x005f_x000d__x005f_x000a_m" xfId="4"/>
    <cellStyle name="_x000d__x000a_JournalTemplate=C:\COMFO\CTALK\JOURSTD.TPL_x000d__x000a_LbStateAddress=3 3 0 251 1 89 2 311_x000d__x000a_LbStateJou" xfId="5"/>
    <cellStyle name="#,##0" xfId="6"/>
    <cellStyle name="#,##0 2" xfId="7"/>
    <cellStyle name="#,##0 2 2" xfId="8"/>
    <cellStyle name="#,##0 2 3" xfId="9"/>
    <cellStyle name="#,##0 3" xfId="10"/>
    <cellStyle name="#,##0 4" xfId="11"/>
    <cellStyle name="." xfId="12"/>
    <cellStyle name=". 2" xfId="13"/>
    <cellStyle name=". 3" xfId="14"/>
    <cellStyle name=". 3 2" xfId="15"/>
    <cellStyle name=".d©y" xfId="16"/>
    <cellStyle name="??" xfId="17"/>
    <cellStyle name="?? [0.00]_ Att. 1- Cover" xfId="18"/>
    <cellStyle name="?? [0]" xfId="19"/>
    <cellStyle name="?? [0] 2" xfId="20"/>
    <cellStyle name="?? 2" xfId="21"/>
    <cellStyle name="?? 3" xfId="22"/>
    <cellStyle name="?? 4" xfId="23"/>
    <cellStyle name="?? 5" xfId="24"/>
    <cellStyle name="?? 6" xfId="25"/>
    <cellStyle name="?? 7" xfId="26"/>
    <cellStyle name="?_x001d_??%U©÷u&amp;H©÷9_x0008_? s_x000a__x0007__x0001__x0001_" xfId="27"/>
    <cellStyle name="?_x001d_??%U©÷u&amp;H©÷9_x0008_? s_x000a__x0007__x0001__x0001_ 10" xfId="28"/>
    <cellStyle name="?_x001d_??%U©÷u&amp;H©÷9_x0008_? s_x000a__x0007__x0001__x0001_ 11" xfId="29"/>
    <cellStyle name="?_x001d_??%U©÷u&amp;H©÷9_x0008_? s_x000a__x0007__x0001__x0001_ 12" xfId="30"/>
    <cellStyle name="?_x001d_??%U©÷u&amp;H©÷9_x0008_? s_x000a__x0007__x0001__x0001_ 13" xfId="31"/>
    <cellStyle name="?_x001d_??%U©÷u&amp;H©÷9_x0008_? s_x000a__x0007__x0001__x0001_ 14" xfId="32"/>
    <cellStyle name="?_x001d_??%U©÷u&amp;H©÷9_x0008_? s_x000a__x0007__x0001__x0001_ 15" xfId="33"/>
    <cellStyle name="?_x001d_??%U©÷u&amp;H©÷9_x0008_? s_x000a__x0007__x0001__x0001_ 2" xfId="34"/>
    <cellStyle name="?_x001d_??%U©÷u&amp;H©÷9_x0008_? s_x000a__x0007__x0001__x0001_ 3" xfId="35"/>
    <cellStyle name="?_x001d_??%U©÷u&amp;H©÷9_x0008_? s_x000a__x0007__x0001__x0001_ 4" xfId="36"/>
    <cellStyle name="?_x001d_??%U©÷u&amp;H©÷9_x0008_? s_x000a__x0007__x0001__x0001_ 5" xfId="37"/>
    <cellStyle name="?_x001d_??%U©÷u&amp;H©÷9_x0008_? s_x000a__x0007__x0001__x0001_ 6" xfId="38"/>
    <cellStyle name="?_x001d_??%U©÷u&amp;H©÷9_x0008_? s_x000a__x0007__x0001__x0001_ 7" xfId="39"/>
    <cellStyle name="?_x001d_??%U©÷u&amp;H©÷9_x0008_? s_x000a__x0007__x0001__x0001_ 8" xfId="40"/>
    <cellStyle name="?_x001d_??%U©÷u&amp;H©÷9_x0008_? s_x000a__x0007__x0001__x0001_ 9" xfId="41"/>
    <cellStyle name="???? [0.00]_      " xfId="42"/>
    <cellStyle name="??????" xfId="43"/>
    <cellStyle name="????_      " xfId="44"/>
    <cellStyle name="???[0]_?? DI" xfId="45"/>
    <cellStyle name="???_?? DI" xfId="46"/>
    <cellStyle name="??[0]_BRE" xfId="47"/>
    <cellStyle name="??_      " xfId="48"/>
    <cellStyle name="??A? [0]_laroux_1_¢¬???¢â? " xfId="49"/>
    <cellStyle name="??A?_laroux_1_¢¬???¢â? " xfId="50"/>
    <cellStyle name="?_x005f_x001d_??%U©÷u&amp;H©÷9_x005f_x0008_? s_x005f_x000a__x005f_x0007__x005f_x0001__x005f_x0001_" xfId="51"/>
    <cellStyle name="?_x005f_x001d_??%U©÷u&amp;H©÷9_x005f_x0008_?_x005f_x0009_s_x005f_x000a__x005f_x0007__x005f_x0001__x005f_x0001_" xfId="52"/>
    <cellStyle name="?_x005f_x005f_x005f_x001d_??%U©÷u&amp;H©÷9_x005f_x005f_x005f_x0008_? s_x005f_x005f_x005f_x000a__x005f_x005f_x005f_x0007__x005f_x005f_x005f_x0001__x005f_x005f_x005f_x0001_" xfId="53"/>
    <cellStyle name="?¡±¢¥?_?¨ù??¢´¢¥_¢¬???¢â? " xfId="54"/>
    <cellStyle name="?ðÇ%U?&amp;H?_x0008_?s_x000a__x0007__x0001__x0001_" xfId="55"/>
    <cellStyle name="?ðÇ%U?&amp;H?_x0008_?s_x000a__x0007__x0001__x0001_ 10" xfId="56"/>
    <cellStyle name="?ðÇ%U?&amp;H?_x0008_?s_x000a__x0007__x0001__x0001_ 11" xfId="57"/>
    <cellStyle name="?ðÇ%U?&amp;H?_x0008_?s_x000a__x0007__x0001__x0001_ 12" xfId="58"/>
    <cellStyle name="?ðÇ%U?&amp;H?_x0008_?s_x000a__x0007__x0001__x0001_ 13" xfId="59"/>
    <cellStyle name="?ðÇ%U?&amp;H?_x0008_?s_x000a__x0007__x0001__x0001_ 14" xfId="60"/>
    <cellStyle name="?ðÇ%U?&amp;H?_x0008_?s_x000a__x0007__x0001__x0001_ 15" xfId="61"/>
    <cellStyle name="?ðÇ%U?&amp;H?_x0008_?s_x000a__x0007__x0001__x0001_ 2" xfId="62"/>
    <cellStyle name="?ðÇ%U?&amp;H?_x0008_?s_x000a__x0007__x0001__x0001_ 3" xfId="63"/>
    <cellStyle name="?ðÇ%U?&amp;H?_x0008_?s_x000a__x0007__x0001__x0001_ 4" xfId="64"/>
    <cellStyle name="?ðÇ%U?&amp;H?_x0008_?s_x000a__x0007__x0001__x0001_ 5" xfId="65"/>
    <cellStyle name="?ðÇ%U?&amp;H?_x0008_?s_x000a__x0007__x0001__x0001_ 6" xfId="66"/>
    <cellStyle name="?ðÇ%U?&amp;H?_x0008_?s_x000a__x0007__x0001__x0001_ 7" xfId="67"/>
    <cellStyle name="?ðÇ%U?&amp;H?_x0008_?s_x000a__x0007__x0001__x0001_ 8" xfId="68"/>
    <cellStyle name="?ðÇ%U?&amp;H?_x0008_?s_x000a__x0007__x0001__x0001_ 9" xfId="69"/>
    <cellStyle name="?ðÇ%U?&amp;H?_x005f_x0008_?s_x005f_x000a__x005f_x0007__x005f_x0001__x005f_x0001_" xfId="70"/>
    <cellStyle name="@ET_Style?.font5" xfId="71"/>
    <cellStyle name="[0]_Chi phÝ kh¸c_V" xfId="72"/>
    <cellStyle name="_!1 1 bao cao giao KH ve HTCMT vung TNB   12-12-2011" xfId="73"/>
    <cellStyle name="_x0001__!1 1 bao cao giao KH ve HTCMT vung TNB   12-12-2011" xfId="74"/>
    <cellStyle name="_1 TONG HOP - CA NA" xfId="75"/>
    <cellStyle name="_123_DONG_THANH_Moi" xfId="76"/>
    <cellStyle name="_123_DONG_THANH_Moi_!1 1 bao cao giao KH ve HTCMT vung TNB   12-12-2011" xfId="77"/>
    <cellStyle name="_123_DONG_THANH_Moi_KH TPCP vung TNB (03-1-2012)" xfId="78"/>
    <cellStyle name="_Bang Chi tieu (2)" xfId="79"/>
    <cellStyle name="_BAO GIA NGAY 24-10-08 (co dam)" xfId="80"/>
    <cellStyle name="_BC  NAM 2007" xfId="81"/>
    <cellStyle name="_BC CV 6403 BKHĐT" xfId="82"/>
    <cellStyle name="_BC thuc hien KH 2009" xfId="83"/>
    <cellStyle name="_BC thuc hien KH 2009_15_10_2013 BC nhu cau von doi ung ODA (2014-2016) ngay 15102013 Sua" xfId="84"/>
    <cellStyle name="_BC thuc hien KH 2009_BC nhu cau von doi ung ODA nganh NN (BKH)" xfId="85"/>
    <cellStyle name="_BC thuc hien KH 2009_BC nhu cau von doi ung ODA nganh NN (BKH)_05-12  KH trung han 2016-2020 - Liem Thinh edited" xfId="86"/>
    <cellStyle name="_BC thuc hien KH 2009_BC nhu cau von doi ung ODA nganh NN (BKH)_Copy of 05-12  KH trung han 2016-2020 - Liem Thinh edited (1)" xfId="87"/>
    <cellStyle name="_BC thuc hien KH 2009_BC Tai co cau (bieu TH)" xfId="88"/>
    <cellStyle name="_BC thuc hien KH 2009_BC Tai co cau (bieu TH)_05-12  KH trung han 2016-2020 - Liem Thinh edited" xfId="89"/>
    <cellStyle name="_BC thuc hien KH 2009_BC Tai co cau (bieu TH)_Copy of 05-12  KH trung han 2016-2020 - Liem Thinh edited (1)" xfId="90"/>
    <cellStyle name="_BC thuc hien KH 2009_DK 2014-2015 final" xfId="91"/>
    <cellStyle name="_BC thuc hien KH 2009_DK 2014-2015 final_05-12  KH trung han 2016-2020 - Liem Thinh edited" xfId="92"/>
    <cellStyle name="_BC thuc hien KH 2009_DK 2014-2015 final_Copy of 05-12  KH trung han 2016-2020 - Liem Thinh edited (1)" xfId="93"/>
    <cellStyle name="_BC thuc hien KH 2009_DK 2014-2015 new" xfId="94"/>
    <cellStyle name="_BC thuc hien KH 2009_DK 2014-2015 new_05-12  KH trung han 2016-2020 - Liem Thinh edited" xfId="95"/>
    <cellStyle name="_BC thuc hien KH 2009_DK 2014-2015 new_Copy of 05-12  KH trung han 2016-2020 - Liem Thinh edited (1)" xfId="96"/>
    <cellStyle name="_BC thuc hien KH 2009_DK KH CBDT 2014 11-11-2013" xfId="97"/>
    <cellStyle name="_BC thuc hien KH 2009_DK KH CBDT 2014 11-11-2013(1)" xfId="98"/>
    <cellStyle name="_BC thuc hien KH 2009_DK KH CBDT 2014 11-11-2013(1)_05-12  KH trung han 2016-2020 - Liem Thinh edited" xfId="99"/>
    <cellStyle name="_BC thuc hien KH 2009_DK KH CBDT 2014 11-11-2013(1)_Copy of 05-12  KH trung han 2016-2020 - Liem Thinh edited (1)" xfId="100"/>
    <cellStyle name="_BC thuc hien KH 2009_DK KH CBDT 2014 11-11-2013_05-12  KH trung han 2016-2020 - Liem Thinh edited" xfId="101"/>
    <cellStyle name="_BC thuc hien KH 2009_DK KH CBDT 2014 11-11-2013_Copy of 05-12  KH trung han 2016-2020 - Liem Thinh edited (1)" xfId="102"/>
    <cellStyle name="_BC thuc hien KH 2009_KH 2011-2015" xfId="103"/>
    <cellStyle name="_BC thuc hien KH 2009_tai co cau dau tu (tong hop)1" xfId="104"/>
    <cellStyle name="_BEN TRE" xfId="105"/>
    <cellStyle name="_Bieu mau cong trinh khoi cong moi 3-4" xfId="106"/>
    <cellStyle name="_Bieu Tay Nam Bo 25-11" xfId="107"/>
    <cellStyle name="_Bieu3ODA" xfId="108"/>
    <cellStyle name="_Bieu3ODA_1" xfId="109"/>
    <cellStyle name="_Bieu4HTMT" xfId="110"/>
    <cellStyle name="_Bieu4HTMT_!1 1 bao cao giao KH ve HTCMT vung TNB   12-12-2011" xfId="111"/>
    <cellStyle name="_Bieu4HTMT_KH TPCP vung TNB (03-1-2012)" xfId="112"/>
    <cellStyle name="_Book1" xfId="113"/>
    <cellStyle name="_Book1 2" xfId="114"/>
    <cellStyle name="_Book1_!1 1 bao cao giao KH ve HTCMT vung TNB   12-12-2011" xfId="115"/>
    <cellStyle name="_Book1_1" xfId="116"/>
    <cellStyle name="_Book1_2" xfId="117"/>
    <cellStyle name="_Book1_BC-QT-WB-dthao" xfId="118"/>
    <cellStyle name="_Book1_BC-QT-WB-dthao_05-12  KH trung han 2016-2020 - Liem Thinh edited" xfId="119"/>
    <cellStyle name="_Book1_BC-QT-WB-dthao_Copy of 05-12  KH trung han 2016-2020 - Liem Thinh edited (1)" xfId="120"/>
    <cellStyle name="_Book1_BC-QT-WB-dthao_KH TPCP 2016-2020 (tong hop)" xfId="121"/>
    <cellStyle name="_Book1_Bieu3ODA" xfId="122"/>
    <cellStyle name="_Book1_Bieu4HTMT" xfId="123"/>
    <cellStyle name="_Book1_Bieu4HTMT_!1 1 bao cao giao KH ve HTCMT vung TNB   12-12-2011" xfId="124"/>
    <cellStyle name="_Book1_Bieu4HTMT_KH TPCP vung TNB (03-1-2012)" xfId="125"/>
    <cellStyle name="_Book1_bo sung von KCH nam 2010 va Du an tre kho khan" xfId="126"/>
    <cellStyle name="_Book1_bo sung von KCH nam 2010 va Du an tre kho khan_!1 1 bao cao giao KH ve HTCMT vung TNB   12-12-2011" xfId="127"/>
    <cellStyle name="_Book1_bo sung von KCH nam 2010 va Du an tre kho khan_KH TPCP vung TNB (03-1-2012)" xfId="128"/>
    <cellStyle name="_Book1_cong hang rao" xfId="129"/>
    <cellStyle name="_Book1_cong hang rao_!1 1 bao cao giao KH ve HTCMT vung TNB   12-12-2011" xfId="130"/>
    <cellStyle name="_Book1_cong hang rao_KH TPCP vung TNB (03-1-2012)" xfId="131"/>
    <cellStyle name="_Book1_danh muc chuan bi dau tu 2011 ngay 07-6-2011" xfId="132"/>
    <cellStyle name="_Book1_danh muc chuan bi dau tu 2011 ngay 07-6-2011_!1 1 bao cao giao KH ve HTCMT vung TNB   12-12-2011" xfId="133"/>
    <cellStyle name="_Book1_danh muc chuan bi dau tu 2011 ngay 07-6-2011_KH TPCP vung TNB (03-1-2012)" xfId="134"/>
    <cellStyle name="_Book1_Danh muc pbo nguon von XSKT, XDCB nam 2009 chuyen qua nam 2010" xfId="135"/>
    <cellStyle name="_Book1_Danh muc pbo nguon von XSKT, XDCB nam 2009 chuyen qua nam 2010_!1 1 bao cao giao KH ve HTCMT vung TNB   12-12-2011" xfId="136"/>
    <cellStyle name="_Book1_Danh muc pbo nguon von XSKT, XDCB nam 2009 chuyen qua nam 2010_KH TPCP vung TNB (03-1-2012)" xfId="137"/>
    <cellStyle name="_Book1_dieu chinh KH 2011 ngay 26-5-2011111" xfId="138"/>
    <cellStyle name="_Book1_dieu chinh KH 2011 ngay 26-5-2011111_!1 1 bao cao giao KH ve HTCMT vung TNB   12-12-2011" xfId="139"/>
    <cellStyle name="_Book1_dieu chinh KH 2011 ngay 26-5-2011111_KH TPCP vung TNB (03-1-2012)" xfId="140"/>
    <cellStyle name="_Book1_DS KCH PHAN BO VON NSDP NAM 2010" xfId="141"/>
    <cellStyle name="_Book1_DS KCH PHAN BO VON NSDP NAM 2010_!1 1 bao cao giao KH ve HTCMT vung TNB   12-12-2011" xfId="142"/>
    <cellStyle name="_Book1_DS KCH PHAN BO VON NSDP NAM 2010_KH TPCP vung TNB (03-1-2012)" xfId="143"/>
    <cellStyle name="_Book1_giao KH 2011 ngay 10-12-2010" xfId="144"/>
    <cellStyle name="_Book1_giao KH 2011 ngay 10-12-2010_!1 1 bao cao giao KH ve HTCMT vung TNB   12-12-2011" xfId="145"/>
    <cellStyle name="_Book1_giao KH 2011 ngay 10-12-2010_KH TPCP vung TNB (03-1-2012)" xfId="146"/>
    <cellStyle name="_Book1_IN" xfId="147"/>
    <cellStyle name="_Book1_Kh ql62 (2010) 11-09" xfId="148"/>
    <cellStyle name="_Book1_KH TPCP vung TNB (03-1-2012)" xfId="149"/>
    <cellStyle name="_Book1_Khung 2012" xfId="150"/>
    <cellStyle name="_Book1_kien giang 2" xfId="151"/>
    <cellStyle name="_Book1_phu luc tong ket tinh hinh TH giai doan 03-10 (ngay 30)" xfId="152"/>
    <cellStyle name="_Book1_phu luc tong ket tinh hinh TH giai doan 03-10 (ngay 30)_!1 1 bao cao giao KH ve HTCMT vung TNB   12-12-2011" xfId="153"/>
    <cellStyle name="_Book1_phu luc tong ket tinh hinh TH giai doan 03-10 (ngay 30)_KH TPCP vung TNB (03-1-2012)" xfId="154"/>
    <cellStyle name="_C.cong+B.luong-Sanluong" xfId="155"/>
    <cellStyle name="_cong hang rao" xfId="156"/>
    <cellStyle name="_dien chieu sang" xfId="157"/>
    <cellStyle name="_DK KH 2009" xfId="158"/>
    <cellStyle name="_DK KH 2009_15_10_2013 BC nhu cau von doi ung ODA (2014-2016) ngay 15102013 Sua" xfId="159"/>
    <cellStyle name="_DK KH 2009_BC nhu cau von doi ung ODA nganh NN (BKH)" xfId="160"/>
    <cellStyle name="_DK KH 2009_BC nhu cau von doi ung ODA nganh NN (BKH)_05-12  KH trung han 2016-2020 - Liem Thinh edited" xfId="161"/>
    <cellStyle name="_DK KH 2009_BC nhu cau von doi ung ODA nganh NN (BKH)_Copy of 05-12  KH trung han 2016-2020 - Liem Thinh edited (1)" xfId="162"/>
    <cellStyle name="_DK KH 2009_BC Tai co cau (bieu TH)" xfId="163"/>
    <cellStyle name="_DK KH 2009_BC Tai co cau (bieu TH)_05-12  KH trung han 2016-2020 - Liem Thinh edited" xfId="164"/>
    <cellStyle name="_DK KH 2009_BC Tai co cau (bieu TH)_Copy of 05-12  KH trung han 2016-2020 - Liem Thinh edited (1)" xfId="165"/>
    <cellStyle name="_DK KH 2009_DK 2014-2015 final" xfId="166"/>
    <cellStyle name="_DK KH 2009_DK 2014-2015 final_05-12  KH trung han 2016-2020 - Liem Thinh edited" xfId="167"/>
    <cellStyle name="_DK KH 2009_DK 2014-2015 final_Copy of 05-12  KH trung han 2016-2020 - Liem Thinh edited (1)" xfId="168"/>
    <cellStyle name="_DK KH 2009_DK 2014-2015 new" xfId="169"/>
    <cellStyle name="_DK KH 2009_DK 2014-2015 new_05-12  KH trung han 2016-2020 - Liem Thinh edited" xfId="170"/>
    <cellStyle name="_DK KH 2009_DK 2014-2015 new_Copy of 05-12  KH trung han 2016-2020 - Liem Thinh edited (1)" xfId="171"/>
    <cellStyle name="_DK KH 2009_DK KH CBDT 2014 11-11-2013" xfId="172"/>
    <cellStyle name="_DK KH 2009_DK KH CBDT 2014 11-11-2013(1)" xfId="173"/>
    <cellStyle name="_DK KH 2009_DK KH CBDT 2014 11-11-2013(1)_05-12  KH trung han 2016-2020 - Liem Thinh edited" xfId="174"/>
    <cellStyle name="_DK KH 2009_DK KH CBDT 2014 11-11-2013(1)_Copy of 05-12  KH trung han 2016-2020 - Liem Thinh edited (1)" xfId="175"/>
    <cellStyle name="_DK KH 2009_DK KH CBDT 2014 11-11-2013_05-12  KH trung han 2016-2020 - Liem Thinh edited" xfId="176"/>
    <cellStyle name="_DK KH 2009_DK KH CBDT 2014 11-11-2013_Copy of 05-12  KH trung han 2016-2020 - Liem Thinh edited (1)" xfId="177"/>
    <cellStyle name="_DK KH 2009_KH 2011-2015" xfId="178"/>
    <cellStyle name="_DK KH 2009_tai co cau dau tu (tong hop)1" xfId="179"/>
    <cellStyle name="_DK KH 2010" xfId="180"/>
    <cellStyle name="_DK KH 2010 (BKH)" xfId="181"/>
    <cellStyle name="_DK KH 2010_15_10_2013 BC nhu cau von doi ung ODA (2014-2016) ngay 15102013 Sua" xfId="182"/>
    <cellStyle name="_DK KH 2010_BC nhu cau von doi ung ODA nganh NN (BKH)" xfId="183"/>
    <cellStyle name="_DK KH 2010_BC nhu cau von doi ung ODA nganh NN (BKH)_05-12  KH trung han 2016-2020 - Liem Thinh edited" xfId="184"/>
    <cellStyle name="_DK KH 2010_BC nhu cau von doi ung ODA nganh NN (BKH)_Copy of 05-12  KH trung han 2016-2020 - Liem Thinh edited (1)" xfId="185"/>
    <cellStyle name="_DK KH 2010_BC Tai co cau (bieu TH)" xfId="186"/>
    <cellStyle name="_DK KH 2010_BC Tai co cau (bieu TH)_05-12  KH trung han 2016-2020 - Liem Thinh edited" xfId="187"/>
    <cellStyle name="_DK KH 2010_BC Tai co cau (bieu TH)_Copy of 05-12  KH trung han 2016-2020 - Liem Thinh edited (1)" xfId="188"/>
    <cellStyle name="_DK KH 2010_DK 2014-2015 final" xfId="189"/>
    <cellStyle name="_DK KH 2010_DK 2014-2015 final_05-12  KH trung han 2016-2020 - Liem Thinh edited" xfId="190"/>
    <cellStyle name="_DK KH 2010_DK 2014-2015 final_Copy of 05-12  KH trung han 2016-2020 - Liem Thinh edited (1)" xfId="191"/>
    <cellStyle name="_DK KH 2010_DK 2014-2015 new" xfId="192"/>
    <cellStyle name="_DK KH 2010_DK 2014-2015 new_05-12  KH trung han 2016-2020 - Liem Thinh edited" xfId="193"/>
    <cellStyle name="_DK KH 2010_DK 2014-2015 new_Copy of 05-12  KH trung han 2016-2020 - Liem Thinh edited (1)" xfId="194"/>
    <cellStyle name="_DK KH 2010_DK KH CBDT 2014 11-11-2013" xfId="195"/>
    <cellStyle name="_DK KH 2010_DK KH CBDT 2014 11-11-2013(1)" xfId="196"/>
    <cellStyle name="_DK KH 2010_DK KH CBDT 2014 11-11-2013(1)_05-12  KH trung han 2016-2020 - Liem Thinh edited" xfId="197"/>
    <cellStyle name="_DK KH 2010_DK KH CBDT 2014 11-11-2013(1)_Copy of 05-12  KH trung han 2016-2020 - Liem Thinh edited (1)" xfId="198"/>
    <cellStyle name="_DK KH 2010_DK KH CBDT 2014 11-11-2013_05-12  KH trung han 2016-2020 - Liem Thinh edited" xfId="199"/>
    <cellStyle name="_DK KH 2010_DK KH CBDT 2014 11-11-2013_Copy of 05-12  KH trung han 2016-2020 - Liem Thinh edited (1)" xfId="200"/>
    <cellStyle name="_DK KH 2010_KH 2011-2015" xfId="201"/>
    <cellStyle name="_DK KH 2010_tai co cau dau tu (tong hop)1" xfId="202"/>
    <cellStyle name="_DK TPCP 2010" xfId="203"/>
    <cellStyle name="_DO-D1500-KHONG CO TRONG DT" xfId="204"/>
    <cellStyle name="_Dong Thap" xfId="205"/>
    <cellStyle name="_Duyet TK thay đôi" xfId="206"/>
    <cellStyle name="_Duyet TK thay đôi_!1 1 bao cao giao KH ve HTCMT vung TNB   12-12-2011" xfId="207"/>
    <cellStyle name="_Duyet TK thay đôi_Bieu4HTMT" xfId="208"/>
    <cellStyle name="_Duyet TK thay đôi_Bieu4HTMT_!1 1 bao cao giao KH ve HTCMT vung TNB   12-12-2011" xfId="209"/>
    <cellStyle name="_Duyet TK thay đôi_Bieu4HTMT_KH TPCP vung TNB (03-1-2012)" xfId="210"/>
    <cellStyle name="_Duyet TK thay đôi_KH TPCP vung TNB (03-1-2012)" xfId="211"/>
    <cellStyle name="_GOITHAUSO2" xfId="212"/>
    <cellStyle name="_GOITHAUSO3" xfId="213"/>
    <cellStyle name="_GOITHAUSO4" xfId="214"/>
    <cellStyle name="_GTGT 2003" xfId="215"/>
    <cellStyle name="_Gui VU KH 5-5-09" xfId="216"/>
    <cellStyle name="_Gui VU KH 5-5-09_05-12  KH trung han 2016-2020 - Liem Thinh edited" xfId="217"/>
    <cellStyle name="_Gui VU KH 5-5-09_Copy of 05-12  KH trung han 2016-2020 - Liem Thinh edited (1)" xfId="218"/>
    <cellStyle name="_Gui VU KH 5-5-09_KH TPCP 2016-2020 (tong hop)" xfId="219"/>
    <cellStyle name="_HaHoa_TDT_DienCSang" xfId="220"/>
    <cellStyle name="_HaHoa19-5-07" xfId="221"/>
    <cellStyle name="_Huong CHI tieu Nhiem vu CTMTQG 2014(1)" xfId="222"/>
    <cellStyle name="_IN" xfId="223"/>
    <cellStyle name="_IN_!1 1 bao cao giao KH ve HTCMT vung TNB   12-12-2011" xfId="224"/>
    <cellStyle name="_IN_KH TPCP vung TNB (03-1-2012)" xfId="225"/>
    <cellStyle name="_KE KHAI THUE GTGT 2004" xfId="226"/>
    <cellStyle name="_KE KHAI THUE GTGT 2004_BCTC2004" xfId="227"/>
    <cellStyle name="_KH 2009" xfId="228"/>
    <cellStyle name="_KH 2009_15_10_2013 BC nhu cau von doi ung ODA (2014-2016) ngay 15102013 Sua" xfId="229"/>
    <cellStyle name="_KH 2009_BC nhu cau von doi ung ODA nganh NN (BKH)" xfId="230"/>
    <cellStyle name="_KH 2009_BC nhu cau von doi ung ODA nganh NN (BKH)_05-12  KH trung han 2016-2020 - Liem Thinh edited" xfId="231"/>
    <cellStyle name="_KH 2009_BC nhu cau von doi ung ODA nganh NN (BKH)_Copy of 05-12  KH trung han 2016-2020 - Liem Thinh edited (1)" xfId="232"/>
    <cellStyle name="_KH 2009_BC Tai co cau (bieu TH)" xfId="233"/>
    <cellStyle name="_KH 2009_BC Tai co cau (bieu TH)_05-12  KH trung han 2016-2020 - Liem Thinh edited" xfId="234"/>
    <cellStyle name="_KH 2009_BC Tai co cau (bieu TH)_Copy of 05-12  KH trung han 2016-2020 - Liem Thinh edited (1)" xfId="235"/>
    <cellStyle name="_KH 2009_DK 2014-2015 final" xfId="236"/>
    <cellStyle name="_KH 2009_DK 2014-2015 final_05-12  KH trung han 2016-2020 - Liem Thinh edited" xfId="237"/>
    <cellStyle name="_KH 2009_DK 2014-2015 final_Copy of 05-12  KH trung han 2016-2020 - Liem Thinh edited (1)" xfId="238"/>
    <cellStyle name="_KH 2009_DK 2014-2015 new" xfId="239"/>
    <cellStyle name="_KH 2009_DK 2014-2015 new_05-12  KH trung han 2016-2020 - Liem Thinh edited" xfId="240"/>
    <cellStyle name="_KH 2009_DK 2014-2015 new_Copy of 05-12  KH trung han 2016-2020 - Liem Thinh edited (1)" xfId="241"/>
    <cellStyle name="_KH 2009_DK KH CBDT 2014 11-11-2013" xfId="242"/>
    <cellStyle name="_KH 2009_DK KH CBDT 2014 11-11-2013(1)" xfId="243"/>
    <cellStyle name="_KH 2009_DK KH CBDT 2014 11-11-2013(1)_05-12  KH trung han 2016-2020 - Liem Thinh edited" xfId="244"/>
    <cellStyle name="_KH 2009_DK KH CBDT 2014 11-11-2013(1)_Copy of 05-12  KH trung han 2016-2020 - Liem Thinh edited (1)" xfId="245"/>
    <cellStyle name="_KH 2009_DK KH CBDT 2014 11-11-2013_05-12  KH trung han 2016-2020 - Liem Thinh edited" xfId="246"/>
    <cellStyle name="_KH 2009_DK KH CBDT 2014 11-11-2013_Copy of 05-12  KH trung han 2016-2020 - Liem Thinh edited (1)" xfId="247"/>
    <cellStyle name="_KH 2009_KH 2011-2015" xfId="248"/>
    <cellStyle name="_KH 2009_tai co cau dau tu (tong hop)1" xfId="249"/>
    <cellStyle name="_KH 2012 (TPCP) Bac Lieu (25-12-2011)" xfId="250"/>
    <cellStyle name="_Kh ql62 (2010) 11-09" xfId="251"/>
    <cellStyle name="_KH TPCP 2010 17-3-10" xfId="252"/>
    <cellStyle name="_KH TPCP vung TNB (03-1-2012)" xfId="253"/>
    <cellStyle name="_KH ung von cap bach 2009-Cuc NTTS de nghi (sua)" xfId="254"/>
    <cellStyle name="_KH.DTC.gd2016-2020 tinh (T2-2015)" xfId="255"/>
    <cellStyle name="_Khung 2012" xfId="256"/>
    <cellStyle name="_Khung nam 2010" xfId="257"/>
    <cellStyle name="_x0001__kien giang 2" xfId="258"/>
    <cellStyle name="_KT (2)" xfId="259"/>
    <cellStyle name="_KT (2) 2" xfId="260"/>
    <cellStyle name="_KT (2)_05-12  KH trung han 2016-2020 - Liem Thinh edited" xfId="261"/>
    <cellStyle name="_KT (2)_1" xfId="262"/>
    <cellStyle name="_KT (2)_1 2" xfId="263"/>
    <cellStyle name="_KT (2)_1_05-12  KH trung han 2016-2020 - Liem Thinh edited" xfId="264"/>
    <cellStyle name="_KT (2)_1_Copy of 05-12  KH trung han 2016-2020 - Liem Thinh edited (1)" xfId="265"/>
    <cellStyle name="_KT (2)_1_KH TPCP 2016-2020 (tong hop)" xfId="266"/>
    <cellStyle name="_KT (2)_1_Lora-tungchau" xfId="267"/>
    <cellStyle name="_KT (2)_1_Lora-tungchau 2" xfId="268"/>
    <cellStyle name="_KT (2)_1_Lora-tungchau_05-12  KH trung han 2016-2020 - Liem Thinh edited" xfId="269"/>
    <cellStyle name="_KT (2)_1_Lora-tungchau_Copy of 05-12  KH trung han 2016-2020 - Liem Thinh edited (1)" xfId="270"/>
    <cellStyle name="_KT (2)_1_Lora-tungchau_KH TPCP 2016-2020 (tong hop)" xfId="271"/>
    <cellStyle name="_KT (2)_1_Qt-HT3PQ1(CauKho)" xfId="272"/>
    <cellStyle name="_KT (2)_2" xfId="273"/>
    <cellStyle name="_KT (2)_2_TG-TH" xfId="274"/>
    <cellStyle name="_KT (2)_2_TG-TH 2" xfId="275"/>
    <cellStyle name="_KT (2)_2_TG-TH_05-12  KH trung han 2016-2020 - Liem Thinh edited" xfId="276"/>
    <cellStyle name="_KT (2)_2_TG-TH_ApGiaVatTu_cayxanh_latgach" xfId="277"/>
    <cellStyle name="_KT (2)_2_TG-TH_BANG TONG HOP TINH HINH THANH QUYET TOAN (MOI I)" xfId="278"/>
    <cellStyle name="_KT (2)_2_TG-TH_BAO CAO KLCT PT2000" xfId="279"/>
    <cellStyle name="_KT (2)_2_TG-TH_BAO CAO PT2000" xfId="280"/>
    <cellStyle name="_KT (2)_2_TG-TH_BAO CAO PT2000_Book1" xfId="281"/>
    <cellStyle name="_KT (2)_2_TG-TH_Bao cao XDCB 2001 - T11 KH dieu chinh 20-11-THAI" xfId="282"/>
    <cellStyle name="_KT (2)_2_TG-TH_BAO GIA NGAY 24-10-08 (co dam)" xfId="283"/>
    <cellStyle name="_KT (2)_2_TG-TH_BC  NAM 2007" xfId="284"/>
    <cellStyle name="_KT (2)_2_TG-TH_BC CV 6403 BKHĐT" xfId="285"/>
    <cellStyle name="_KT (2)_2_TG-TH_BC NQ11-CP - chinh sua lai" xfId="286"/>
    <cellStyle name="_KT (2)_2_TG-TH_BC NQ11-CP-Quynh sau bieu so3" xfId="287"/>
    <cellStyle name="_KT (2)_2_TG-TH_BC_NQ11-CP_-_Thao_sua_lai" xfId="288"/>
    <cellStyle name="_KT (2)_2_TG-TH_Bieu mau cong trinh khoi cong moi 3-4" xfId="289"/>
    <cellStyle name="_KT (2)_2_TG-TH_Bieu3ODA" xfId="290"/>
    <cellStyle name="_KT (2)_2_TG-TH_Bieu3ODA_1" xfId="291"/>
    <cellStyle name="_KT (2)_2_TG-TH_Bieu4HTMT" xfId="292"/>
    <cellStyle name="_KT (2)_2_TG-TH_bo sung von KCH nam 2010 va Du an tre kho khan" xfId="293"/>
    <cellStyle name="_KT (2)_2_TG-TH_Book1" xfId="294"/>
    <cellStyle name="_KT (2)_2_TG-TH_Book1 2" xfId="295"/>
    <cellStyle name="_KT (2)_2_TG-TH_Book1_1" xfId="296"/>
    <cellStyle name="_KT (2)_2_TG-TH_Book1_1 2" xfId="297"/>
    <cellStyle name="_KT (2)_2_TG-TH_Book1_1_BC CV 6403 BKHĐT" xfId="298"/>
    <cellStyle name="_KT (2)_2_TG-TH_Book1_1_Bieu mau cong trinh khoi cong moi 3-4" xfId="299"/>
    <cellStyle name="_KT (2)_2_TG-TH_Book1_1_Bieu3ODA" xfId="300"/>
    <cellStyle name="_KT (2)_2_TG-TH_Book1_1_Bieu4HTMT" xfId="301"/>
    <cellStyle name="_KT (2)_2_TG-TH_Book1_1_Book1" xfId="302"/>
    <cellStyle name="_KT (2)_2_TG-TH_Book1_1_Luy ke von ung nam 2011 -Thoa gui ngay 12-8-2012" xfId="303"/>
    <cellStyle name="_KT (2)_2_TG-TH_Book1_2" xfId="304"/>
    <cellStyle name="_KT (2)_2_TG-TH_Book1_2 2" xfId="305"/>
    <cellStyle name="_KT (2)_2_TG-TH_Book1_2_BC CV 6403 BKHĐT" xfId="306"/>
    <cellStyle name="_KT (2)_2_TG-TH_Book1_2_Bieu3ODA" xfId="307"/>
    <cellStyle name="_KT (2)_2_TG-TH_Book1_2_Luy ke von ung nam 2011 -Thoa gui ngay 12-8-2012" xfId="308"/>
    <cellStyle name="_KT (2)_2_TG-TH_Book1_3" xfId="309"/>
    <cellStyle name="_KT (2)_2_TG-TH_Book1_3 2" xfId="310"/>
    <cellStyle name="_KT (2)_2_TG-TH_Book1_4" xfId="311"/>
    <cellStyle name="_KT (2)_2_TG-TH_Book1_BC CV 6403 BKHĐT" xfId="312"/>
    <cellStyle name="_KT (2)_2_TG-TH_Book1_Bieu mau cong trinh khoi cong moi 3-4" xfId="313"/>
    <cellStyle name="_KT (2)_2_TG-TH_Book1_Bieu3ODA" xfId="314"/>
    <cellStyle name="_KT (2)_2_TG-TH_Book1_Bieu4HTMT" xfId="315"/>
    <cellStyle name="_KT (2)_2_TG-TH_Book1_bo sung von KCH nam 2010 va Du an tre kho khan" xfId="316"/>
    <cellStyle name="_KT (2)_2_TG-TH_Book1_Book1" xfId="317"/>
    <cellStyle name="_KT (2)_2_TG-TH_Book1_danh muc chuan bi dau tu 2011 ngay 07-6-2011" xfId="318"/>
    <cellStyle name="_KT (2)_2_TG-TH_Book1_Danh muc pbo nguon von XSKT, XDCB nam 2009 chuyen qua nam 2010" xfId="319"/>
    <cellStyle name="_KT (2)_2_TG-TH_Book1_dieu chinh KH 2011 ngay 26-5-2011111" xfId="320"/>
    <cellStyle name="_KT (2)_2_TG-TH_Book1_DS KCH PHAN BO VON NSDP NAM 2010" xfId="321"/>
    <cellStyle name="_KT (2)_2_TG-TH_Book1_giao KH 2011 ngay 10-12-2010" xfId="322"/>
    <cellStyle name="_KT (2)_2_TG-TH_Book1_Luy ke von ung nam 2011 -Thoa gui ngay 12-8-2012" xfId="323"/>
    <cellStyle name="_KT (2)_2_TG-TH_CAU Khanh Nam(Thi Cong)" xfId="324"/>
    <cellStyle name="_KT (2)_2_TG-TH_ChiHuong_ApGia" xfId="325"/>
    <cellStyle name="_KT (2)_2_TG-TH_CoCauPhi (version 1)" xfId="326"/>
    <cellStyle name="_KT (2)_2_TG-TH_Copy of 05-12  KH trung han 2016-2020 - Liem Thinh edited (1)" xfId="327"/>
    <cellStyle name="_KT (2)_2_TG-TH_danh muc chuan bi dau tu 2011 ngay 07-6-2011" xfId="328"/>
    <cellStyle name="_KT (2)_2_TG-TH_Danh muc pbo nguon von XSKT, XDCB nam 2009 chuyen qua nam 2010" xfId="329"/>
    <cellStyle name="_KT (2)_2_TG-TH_DAU NOI PL-CL TAI PHU LAMHC" xfId="330"/>
    <cellStyle name="_KT (2)_2_TG-TH_dieu chinh KH 2011 ngay 26-5-2011111" xfId="331"/>
    <cellStyle name="_KT (2)_2_TG-TH_DS KCH PHAN BO VON NSDP NAM 2010" xfId="332"/>
    <cellStyle name="_KT (2)_2_TG-TH_DTCDT MR.2N110.HOCMON.TDTOAN.CCUNG" xfId="333"/>
    <cellStyle name="_KT (2)_2_TG-TH_DU TRU VAT TU" xfId="334"/>
    <cellStyle name="_KT (2)_2_TG-TH_giao KH 2011 ngay 10-12-2010" xfId="335"/>
    <cellStyle name="_KT (2)_2_TG-TH_GTGT 2003" xfId="336"/>
    <cellStyle name="_KT (2)_2_TG-TH_KE KHAI THUE GTGT 2004" xfId="337"/>
    <cellStyle name="_KT (2)_2_TG-TH_KE KHAI THUE GTGT 2004_BCTC2004" xfId="338"/>
    <cellStyle name="_KT (2)_2_TG-TH_KH TPCP 2016-2020 (tong hop)" xfId="339"/>
    <cellStyle name="_KT (2)_2_TG-TH_KH TPCP vung TNB (03-1-2012)" xfId="340"/>
    <cellStyle name="_KT (2)_2_TG-TH_kien giang 2" xfId="341"/>
    <cellStyle name="_KT (2)_2_TG-TH_Lora-tungchau" xfId="342"/>
    <cellStyle name="_KT (2)_2_TG-TH_Luy ke von ung nam 2011 -Thoa gui ngay 12-8-2012" xfId="343"/>
    <cellStyle name="_KT (2)_2_TG-TH_NhanCong" xfId="344"/>
    <cellStyle name="_KT (2)_2_TG-TH_N-X-T-04" xfId="345"/>
    <cellStyle name="_KT (2)_2_TG-TH_PGIA-phieu tham tra Kho bac" xfId="346"/>
    <cellStyle name="_KT (2)_2_TG-TH_phu luc tong ket tinh hinh TH giai doan 03-10 (ngay 30)" xfId="347"/>
    <cellStyle name="_KT (2)_2_TG-TH_PT02-02" xfId="348"/>
    <cellStyle name="_KT (2)_2_TG-TH_PT02-02_Book1" xfId="349"/>
    <cellStyle name="_KT (2)_2_TG-TH_PT02-03" xfId="350"/>
    <cellStyle name="_KT (2)_2_TG-TH_PT02-03_Book1" xfId="351"/>
    <cellStyle name="_KT (2)_2_TG-TH_Qt-HT3PQ1(CauKho)" xfId="352"/>
    <cellStyle name="_KT (2)_2_TG-TH_Sheet1" xfId="353"/>
    <cellStyle name="_KT (2)_2_TG-TH_TK152-04" xfId="354"/>
    <cellStyle name="_KT (2)_2_TG-TH_ÿÿÿÿÿ" xfId="355"/>
    <cellStyle name="_KT (2)_2_TG-TH_ÿÿÿÿÿ_Bieu mau cong trinh khoi cong moi 3-4" xfId="356"/>
    <cellStyle name="_KT (2)_2_TG-TH_ÿÿÿÿÿ_Bieu3ODA" xfId="357"/>
    <cellStyle name="_KT (2)_2_TG-TH_ÿÿÿÿÿ_Bieu4HTMT" xfId="358"/>
    <cellStyle name="_KT (2)_2_TG-TH_ÿÿÿÿÿ_KH TPCP vung TNB (03-1-2012)" xfId="359"/>
    <cellStyle name="_KT (2)_2_TG-TH_ÿÿÿÿÿ_kien giang 2" xfId="360"/>
    <cellStyle name="_KT (2)_3" xfId="361"/>
    <cellStyle name="_KT (2)_3_TG-TH" xfId="362"/>
    <cellStyle name="_KT (2)_3_TG-TH 2" xfId="363"/>
    <cellStyle name="_KT (2)_3_TG-TH_05-12  KH trung han 2016-2020 - Liem Thinh edited" xfId="364"/>
    <cellStyle name="_KT (2)_3_TG-TH_BC  NAM 2007" xfId="365"/>
    <cellStyle name="_KT (2)_3_TG-TH_Bieu mau cong trinh khoi cong moi 3-4" xfId="366"/>
    <cellStyle name="_KT (2)_3_TG-TH_Bieu3ODA" xfId="367"/>
    <cellStyle name="_KT (2)_3_TG-TH_Bieu3ODA_1" xfId="368"/>
    <cellStyle name="_KT (2)_3_TG-TH_Bieu4HTMT" xfId="369"/>
    <cellStyle name="_KT (2)_3_TG-TH_bo sung von KCH nam 2010 va Du an tre kho khan" xfId="370"/>
    <cellStyle name="_KT (2)_3_TG-TH_Book1" xfId="371"/>
    <cellStyle name="_KT (2)_3_TG-TH_Book1 2" xfId="372"/>
    <cellStyle name="_KT (2)_3_TG-TH_Book1_1" xfId="373"/>
    <cellStyle name="_KT (2)_3_TG-TH_Book1_BC-QT-WB-dthao" xfId="374"/>
    <cellStyle name="_KT (2)_3_TG-TH_Book1_BC-QT-WB-dthao_05-12  KH trung han 2016-2020 - Liem Thinh edited" xfId="375"/>
    <cellStyle name="_KT (2)_3_TG-TH_Book1_BC-QT-WB-dthao_Copy of 05-12  KH trung han 2016-2020 - Liem Thinh edited (1)" xfId="376"/>
    <cellStyle name="_KT (2)_3_TG-TH_Book1_BC-QT-WB-dthao_KH TPCP 2016-2020 (tong hop)" xfId="377"/>
    <cellStyle name="_KT (2)_3_TG-TH_Book1_KH TPCP vung TNB (03-1-2012)" xfId="378"/>
    <cellStyle name="_KT (2)_3_TG-TH_Book1_kien giang 2" xfId="379"/>
    <cellStyle name="_KT (2)_3_TG-TH_Copy of 05-12  KH trung han 2016-2020 - Liem Thinh edited (1)" xfId="380"/>
    <cellStyle name="_KT (2)_3_TG-TH_danh muc chuan bi dau tu 2011 ngay 07-6-2011" xfId="381"/>
    <cellStyle name="_KT (2)_3_TG-TH_Danh muc pbo nguon von XSKT, XDCB nam 2009 chuyen qua nam 2010" xfId="382"/>
    <cellStyle name="_KT (2)_3_TG-TH_dieu chinh KH 2011 ngay 26-5-2011111" xfId="383"/>
    <cellStyle name="_KT (2)_3_TG-TH_DS KCH PHAN BO VON NSDP NAM 2010" xfId="384"/>
    <cellStyle name="_KT (2)_3_TG-TH_giao KH 2011 ngay 10-12-2010" xfId="385"/>
    <cellStyle name="_KT (2)_3_TG-TH_GTGT 2003" xfId="386"/>
    <cellStyle name="_KT (2)_3_TG-TH_KE KHAI THUE GTGT 2004" xfId="387"/>
    <cellStyle name="_KT (2)_3_TG-TH_KE KHAI THUE GTGT 2004_BCTC2004" xfId="388"/>
    <cellStyle name="_KT (2)_3_TG-TH_KH TPCP 2016-2020 (tong hop)" xfId="389"/>
    <cellStyle name="_KT (2)_3_TG-TH_KH TPCP vung TNB (03-1-2012)" xfId="390"/>
    <cellStyle name="_KT (2)_3_TG-TH_kien giang 2" xfId="391"/>
    <cellStyle name="_KT (2)_3_TG-TH_Lora-tungchau" xfId="392"/>
    <cellStyle name="_KT (2)_3_TG-TH_Lora-tungchau 2" xfId="393"/>
    <cellStyle name="_KT (2)_3_TG-TH_Lora-tungchau_05-12  KH trung han 2016-2020 - Liem Thinh edited" xfId="394"/>
    <cellStyle name="_KT (2)_3_TG-TH_Lora-tungchau_Copy of 05-12  KH trung han 2016-2020 - Liem Thinh edited (1)" xfId="395"/>
    <cellStyle name="_KT (2)_3_TG-TH_Lora-tungchau_KH TPCP 2016-2020 (tong hop)" xfId="396"/>
    <cellStyle name="_KT (2)_3_TG-TH_N-X-T-04" xfId="397"/>
    <cellStyle name="_KT (2)_3_TG-TH_PERSONAL" xfId="398"/>
    <cellStyle name="_KT (2)_3_TG-TH_PERSONAL_BC CV 6403 BKHĐT" xfId="399"/>
    <cellStyle name="_KT (2)_3_TG-TH_PERSONAL_Bieu mau cong trinh khoi cong moi 3-4" xfId="400"/>
    <cellStyle name="_KT (2)_3_TG-TH_PERSONAL_Bieu3ODA" xfId="401"/>
    <cellStyle name="_KT (2)_3_TG-TH_PERSONAL_Bieu4HTMT" xfId="402"/>
    <cellStyle name="_KT (2)_3_TG-TH_PERSONAL_Book1" xfId="403"/>
    <cellStyle name="_KT (2)_3_TG-TH_PERSONAL_Book1 2" xfId="404"/>
    <cellStyle name="_KT (2)_3_TG-TH_PERSONAL_HTQ.8 GD1" xfId="405"/>
    <cellStyle name="_KT (2)_3_TG-TH_PERSONAL_HTQ.8 GD1_05-12  KH trung han 2016-2020 - Liem Thinh edited" xfId="406"/>
    <cellStyle name="_KT (2)_3_TG-TH_PERSONAL_HTQ.8 GD1_Copy of 05-12  KH trung han 2016-2020 - Liem Thinh edited (1)" xfId="407"/>
    <cellStyle name="_KT (2)_3_TG-TH_PERSONAL_HTQ.8 GD1_KH TPCP 2016-2020 (tong hop)" xfId="408"/>
    <cellStyle name="_KT (2)_3_TG-TH_PERSONAL_Luy ke von ung nam 2011 -Thoa gui ngay 12-8-2012" xfId="409"/>
    <cellStyle name="_KT (2)_3_TG-TH_PERSONAL_Tong hop KHCB 2001" xfId="410"/>
    <cellStyle name="_KT (2)_3_TG-TH_Qt-HT3PQ1(CauKho)" xfId="411"/>
    <cellStyle name="_KT (2)_3_TG-TH_TK152-04" xfId="412"/>
    <cellStyle name="_KT (2)_3_TG-TH_ÿÿÿÿÿ" xfId="413"/>
    <cellStyle name="_KT (2)_3_TG-TH_ÿÿÿÿÿ_KH TPCP vung TNB (03-1-2012)" xfId="414"/>
    <cellStyle name="_KT (2)_3_TG-TH_ÿÿÿÿÿ_kien giang 2" xfId="415"/>
    <cellStyle name="_KT (2)_4" xfId="416"/>
    <cellStyle name="_KT (2)_4 2" xfId="417"/>
    <cellStyle name="_KT (2)_4_05-12  KH trung han 2016-2020 - Liem Thinh edited" xfId="418"/>
    <cellStyle name="_KT (2)_4_ApGiaVatTu_cayxanh_latgach" xfId="419"/>
    <cellStyle name="_KT (2)_4_BANG TONG HOP TINH HINH THANH QUYET TOAN (MOI I)" xfId="420"/>
    <cellStyle name="_KT (2)_4_BAO CAO KLCT PT2000" xfId="421"/>
    <cellStyle name="_KT (2)_4_BAO CAO PT2000" xfId="422"/>
    <cellStyle name="_KT (2)_4_BAO CAO PT2000_Book1" xfId="423"/>
    <cellStyle name="_KT (2)_4_Bao cao XDCB 2001 - T11 KH dieu chinh 20-11-THAI" xfId="424"/>
    <cellStyle name="_KT (2)_4_BAO GIA NGAY 24-10-08 (co dam)" xfId="425"/>
    <cellStyle name="_KT (2)_4_BC  NAM 2007" xfId="426"/>
    <cellStyle name="_KT (2)_4_BC CV 6403 BKHĐT" xfId="427"/>
    <cellStyle name="_KT (2)_4_BC NQ11-CP - chinh sua lai" xfId="428"/>
    <cellStyle name="_KT (2)_4_BC NQ11-CP-Quynh sau bieu so3" xfId="429"/>
    <cellStyle name="_KT (2)_4_BC_NQ11-CP_-_Thao_sua_lai" xfId="430"/>
    <cellStyle name="_KT (2)_4_Bieu mau cong trinh khoi cong moi 3-4" xfId="431"/>
    <cellStyle name="_KT (2)_4_Bieu3ODA" xfId="432"/>
    <cellStyle name="_KT (2)_4_Bieu3ODA_1" xfId="433"/>
    <cellStyle name="_KT (2)_4_Bieu4HTMT" xfId="434"/>
    <cellStyle name="_KT (2)_4_bo sung von KCH nam 2010 va Du an tre kho khan" xfId="435"/>
    <cellStyle name="_KT (2)_4_Book1" xfId="436"/>
    <cellStyle name="_KT (2)_4_Book1 2" xfId="437"/>
    <cellStyle name="_KT (2)_4_Book1_1" xfId="438"/>
    <cellStyle name="_KT (2)_4_Book1_1 2" xfId="439"/>
    <cellStyle name="_KT (2)_4_Book1_1_BC CV 6403 BKHĐT" xfId="440"/>
    <cellStyle name="_KT (2)_4_Book1_1_Bieu mau cong trinh khoi cong moi 3-4" xfId="441"/>
    <cellStyle name="_KT (2)_4_Book1_1_Bieu3ODA" xfId="442"/>
    <cellStyle name="_KT (2)_4_Book1_1_Bieu4HTMT" xfId="443"/>
    <cellStyle name="_KT (2)_4_Book1_1_Book1" xfId="444"/>
    <cellStyle name="_KT (2)_4_Book1_1_Luy ke von ung nam 2011 -Thoa gui ngay 12-8-2012" xfId="445"/>
    <cellStyle name="_KT (2)_4_Book1_2" xfId="446"/>
    <cellStyle name="_KT (2)_4_Book1_2 2" xfId="447"/>
    <cellStyle name="_KT (2)_4_Book1_2_BC CV 6403 BKHĐT" xfId="448"/>
    <cellStyle name="_KT (2)_4_Book1_2_Bieu3ODA" xfId="449"/>
    <cellStyle name="_KT (2)_4_Book1_2_Luy ke von ung nam 2011 -Thoa gui ngay 12-8-2012" xfId="450"/>
    <cellStyle name="_KT (2)_4_Book1_3" xfId="451"/>
    <cellStyle name="_KT (2)_4_Book1_3 2" xfId="452"/>
    <cellStyle name="_KT (2)_4_Book1_4" xfId="453"/>
    <cellStyle name="_KT (2)_4_Book1_BC CV 6403 BKHĐT" xfId="454"/>
    <cellStyle name="_KT (2)_4_Book1_Bieu mau cong trinh khoi cong moi 3-4" xfId="455"/>
    <cellStyle name="_KT (2)_4_Book1_Bieu3ODA" xfId="456"/>
    <cellStyle name="_KT (2)_4_Book1_Bieu4HTMT" xfId="457"/>
    <cellStyle name="_KT (2)_4_Book1_bo sung von KCH nam 2010 va Du an tre kho khan" xfId="458"/>
    <cellStyle name="_KT (2)_4_Book1_Book1" xfId="459"/>
    <cellStyle name="_KT (2)_4_Book1_danh muc chuan bi dau tu 2011 ngay 07-6-2011" xfId="460"/>
    <cellStyle name="_KT (2)_4_Book1_Danh muc pbo nguon von XSKT, XDCB nam 2009 chuyen qua nam 2010" xfId="461"/>
    <cellStyle name="_KT (2)_4_Book1_dieu chinh KH 2011 ngay 26-5-2011111" xfId="462"/>
    <cellStyle name="_KT (2)_4_Book1_DS KCH PHAN BO VON NSDP NAM 2010" xfId="463"/>
    <cellStyle name="_KT (2)_4_Book1_giao KH 2011 ngay 10-12-2010" xfId="464"/>
    <cellStyle name="_KT (2)_4_Book1_Luy ke von ung nam 2011 -Thoa gui ngay 12-8-2012" xfId="465"/>
    <cellStyle name="_KT (2)_4_CAU Khanh Nam(Thi Cong)" xfId="466"/>
    <cellStyle name="_KT (2)_4_ChiHuong_ApGia" xfId="467"/>
    <cellStyle name="_KT (2)_4_CoCauPhi (version 1)" xfId="468"/>
    <cellStyle name="_KT (2)_4_Copy of 05-12  KH trung han 2016-2020 - Liem Thinh edited (1)" xfId="469"/>
    <cellStyle name="_KT (2)_4_danh muc chuan bi dau tu 2011 ngay 07-6-2011" xfId="470"/>
    <cellStyle name="_KT (2)_4_Danh muc pbo nguon von XSKT, XDCB nam 2009 chuyen qua nam 2010" xfId="471"/>
    <cellStyle name="_KT (2)_4_DAU NOI PL-CL TAI PHU LAMHC" xfId="472"/>
    <cellStyle name="_KT (2)_4_dieu chinh KH 2011 ngay 26-5-2011111" xfId="473"/>
    <cellStyle name="_KT (2)_4_DS KCH PHAN BO VON NSDP NAM 2010" xfId="474"/>
    <cellStyle name="_KT (2)_4_DTCDT MR.2N110.HOCMON.TDTOAN.CCUNG" xfId="475"/>
    <cellStyle name="_KT (2)_4_DU TRU VAT TU" xfId="476"/>
    <cellStyle name="_KT (2)_4_giao KH 2011 ngay 10-12-2010" xfId="477"/>
    <cellStyle name="_KT (2)_4_GTGT 2003" xfId="478"/>
    <cellStyle name="_KT (2)_4_KE KHAI THUE GTGT 2004" xfId="479"/>
    <cellStyle name="_KT (2)_4_KE KHAI THUE GTGT 2004_BCTC2004" xfId="480"/>
    <cellStyle name="_KT (2)_4_KH TPCP 2016-2020 (tong hop)" xfId="481"/>
    <cellStyle name="_KT (2)_4_KH TPCP vung TNB (03-1-2012)" xfId="482"/>
    <cellStyle name="_KT (2)_4_kien giang 2" xfId="483"/>
    <cellStyle name="_KT (2)_4_Lora-tungchau" xfId="484"/>
    <cellStyle name="_KT (2)_4_Luy ke von ung nam 2011 -Thoa gui ngay 12-8-2012" xfId="485"/>
    <cellStyle name="_KT (2)_4_NhanCong" xfId="486"/>
    <cellStyle name="_KT (2)_4_N-X-T-04" xfId="487"/>
    <cellStyle name="_KT (2)_4_PGIA-phieu tham tra Kho bac" xfId="488"/>
    <cellStyle name="_KT (2)_4_phu luc tong ket tinh hinh TH giai doan 03-10 (ngay 30)" xfId="489"/>
    <cellStyle name="_KT (2)_4_PT02-02" xfId="490"/>
    <cellStyle name="_KT (2)_4_PT02-02_Book1" xfId="491"/>
    <cellStyle name="_KT (2)_4_PT02-03" xfId="492"/>
    <cellStyle name="_KT (2)_4_PT02-03_Book1" xfId="493"/>
    <cellStyle name="_KT (2)_4_Qt-HT3PQ1(CauKho)" xfId="494"/>
    <cellStyle name="_KT (2)_4_Sheet1" xfId="495"/>
    <cellStyle name="_KT (2)_4_TG-TH" xfId="496"/>
    <cellStyle name="_KT (2)_4_TK152-04" xfId="497"/>
    <cellStyle name="_KT (2)_4_ÿÿÿÿÿ" xfId="498"/>
    <cellStyle name="_KT (2)_4_ÿÿÿÿÿ_Bieu mau cong trinh khoi cong moi 3-4" xfId="499"/>
    <cellStyle name="_KT (2)_4_ÿÿÿÿÿ_Bieu3ODA" xfId="500"/>
    <cellStyle name="_KT (2)_4_ÿÿÿÿÿ_Bieu4HTMT" xfId="501"/>
    <cellStyle name="_KT (2)_4_ÿÿÿÿÿ_KH TPCP vung TNB (03-1-2012)" xfId="502"/>
    <cellStyle name="_KT (2)_4_ÿÿÿÿÿ_kien giang 2" xfId="503"/>
    <cellStyle name="_KT (2)_5" xfId="504"/>
    <cellStyle name="_KT (2)_5 2" xfId="505"/>
    <cellStyle name="_KT (2)_5_05-12  KH trung han 2016-2020 - Liem Thinh edited" xfId="506"/>
    <cellStyle name="_KT (2)_5_ApGiaVatTu_cayxanh_latgach" xfId="507"/>
    <cellStyle name="_KT (2)_5_BANG TONG HOP TINH HINH THANH QUYET TOAN (MOI I)" xfId="508"/>
    <cellStyle name="_KT (2)_5_BAO CAO KLCT PT2000" xfId="509"/>
    <cellStyle name="_KT (2)_5_BAO CAO PT2000" xfId="510"/>
    <cellStyle name="_KT (2)_5_BAO CAO PT2000_Book1" xfId="511"/>
    <cellStyle name="_KT (2)_5_Bao cao XDCB 2001 - T11 KH dieu chinh 20-11-THAI" xfId="512"/>
    <cellStyle name="_KT (2)_5_BAO GIA NGAY 24-10-08 (co dam)" xfId="513"/>
    <cellStyle name="_KT (2)_5_BC  NAM 2007" xfId="514"/>
    <cellStyle name="_KT (2)_5_BC CV 6403 BKHĐT" xfId="515"/>
    <cellStyle name="_KT (2)_5_BC NQ11-CP - chinh sua lai" xfId="516"/>
    <cellStyle name="_KT (2)_5_BC NQ11-CP-Quynh sau bieu so3" xfId="517"/>
    <cellStyle name="_KT (2)_5_BC_NQ11-CP_-_Thao_sua_lai" xfId="518"/>
    <cellStyle name="_KT (2)_5_Bieu mau cong trinh khoi cong moi 3-4" xfId="519"/>
    <cellStyle name="_KT (2)_5_Bieu3ODA" xfId="520"/>
    <cellStyle name="_KT (2)_5_Bieu3ODA_1" xfId="521"/>
    <cellStyle name="_KT (2)_5_Bieu4HTMT" xfId="522"/>
    <cellStyle name="_KT (2)_5_bo sung von KCH nam 2010 va Du an tre kho khan" xfId="523"/>
    <cellStyle name="_KT (2)_5_Book1" xfId="524"/>
    <cellStyle name="_KT (2)_5_Book1 2" xfId="525"/>
    <cellStyle name="_KT (2)_5_Book1_1" xfId="526"/>
    <cellStyle name="_KT (2)_5_Book1_1 2" xfId="527"/>
    <cellStyle name="_KT (2)_5_Book1_1_BC CV 6403 BKHĐT" xfId="528"/>
    <cellStyle name="_KT (2)_5_Book1_1_Bieu mau cong trinh khoi cong moi 3-4" xfId="529"/>
    <cellStyle name="_KT (2)_5_Book1_1_Bieu3ODA" xfId="530"/>
    <cellStyle name="_KT (2)_5_Book1_1_Bieu4HTMT" xfId="531"/>
    <cellStyle name="_KT (2)_5_Book1_1_Book1" xfId="532"/>
    <cellStyle name="_KT (2)_5_Book1_1_Luy ke von ung nam 2011 -Thoa gui ngay 12-8-2012" xfId="533"/>
    <cellStyle name="_KT (2)_5_Book1_2" xfId="534"/>
    <cellStyle name="_KT (2)_5_Book1_2 2" xfId="535"/>
    <cellStyle name="_KT (2)_5_Book1_2_BC CV 6403 BKHĐT" xfId="536"/>
    <cellStyle name="_KT (2)_5_Book1_2_Bieu3ODA" xfId="537"/>
    <cellStyle name="_KT (2)_5_Book1_2_Luy ke von ung nam 2011 -Thoa gui ngay 12-8-2012" xfId="538"/>
    <cellStyle name="_KT (2)_5_Book1_3" xfId="539"/>
    <cellStyle name="_KT (2)_5_Book1_4" xfId="540"/>
    <cellStyle name="_KT (2)_5_Book1_BC CV 6403 BKHĐT" xfId="541"/>
    <cellStyle name="_KT (2)_5_Book1_BC-QT-WB-dthao" xfId="542"/>
    <cellStyle name="_KT (2)_5_Book1_Bieu mau cong trinh khoi cong moi 3-4" xfId="543"/>
    <cellStyle name="_KT (2)_5_Book1_Bieu3ODA" xfId="544"/>
    <cellStyle name="_KT (2)_5_Book1_Bieu4HTMT" xfId="545"/>
    <cellStyle name="_KT (2)_5_Book1_bo sung von KCH nam 2010 va Du an tre kho khan" xfId="546"/>
    <cellStyle name="_KT (2)_5_Book1_Book1" xfId="547"/>
    <cellStyle name="_KT (2)_5_Book1_danh muc chuan bi dau tu 2011 ngay 07-6-2011" xfId="548"/>
    <cellStyle name="_KT (2)_5_Book1_Danh muc pbo nguon von XSKT, XDCB nam 2009 chuyen qua nam 2010" xfId="549"/>
    <cellStyle name="_KT (2)_5_Book1_dieu chinh KH 2011 ngay 26-5-2011111" xfId="550"/>
    <cellStyle name="_KT (2)_5_Book1_DS KCH PHAN BO VON NSDP NAM 2010" xfId="551"/>
    <cellStyle name="_KT (2)_5_Book1_giao KH 2011 ngay 10-12-2010" xfId="552"/>
    <cellStyle name="_KT (2)_5_Book1_Luy ke von ung nam 2011 -Thoa gui ngay 12-8-2012" xfId="553"/>
    <cellStyle name="_KT (2)_5_CAU Khanh Nam(Thi Cong)" xfId="554"/>
    <cellStyle name="_KT (2)_5_ChiHuong_ApGia" xfId="555"/>
    <cellStyle name="_KT (2)_5_CoCauPhi (version 1)" xfId="556"/>
    <cellStyle name="_KT (2)_5_Copy of 05-12  KH trung han 2016-2020 - Liem Thinh edited (1)" xfId="557"/>
    <cellStyle name="_KT (2)_5_danh muc chuan bi dau tu 2011 ngay 07-6-2011" xfId="558"/>
    <cellStyle name="_KT (2)_5_Danh muc pbo nguon von XSKT, XDCB nam 2009 chuyen qua nam 2010" xfId="559"/>
    <cellStyle name="_KT (2)_5_DAU NOI PL-CL TAI PHU LAMHC" xfId="560"/>
    <cellStyle name="_KT (2)_5_dieu chinh KH 2011 ngay 26-5-2011111" xfId="561"/>
    <cellStyle name="_KT (2)_5_DS KCH PHAN BO VON NSDP NAM 2010" xfId="562"/>
    <cellStyle name="_KT (2)_5_DTCDT MR.2N110.HOCMON.TDTOAN.CCUNG" xfId="563"/>
    <cellStyle name="_KT (2)_5_DU TRU VAT TU" xfId="564"/>
    <cellStyle name="_KT (2)_5_giao KH 2011 ngay 10-12-2010" xfId="565"/>
    <cellStyle name="_KT (2)_5_GTGT 2003" xfId="566"/>
    <cellStyle name="_KT (2)_5_KE KHAI THUE GTGT 2004" xfId="567"/>
    <cellStyle name="_KT (2)_5_KE KHAI THUE GTGT 2004_BCTC2004" xfId="568"/>
    <cellStyle name="_KT (2)_5_KH TPCP 2016-2020 (tong hop)" xfId="569"/>
    <cellStyle name="_KT (2)_5_KH TPCP vung TNB (03-1-2012)" xfId="570"/>
    <cellStyle name="_KT (2)_5_kien giang 2" xfId="571"/>
    <cellStyle name="_KT (2)_5_Lora-tungchau" xfId="572"/>
    <cellStyle name="_KT (2)_5_Luy ke von ung nam 2011 -Thoa gui ngay 12-8-2012" xfId="573"/>
    <cellStyle name="_KT (2)_5_NhanCong" xfId="574"/>
    <cellStyle name="_KT (2)_5_N-X-T-04" xfId="575"/>
    <cellStyle name="_KT (2)_5_PGIA-phieu tham tra Kho bac" xfId="576"/>
    <cellStyle name="_KT (2)_5_phu luc tong ket tinh hinh TH giai doan 03-10 (ngay 30)" xfId="577"/>
    <cellStyle name="_KT (2)_5_PT02-02" xfId="578"/>
    <cellStyle name="_KT (2)_5_PT02-02_Book1" xfId="579"/>
    <cellStyle name="_KT (2)_5_PT02-03" xfId="580"/>
    <cellStyle name="_KT (2)_5_PT02-03_Book1" xfId="581"/>
    <cellStyle name="_KT (2)_5_Qt-HT3PQ1(CauKho)" xfId="582"/>
    <cellStyle name="_KT (2)_5_Sheet1" xfId="583"/>
    <cellStyle name="_KT (2)_5_TK152-04" xfId="584"/>
    <cellStyle name="_KT (2)_5_ÿÿÿÿÿ" xfId="585"/>
    <cellStyle name="_KT (2)_5_ÿÿÿÿÿ_Bieu mau cong trinh khoi cong moi 3-4" xfId="586"/>
    <cellStyle name="_KT (2)_5_ÿÿÿÿÿ_Bieu3ODA" xfId="587"/>
    <cellStyle name="_KT (2)_5_ÿÿÿÿÿ_Bieu4HTMT" xfId="588"/>
    <cellStyle name="_KT (2)_5_ÿÿÿÿÿ_KH TPCP vung TNB (03-1-2012)" xfId="589"/>
    <cellStyle name="_KT (2)_5_ÿÿÿÿÿ_kien giang 2" xfId="590"/>
    <cellStyle name="_KT (2)_BC  NAM 2007" xfId="591"/>
    <cellStyle name="_KT (2)_Bieu mau cong trinh khoi cong moi 3-4" xfId="592"/>
    <cellStyle name="_KT (2)_Bieu3ODA" xfId="593"/>
    <cellStyle name="_KT (2)_Bieu3ODA_1" xfId="594"/>
    <cellStyle name="_KT (2)_Bieu4HTMT" xfId="595"/>
    <cellStyle name="_KT (2)_bo sung von KCH nam 2010 va Du an tre kho khan" xfId="596"/>
    <cellStyle name="_KT (2)_Book1" xfId="597"/>
    <cellStyle name="_KT (2)_Book1 2" xfId="598"/>
    <cellStyle name="_KT (2)_Book1_1" xfId="599"/>
    <cellStyle name="_KT (2)_Book1_BC-QT-WB-dthao" xfId="600"/>
    <cellStyle name="_KT (2)_Book1_BC-QT-WB-dthao_05-12  KH trung han 2016-2020 - Liem Thinh edited" xfId="601"/>
    <cellStyle name="_KT (2)_Book1_BC-QT-WB-dthao_Copy of 05-12  KH trung han 2016-2020 - Liem Thinh edited (1)" xfId="602"/>
    <cellStyle name="_KT (2)_Book1_BC-QT-WB-dthao_KH TPCP 2016-2020 (tong hop)" xfId="603"/>
    <cellStyle name="_KT (2)_Book1_KH TPCP vung TNB (03-1-2012)" xfId="604"/>
    <cellStyle name="_KT (2)_Book1_kien giang 2" xfId="605"/>
    <cellStyle name="_KT (2)_Copy of 05-12  KH trung han 2016-2020 - Liem Thinh edited (1)" xfId="606"/>
    <cellStyle name="_KT (2)_danh muc chuan bi dau tu 2011 ngay 07-6-2011" xfId="607"/>
    <cellStyle name="_KT (2)_Danh muc pbo nguon von XSKT, XDCB nam 2009 chuyen qua nam 2010" xfId="608"/>
    <cellStyle name="_KT (2)_dieu chinh KH 2011 ngay 26-5-2011111" xfId="609"/>
    <cellStyle name="_KT (2)_DS KCH PHAN BO VON NSDP NAM 2010" xfId="610"/>
    <cellStyle name="_KT (2)_giao KH 2011 ngay 10-12-2010" xfId="611"/>
    <cellStyle name="_KT (2)_GTGT 2003" xfId="612"/>
    <cellStyle name="_KT (2)_KE KHAI THUE GTGT 2004" xfId="613"/>
    <cellStyle name="_KT (2)_KE KHAI THUE GTGT 2004_BCTC2004" xfId="614"/>
    <cellStyle name="_KT (2)_KH TPCP 2016-2020 (tong hop)" xfId="615"/>
    <cellStyle name="_KT (2)_KH TPCP vung TNB (03-1-2012)" xfId="616"/>
    <cellStyle name="_KT (2)_kien giang 2" xfId="617"/>
    <cellStyle name="_KT (2)_Lora-tungchau" xfId="618"/>
    <cellStyle name="_KT (2)_Lora-tungchau 2" xfId="619"/>
    <cellStyle name="_KT (2)_Lora-tungchau_05-12  KH trung han 2016-2020 - Liem Thinh edited" xfId="620"/>
    <cellStyle name="_KT (2)_Lora-tungchau_Copy of 05-12  KH trung han 2016-2020 - Liem Thinh edited (1)" xfId="621"/>
    <cellStyle name="_KT (2)_Lora-tungchau_KH TPCP 2016-2020 (tong hop)" xfId="622"/>
    <cellStyle name="_KT (2)_N-X-T-04" xfId="623"/>
    <cellStyle name="_KT (2)_PERSONAL" xfId="624"/>
    <cellStyle name="_KT (2)_PERSONAL_BC CV 6403 BKHĐT" xfId="625"/>
    <cellStyle name="_KT (2)_PERSONAL_Bieu mau cong trinh khoi cong moi 3-4" xfId="626"/>
    <cellStyle name="_KT (2)_PERSONAL_Bieu3ODA" xfId="627"/>
    <cellStyle name="_KT (2)_PERSONAL_Bieu4HTMT" xfId="628"/>
    <cellStyle name="_KT (2)_PERSONAL_Book1" xfId="629"/>
    <cellStyle name="_KT (2)_PERSONAL_Book1 2" xfId="630"/>
    <cellStyle name="_KT (2)_PERSONAL_HTQ.8 GD1" xfId="631"/>
    <cellStyle name="_KT (2)_PERSONAL_HTQ.8 GD1_05-12  KH trung han 2016-2020 - Liem Thinh edited" xfId="632"/>
    <cellStyle name="_KT (2)_PERSONAL_HTQ.8 GD1_Copy of 05-12  KH trung han 2016-2020 - Liem Thinh edited (1)" xfId="633"/>
    <cellStyle name="_KT (2)_PERSONAL_HTQ.8 GD1_KH TPCP 2016-2020 (tong hop)" xfId="634"/>
    <cellStyle name="_KT (2)_PERSONAL_Luy ke von ung nam 2011 -Thoa gui ngay 12-8-2012" xfId="635"/>
    <cellStyle name="_KT (2)_PERSONAL_Tong hop KHCB 2001" xfId="636"/>
    <cellStyle name="_KT (2)_Qt-HT3PQ1(CauKho)" xfId="637"/>
    <cellStyle name="_KT (2)_TG-TH" xfId="638"/>
    <cellStyle name="_KT (2)_TK152-04" xfId="639"/>
    <cellStyle name="_KT (2)_ÿÿÿÿÿ" xfId="640"/>
    <cellStyle name="_KT (2)_ÿÿÿÿÿ_KH TPCP vung TNB (03-1-2012)" xfId="641"/>
    <cellStyle name="_KT (2)_ÿÿÿÿÿ_kien giang 2" xfId="642"/>
    <cellStyle name="_KT_TG" xfId="643"/>
    <cellStyle name="_KT_TG_1" xfId="644"/>
    <cellStyle name="_KT_TG_1 2" xfId="645"/>
    <cellStyle name="_KT_TG_1_05-12  KH trung han 2016-2020 - Liem Thinh edited" xfId="646"/>
    <cellStyle name="_KT_TG_1_ApGiaVatTu_cayxanh_latgach" xfId="647"/>
    <cellStyle name="_KT_TG_1_BANG TONG HOP TINH HINH THANH QUYET TOAN (MOI I)" xfId="648"/>
    <cellStyle name="_KT_TG_1_BAO CAO KLCT PT2000" xfId="649"/>
    <cellStyle name="_KT_TG_1_BAO CAO PT2000" xfId="650"/>
    <cellStyle name="_KT_TG_1_BAO CAO PT2000_Book1" xfId="651"/>
    <cellStyle name="_KT_TG_1_Bao cao XDCB 2001 - T11 KH dieu chinh 20-11-THAI" xfId="652"/>
    <cellStyle name="_KT_TG_1_BAO GIA NGAY 24-10-08 (co dam)" xfId="653"/>
    <cellStyle name="_KT_TG_1_BC  NAM 2007" xfId="654"/>
    <cellStyle name="_KT_TG_1_BC CV 6403 BKHĐT" xfId="655"/>
    <cellStyle name="_KT_TG_1_BC NQ11-CP - chinh sua lai" xfId="656"/>
    <cellStyle name="_KT_TG_1_BC NQ11-CP-Quynh sau bieu so3" xfId="657"/>
    <cellStyle name="_KT_TG_1_BC_NQ11-CP_-_Thao_sua_lai" xfId="658"/>
    <cellStyle name="_KT_TG_1_Bieu mau cong trinh khoi cong moi 3-4" xfId="659"/>
    <cellStyle name="_KT_TG_1_Bieu3ODA" xfId="660"/>
    <cellStyle name="_KT_TG_1_Bieu3ODA_1" xfId="661"/>
    <cellStyle name="_KT_TG_1_Bieu4HTMT" xfId="662"/>
    <cellStyle name="_KT_TG_1_bo sung von KCH nam 2010 va Du an tre kho khan" xfId="663"/>
    <cellStyle name="_KT_TG_1_Book1" xfId="664"/>
    <cellStyle name="_KT_TG_1_Book1 2" xfId="665"/>
    <cellStyle name="_KT_TG_1_Book1_1" xfId="666"/>
    <cellStyle name="_KT_TG_1_Book1_1 2" xfId="667"/>
    <cellStyle name="_KT_TG_1_Book1_1_BC CV 6403 BKHĐT" xfId="668"/>
    <cellStyle name="_KT_TG_1_Book1_1_Bieu mau cong trinh khoi cong moi 3-4" xfId="669"/>
    <cellStyle name="_KT_TG_1_Book1_1_Bieu3ODA" xfId="670"/>
    <cellStyle name="_KT_TG_1_Book1_1_Bieu4HTMT" xfId="671"/>
    <cellStyle name="_KT_TG_1_Book1_1_Book1" xfId="672"/>
    <cellStyle name="_KT_TG_1_Book1_1_Luy ke von ung nam 2011 -Thoa gui ngay 12-8-2012" xfId="673"/>
    <cellStyle name="_KT_TG_1_Book1_2" xfId="674"/>
    <cellStyle name="_KT_TG_1_Book1_2 2" xfId="675"/>
    <cellStyle name="_KT_TG_1_Book1_2_BC CV 6403 BKHĐT" xfId="676"/>
    <cellStyle name="_KT_TG_1_Book1_2_Bieu3ODA" xfId="677"/>
    <cellStyle name="_KT_TG_1_Book1_2_Luy ke von ung nam 2011 -Thoa gui ngay 12-8-2012" xfId="678"/>
    <cellStyle name="_KT_TG_1_Book1_3" xfId="679"/>
    <cellStyle name="_KT_TG_1_Book1_4" xfId="680"/>
    <cellStyle name="_KT_TG_1_Book1_BC CV 6403 BKHĐT" xfId="681"/>
    <cellStyle name="_KT_TG_1_Book1_BC-QT-WB-dthao" xfId="682"/>
    <cellStyle name="_KT_TG_1_Book1_Bieu mau cong trinh khoi cong moi 3-4" xfId="683"/>
    <cellStyle name="_KT_TG_1_Book1_Bieu3ODA" xfId="684"/>
    <cellStyle name="_KT_TG_1_Book1_Bieu4HTMT" xfId="685"/>
    <cellStyle name="_KT_TG_1_Book1_bo sung von KCH nam 2010 va Du an tre kho khan" xfId="686"/>
    <cellStyle name="_KT_TG_1_Book1_Book1" xfId="687"/>
    <cellStyle name="_KT_TG_1_Book1_danh muc chuan bi dau tu 2011 ngay 07-6-2011" xfId="688"/>
    <cellStyle name="_KT_TG_1_Book1_Danh muc pbo nguon von XSKT, XDCB nam 2009 chuyen qua nam 2010" xfId="689"/>
    <cellStyle name="_KT_TG_1_Book1_dieu chinh KH 2011 ngay 26-5-2011111" xfId="690"/>
    <cellStyle name="_KT_TG_1_Book1_DS KCH PHAN BO VON NSDP NAM 2010" xfId="691"/>
    <cellStyle name="_KT_TG_1_Book1_giao KH 2011 ngay 10-12-2010" xfId="692"/>
    <cellStyle name="_KT_TG_1_Book1_Luy ke von ung nam 2011 -Thoa gui ngay 12-8-2012" xfId="693"/>
    <cellStyle name="_KT_TG_1_CAU Khanh Nam(Thi Cong)" xfId="694"/>
    <cellStyle name="_KT_TG_1_ChiHuong_ApGia" xfId="695"/>
    <cellStyle name="_KT_TG_1_CoCauPhi (version 1)" xfId="696"/>
    <cellStyle name="_KT_TG_1_Copy of 05-12  KH trung han 2016-2020 - Liem Thinh edited (1)" xfId="697"/>
    <cellStyle name="_KT_TG_1_danh muc chuan bi dau tu 2011 ngay 07-6-2011" xfId="698"/>
    <cellStyle name="_KT_TG_1_Danh muc pbo nguon von XSKT, XDCB nam 2009 chuyen qua nam 2010" xfId="699"/>
    <cellStyle name="_KT_TG_1_DAU NOI PL-CL TAI PHU LAMHC" xfId="700"/>
    <cellStyle name="_KT_TG_1_dieu chinh KH 2011 ngay 26-5-2011111" xfId="701"/>
    <cellStyle name="_KT_TG_1_DS KCH PHAN BO VON NSDP NAM 2010" xfId="702"/>
    <cellStyle name="_KT_TG_1_DTCDT MR.2N110.HOCMON.TDTOAN.CCUNG" xfId="703"/>
    <cellStyle name="_KT_TG_1_DU TRU VAT TU" xfId="704"/>
    <cellStyle name="_KT_TG_1_giao KH 2011 ngay 10-12-2010" xfId="705"/>
    <cellStyle name="_KT_TG_1_GTGT 2003" xfId="706"/>
    <cellStyle name="_KT_TG_1_KE KHAI THUE GTGT 2004" xfId="707"/>
    <cellStyle name="_KT_TG_1_KE KHAI THUE GTGT 2004_BCTC2004" xfId="708"/>
    <cellStyle name="_KT_TG_1_KH TPCP 2016-2020 (tong hop)" xfId="709"/>
    <cellStyle name="_KT_TG_1_KH TPCP vung TNB (03-1-2012)" xfId="710"/>
    <cellStyle name="_KT_TG_1_kien giang 2" xfId="711"/>
    <cellStyle name="_KT_TG_1_Lora-tungchau" xfId="712"/>
    <cellStyle name="_KT_TG_1_Luy ke von ung nam 2011 -Thoa gui ngay 12-8-2012" xfId="713"/>
    <cellStyle name="_KT_TG_1_NhanCong" xfId="714"/>
    <cellStyle name="_KT_TG_1_N-X-T-04" xfId="715"/>
    <cellStyle name="_KT_TG_1_PGIA-phieu tham tra Kho bac" xfId="716"/>
    <cellStyle name="_KT_TG_1_phu luc tong ket tinh hinh TH giai doan 03-10 (ngay 30)" xfId="717"/>
    <cellStyle name="_KT_TG_1_PT02-02" xfId="718"/>
    <cellStyle name="_KT_TG_1_PT02-02_Book1" xfId="719"/>
    <cellStyle name="_KT_TG_1_PT02-03" xfId="720"/>
    <cellStyle name="_KT_TG_1_PT02-03_Book1" xfId="721"/>
    <cellStyle name="_KT_TG_1_Qt-HT3PQ1(CauKho)" xfId="722"/>
    <cellStyle name="_KT_TG_1_Sheet1" xfId="723"/>
    <cellStyle name="_KT_TG_1_TK152-04" xfId="724"/>
    <cellStyle name="_KT_TG_1_ÿÿÿÿÿ" xfId="725"/>
    <cellStyle name="_KT_TG_1_ÿÿÿÿÿ_Bieu mau cong trinh khoi cong moi 3-4" xfId="726"/>
    <cellStyle name="_KT_TG_1_ÿÿÿÿÿ_Bieu3ODA" xfId="727"/>
    <cellStyle name="_KT_TG_1_ÿÿÿÿÿ_Bieu4HTMT" xfId="728"/>
    <cellStyle name="_KT_TG_1_ÿÿÿÿÿ_KH TPCP vung TNB (03-1-2012)" xfId="729"/>
    <cellStyle name="_KT_TG_1_ÿÿÿÿÿ_kien giang 2" xfId="730"/>
    <cellStyle name="_KT_TG_2" xfId="731"/>
    <cellStyle name="_KT_TG_2 2" xfId="732"/>
    <cellStyle name="_KT_TG_2_05-12  KH trung han 2016-2020 - Liem Thinh edited" xfId="733"/>
    <cellStyle name="_KT_TG_2_ApGiaVatTu_cayxanh_latgach" xfId="734"/>
    <cellStyle name="_KT_TG_2_BANG TONG HOP TINH HINH THANH QUYET TOAN (MOI I)" xfId="735"/>
    <cellStyle name="_KT_TG_2_BAO CAO KLCT PT2000" xfId="736"/>
    <cellStyle name="_KT_TG_2_BAO CAO PT2000" xfId="737"/>
    <cellStyle name="_KT_TG_2_BAO CAO PT2000_Book1" xfId="738"/>
    <cellStyle name="_KT_TG_2_Bao cao XDCB 2001 - T11 KH dieu chinh 20-11-THAI" xfId="739"/>
    <cellStyle name="_KT_TG_2_BAO GIA NGAY 24-10-08 (co dam)" xfId="740"/>
    <cellStyle name="_KT_TG_2_BC  NAM 2007" xfId="741"/>
    <cellStyle name="_KT_TG_2_BC CV 6403 BKHĐT" xfId="742"/>
    <cellStyle name="_KT_TG_2_BC NQ11-CP - chinh sua lai" xfId="743"/>
    <cellStyle name="_KT_TG_2_BC NQ11-CP-Quynh sau bieu so3" xfId="744"/>
    <cellStyle name="_KT_TG_2_BC_NQ11-CP_-_Thao_sua_lai" xfId="745"/>
    <cellStyle name="_KT_TG_2_Bieu mau cong trinh khoi cong moi 3-4" xfId="746"/>
    <cellStyle name="_KT_TG_2_Bieu3ODA" xfId="747"/>
    <cellStyle name="_KT_TG_2_Bieu3ODA_1" xfId="748"/>
    <cellStyle name="_KT_TG_2_Bieu4HTMT" xfId="749"/>
    <cellStyle name="_KT_TG_2_bo sung von KCH nam 2010 va Du an tre kho khan" xfId="750"/>
    <cellStyle name="_KT_TG_2_Book1" xfId="751"/>
    <cellStyle name="_KT_TG_2_Book1 2" xfId="752"/>
    <cellStyle name="_KT_TG_2_Book1_1" xfId="753"/>
    <cellStyle name="_KT_TG_2_Book1_1 2" xfId="754"/>
    <cellStyle name="_KT_TG_2_Book1_1_BC CV 6403 BKHĐT" xfId="755"/>
    <cellStyle name="_KT_TG_2_Book1_1_Bieu mau cong trinh khoi cong moi 3-4" xfId="756"/>
    <cellStyle name="_KT_TG_2_Book1_1_Bieu3ODA" xfId="757"/>
    <cellStyle name="_KT_TG_2_Book1_1_Bieu4HTMT" xfId="758"/>
    <cellStyle name="_KT_TG_2_Book1_1_Book1" xfId="759"/>
    <cellStyle name="_KT_TG_2_Book1_1_Luy ke von ung nam 2011 -Thoa gui ngay 12-8-2012" xfId="760"/>
    <cellStyle name="_KT_TG_2_Book1_2" xfId="761"/>
    <cellStyle name="_KT_TG_2_Book1_2 2" xfId="762"/>
    <cellStyle name="_KT_TG_2_Book1_2_BC CV 6403 BKHĐT" xfId="763"/>
    <cellStyle name="_KT_TG_2_Book1_2_Bieu3ODA" xfId="764"/>
    <cellStyle name="_KT_TG_2_Book1_2_Luy ke von ung nam 2011 -Thoa gui ngay 12-8-2012" xfId="765"/>
    <cellStyle name="_KT_TG_2_Book1_3" xfId="766"/>
    <cellStyle name="_KT_TG_2_Book1_3 2" xfId="767"/>
    <cellStyle name="_KT_TG_2_Book1_4" xfId="768"/>
    <cellStyle name="_KT_TG_2_Book1_BC CV 6403 BKHĐT" xfId="769"/>
    <cellStyle name="_KT_TG_2_Book1_Bieu mau cong trinh khoi cong moi 3-4" xfId="770"/>
    <cellStyle name="_KT_TG_2_Book1_Bieu3ODA" xfId="771"/>
    <cellStyle name="_KT_TG_2_Book1_Bieu4HTMT" xfId="772"/>
    <cellStyle name="_KT_TG_2_Book1_bo sung von KCH nam 2010 va Du an tre kho khan" xfId="773"/>
    <cellStyle name="_KT_TG_2_Book1_Book1" xfId="774"/>
    <cellStyle name="_KT_TG_2_Book1_danh muc chuan bi dau tu 2011 ngay 07-6-2011" xfId="775"/>
    <cellStyle name="_KT_TG_2_Book1_Danh muc pbo nguon von XSKT, XDCB nam 2009 chuyen qua nam 2010" xfId="776"/>
    <cellStyle name="_KT_TG_2_Book1_dieu chinh KH 2011 ngay 26-5-2011111" xfId="777"/>
    <cellStyle name="_KT_TG_2_Book1_DS KCH PHAN BO VON NSDP NAM 2010" xfId="778"/>
    <cellStyle name="_KT_TG_2_Book1_giao KH 2011 ngay 10-12-2010" xfId="779"/>
    <cellStyle name="_KT_TG_2_Book1_Luy ke von ung nam 2011 -Thoa gui ngay 12-8-2012" xfId="780"/>
    <cellStyle name="_KT_TG_2_CAU Khanh Nam(Thi Cong)" xfId="781"/>
    <cellStyle name="_KT_TG_2_ChiHuong_ApGia" xfId="782"/>
    <cellStyle name="_KT_TG_2_CoCauPhi (version 1)" xfId="783"/>
    <cellStyle name="_KT_TG_2_Copy of 05-12  KH trung han 2016-2020 - Liem Thinh edited (1)" xfId="784"/>
    <cellStyle name="_KT_TG_2_danh muc chuan bi dau tu 2011 ngay 07-6-2011" xfId="785"/>
    <cellStyle name="_KT_TG_2_Danh muc pbo nguon von XSKT, XDCB nam 2009 chuyen qua nam 2010" xfId="786"/>
    <cellStyle name="_KT_TG_2_DAU NOI PL-CL TAI PHU LAMHC" xfId="787"/>
    <cellStyle name="_KT_TG_2_dieu chinh KH 2011 ngay 26-5-2011111" xfId="788"/>
    <cellStyle name="_KT_TG_2_DS KCH PHAN BO VON NSDP NAM 2010" xfId="789"/>
    <cellStyle name="_KT_TG_2_DTCDT MR.2N110.HOCMON.TDTOAN.CCUNG" xfId="790"/>
    <cellStyle name="_KT_TG_2_DU TRU VAT TU" xfId="791"/>
    <cellStyle name="_KT_TG_2_giao KH 2011 ngay 10-12-2010" xfId="792"/>
    <cellStyle name="_KT_TG_2_GTGT 2003" xfId="793"/>
    <cellStyle name="_KT_TG_2_KE KHAI THUE GTGT 2004" xfId="794"/>
    <cellStyle name="_KT_TG_2_KE KHAI THUE GTGT 2004_BCTC2004" xfId="795"/>
    <cellStyle name="_KT_TG_2_KH TPCP 2016-2020 (tong hop)" xfId="796"/>
    <cellStyle name="_KT_TG_2_KH TPCP vung TNB (03-1-2012)" xfId="797"/>
    <cellStyle name="_KT_TG_2_kien giang 2" xfId="798"/>
    <cellStyle name="_KT_TG_2_Lora-tungchau" xfId="799"/>
    <cellStyle name="_KT_TG_2_Luy ke von ung nam 2011 -Thoa gui ngay 12-8-2012" xfId="800"/>
    <cellStyle name="_KT_TG_2_NhanCong" xfId="801"/>
    <cellStyle name="_KT_TG_2_N-X-T-04" xfId="802"/>
    <cellStyle name="_KT_TG_2_PGIA-phieu tham tra Kho bac" xfId="803"/>
    <cellStyle name="_KT_TG_2_phu luc tong ket tinh hinh TH giai doan 03-10 (ngay 30)" xfId="804"/>
    <cellStyle name="_KT_TG_2_PT02-02" xfId="805"/>
    <cellStyle name="_KT_TG_2_PT02-02_Book1" xfId="806"/>
    <cellStyle name="_KT_TG_2_PT02-03" xfId="807"/>
    <cellStyle name="_KT_TG_2_PT02-03_Book1" xfId="808"/>
    <cellStyle name="_KT_TG_2_Qt-HT3PQ1(CauKho)" xfId="809"/>
    <cellStyle name="_KT_TG_2_Sheet1" xfId="810"/>
    <cellStyle name="_KT_TG_2_TK152-04" xfId="811"/>
    <cellStyle name="_KT_TG_2_ÿÿÿÿÿ" xfId="812"/>
    <cellStyle name="_KT_TG_2_ÿÿÿÿÿ_Bieu mau cong trinh khoi cong moi 3-4" xfId="813"/>
    <cellStyle name="_KT_TG_2_ÿÿÿÿÿ_Bieu3ODA" xfId="814"/>
    <cellStyle name="_KT_TG_2_ÿÿÿÿÿ_Bieu4HTMT" xfId="815"/>
    <cellStyle name="_KT_TG_2_ÿÿÿÿÿ_KH TPCP vung TNB (03-1-2012)" xfId="816"/>
    <cellStyle name="_KT_TG_2_ÿÿÿÿÿ_kien giang 2" xfId="817"/>
    <cellStyle name="_KT_TG_3" xfId="818"/>
    <cellStyle name="_KT_TG_4" xfId="819"/>
    <cellStyle name="_KT_TG_4 2" xfId="820"/>
    <cellStyle name="_KT_TG_4_05-12  KH trung han 2016-2020 - Liem Thinh edited" xfId="821"/>
    <cellStyle name="_KT_TG_4_Copy of 05-12  KH trung han 2016-2020 - Liem Thinh edited (1)" xfId="822"/>
    <cellStyle name="_KT_TG_4_KH TPCP 2016-2020 (tong hop)" xfId="823"/>
    <cellStyle name="_KT_TG_4_Lora-tungchau" xfId="824"/>
    <cellStyle name="_KT_TG_4_Lora-tungchau 2" xfId="825"/>
    <cellStyle name="_KT_TG_4_Lora-tungchau_05-12  KH trung han 2016-2020 - Liem Thinh edited" xfId="826"/>
    <cellStyle name="_KT_TG_4_Lora-tungchau_Copy of 05-12  KH trung han 2016-2020 - Liem Thinh edited (1)" xfId="827"/>
    <cellStyle name="_KT_TG_4_Lora-tungchau_KH TPCP 2016-2020 (tong hop)" xfId="828"/>
    <cellStyle name="_KT_TG_4_Qt-HT3PQ1(CauKho)" xfId="829"/>
    <cellStyle name="_Lora-tungchau" xfId="830"/>
    <cellStyle name="_Lora-tungchau 2" xfId="831"/>
    <cellStyle name="_Lora-tungchau_05-12  KH trung han 2016-2020 - Liem Thinh edited" xfId="832"/>
    <cellStyle name="_Lora-tungchau_Copy of 05-12  KH trung han 2016-2020 - Liem Thinh edited (1)" xfId="833"/>
    <cellStyle name="_Lora-tungchau_KH TPCP 2016-2020 (tong hop)" xfId="834"/>
    <cellStyle name="_Luy ke von ung nam 2011 -Thoa gui ngay 12-8-2012" xfId="835"/>
    <cellStyle name="_mau so 3" xfId="836"/>
    <cellStyle name="_MauThanTKKT-goi7-DonGia2143(vl t7)" xfId="837"/>
    <cellStyle name="_MauThanTKKT-goi7-DonGia2143(vl t7)_!1 1 bao cao giao KH ve HTCMT vung TNB   12-12-2011" xfId="838"/>
    <cellStyle name="_MauThanTKKT-goi7-DonGia2143(vl t7)_Bieu4HTMT" xfId="839"/>
    <cellStyle name="_MauThanTKKT-goi7-DonGia2143(vl t7)_Bieu4HTMT_!1 1 bao cao giao KH ve HTCMT vung TNB   12-12-2011" xfId="840"/>
    <cellStyle name="_MauThanTKKT-goi7-DonGia2143(vl t7)_Bieu4HTMT_KH TPCP vung TNB (03-1-2012)" xfId="841"/>
    <cellStyle name="_MauThanTKKT-goi7-DonGia2143(vl t7)_KH TPCP vung TNB (03-1-2012)" xfId="842"/>
    <cellStyle name="_Nhu cau von ung truoc 2011 Tha h Hoa + Nge An gui TW" xfId="843"/>
    <cellStyle name="_Nhu cau von ung truoc 2011 Tha h Hoa + Nge An gui TW_!1 1 bao cao giao KH ve HTCMT vung TNB   12-12-2011" xfId="844"/>
    <cellStyle name="_Nhu cau von ung truoc 2011 Tha h Hoa + Nge An gui TW_Bieu4HTMT" xfId="845"/>
    <cellStyle name="_Nhu cau von ung truoc 2011 Tha h Hoa + Nge An gui TW_Bieu4HTMT_!1 1 bao cao giao KH ve HTCMT vung TNB   12-12-2011" xfId="846"/>
    <cellStyle name="_Nhu cau von ung truoc 2011 Tha h Hoa + Nge An gui TW_Bieu4HTMT_KH TPCP vung TNB (03-1-2012)" xfId="847"/>
    <cellStyle name="_Nhu cau von ung truoc 2011 Tha h Hoa + Nge An gui TW_KH TPCP vung TNB (03-1-2012)" xfId="848"/>
    <cellStyle name="_N-X-T-04" xfId="849"/>
    <cellStyle name="_PERSONAL" xfId="850"/>
    <cellStyle name="_PERSONAL_BC CV 6403 BKHĐT" xfId="851"/>
    <cellStyle name="_PERSONAL_Bieu mau cong trinh khoi cong moi 3-4" xfId="852"/>
    <cellStyle name="_PERSONAL_Bieu3ODA" xfId="853"/>
    <cellStyle name="_PERSONAL_Bieu4HTMT" xfId="854"/>
    <cellStyle name="_PERSONAL_Book1" xfId="855"/>
    <cellStyle name="_PERSONAL_Book1 2" xfId="856"/>
    <cellStyle name="_PERSONAL_HTQ.8 GD1" xfId="857"/>
    <cellStyle name="_PERSONAL_HTQ.8 GD1_05-12  KH trung han 2016-2020 - Liem Thinh edited" xfId="858"/>
    <cellStyle name="_PERSONAL_HTQ.8 GD1_Copy of 05-12  KH trung han 2016-2020 - Liem Thinh edited (1)" xfId="859"/>
    <cellStyle name="_PERSONAL_HTQ.8 GD1_KH TPCP 2016-2020 (tong hop)" xfId="860"/>
    <cellStyle name="_PERSONAL_Luy ke von ung nam 2011 -Thoa gui ngay 12-8-2012" xfId="861"/>
    <cellStyle name="_PERSONAL_Tong hop KHCB 2001" xfId="862"/>
    <cellStyle name="_Phan bo KH 2009 TPCP" xfId="863"/>
    <cellStyle name="_phong bo mon22" xfId="864"/>
    <cellStyle name="_phong bo mon22_!1 1 bao cao giao KH ve HTCMT vung TNB   12-12-2011" xfId="865"/>
    <cellStyle name="_phong bo mon22_KH TPCP vung TNB (03-1-2012)" xfId="866"/>
    <cellStyle name="_Phu luc 2 (Bieu 2) TH KH 2010" xfId="867"/>
    <cellStyle name="_phu luc tong ket tinh hinh TH giai doan 03-10 (ngay 30)" xfId="868"/>
    <cellStyle name="_Phuluckinhphi_DC_lan 4_YL" xfId="869"/>
    <cellStyle name="_Q TOAN  SCTX QL.62 QUI I ( oanh)" xfId="870"/>
    <cellStyle name="_Q TOAN  SCTX QL.62 QUI II ( oanh)" xfId="871"/>
    <cellStyle name="_QT SCTXQL62_QT1 (Cty QL)" xfId="872"/>
    <cellStyle name="_Qt-HT3PQ1(CauKho)" xfId="873"/>
    <cellStyle name="_Sheet1" xfId="874"/>
    <cellStyle name="_Sheet2" xfId="875"/>
    <cellStyle name="_TG-TH" xfId="876"/>
    <cellStyle name="_TG-TH_1" xfId="877"/>
    <cellStyle name="_TG-TH_1 2" xfId="878"/>
    <cellStyle name="_TG-TH_1_05-12  KH trung han 2016-2020 - Liem Thinh edited" xfId="879"/>
    <cellStyle name="_TG-TH_1_ApGiaVatTu_cayxanh_latgach" xfId="880"/>
    <cellStyle name="_TG-TH_1_BANG TONG HOP TINH HINH THANH QUYET TOAN (MOI I)" xfId="881"/>
    <cellStyle name="_TG-TH_1_BAO CAO KLCT PT2000" xfId="882"/>
    <cellStyle name="_TG-TH_1_BAO CAO PT2000" xfId="883"/>
    <cellStyle name="_TG-TH_1_BAO CAO PT2000_Book1" xfId="884"/>
    <cellStyle name="_TG-TH_1_Bao cao XDCB 2001 - T11 KH dieu chinh 20-11-THAI" xfId="885"/>
    <cellStyle name="_TG-TH_1_BAO GIA NGAY 24-10-08 (co dam)" xfId="886"/>
    <cellStyle name="_TG-TH_1_BC  NAM 2007" xfId="887"/>
    <cellStyle name="_TG-TH_1_BC CV 6403 BKHĐT" xfId="888"/>
    <cellStyle name="_TG-TH_1_BC NQ11-CP - chinh sua lai" xfId="889"/>
    <cellStyle name="_TG-TH_1_BC NQ11-CP-Quynh sau bieu so3" xfId="890"/>
    <cellStyle name="_TG-TH_1_BC_NQ11-CP_-_Thao_sua_lai" xfId="891"/>
    <cellStyle name="_TG-TH_1_Bieu mau cong trinh khoi cong moi 3-4" xfId="892"/>
    <cellStyle name="_TG-TH_1_Bieu3ODA" xfId="893"/>
    <cellStyle name="_TG-TH_1_Bieu3ODA_1" xfId="894"/>
    <cellStyle name="_TG-TH_1_Bieu4HTMT" xfId="895"/>
    <cellStyle name="_TG-TH_1_bo sung von KCH nam 2010 va Du an tre kho khan" xfId="896"/>
    <cellStyle name="_TG-TH_1_Book1" xfId="897"/>
    <cellStyle name="_TG-TH_1_Book1 2" xfId="898"/>
    <cellStyle name="_TG-TH_1_Book1_1" xfId="899"/>
    <cellStyle name="_TG-TH_1_Book1_1 2" xfId="900"/>
    <cellStyle name="_TG-TH_1_Book1_1_BC CV 6403 BKHĐT" xfId="901"/>
    <cellStyle name="_TG-TH_1_Book1_1_Bieu mau cong trinh khoi cong moi 3-4" xfId="902"/>
    <cellStyle name="_TG-TH_1_Book1_1_Bieu3ODA" xfId="903"/>
    <cellStyle name="_TG-TH_1_Book1_1_Bieu4HTMT" xfId="904"/>
    <cellStyle name="_TG-TH_1_Book1_1_Book1" xfId="905"/>
    <cellStyle name="_TG-TH_1_Book1_1_Luy ke von ung nam 2011 -Thoa gui ngay 12-8-2012" xfId="906"/>
    <cellStyle name="_TG-TH_1_Book1_2" xfId="907"/>
    <cellStyle name="_TG-TH_1_Book1_2 2" xfId="908"/>
    <cellStyle name="_TG-TH_1_Book1_2_BC CV 6403 BKHĐT" xfId="909"/>
    <cellStyle name="_TG-TH_1_Book1_2_Bieu3ODA" xfId="910"/>
    <cellStyle name="_TG-TH_1_Book1_2_Luy ke von ung nam 2011 -Thoa gui ngay 12-8-2012" xfId="911"/>
    <cellStyle name="_TG-TH_1_Book1_3" xfId="912"/>
    <cellStyle name="_TG-TH_1_Book1_4" xfId="913"/>
    <cellStyle name="_TG-TH_1_Book1_BC CV 6403 BKHĐT" xfId="914"/>
    <cellStyle name="_TG-TH_1_Book1_BC-QT-WB-dthao" xfId="915"/>
    <cellStyle name="_TG-TH_1_Book1_Bieu mau cong trinh khoi cong moi 3-4" xfId="916"/>
    <cellStyle name="_TG-TH_1_Book1_Bieu3ODA" xfId="917"/>
    <cellStyle name="_TG-TH_1_Book1_Bieu4HTMT" xfId="918"/>
    <cellStyle name="_TG-TH_1_Book1_bo sung von KCH nam 2010 va Du an tre kho khan" xfId="919"/>
    <cellStyle name="_TG-TH_1_Book1_Book1" xfId="920"/>
    <cellStyle name="_TG-TH_1_Book1_danh muc chuan bi dau tu 2011 ngay 07-6-2011" xfId="921"/>
    <cellStyle name="_TG-TH_1_Book1_Danh muc pbo nguon von XSKT, XDCB nam 2009 chuyen qua nam 2010" xfId="922"/>
    <cellStyle name="_TG-TH_1_Book1_dieu chinh KH 2011 ngay 26-5-2011111" xfId="923"/>
    <cellStyle name="_TG-TH_1_Book1_DS KCH PHAN BO VON NSDP NAM 2010" xfId="924"/>
    <cellStyle name="_TG-TH_1_Book1_giao KH 2011 ngay 10-12-2010" xfId="925"/>
    <cellStyle name="_TG-TH_1_Book1_Luy ke von ung nam 2011 -Thoa gui ngay 12-8-2012" xfId="926"/>
    <cellStyle name="_TG-TH_1_CAU Khanh Nam(Thi Cong)" xfId="927"/>
    <cellStyle name="_TG-TH_1_ChiHuong_ApGia" xfId="928"/>
    <cellStyle name="_TG-TH_1_CoCauPhi (version 1)" xfId="929"/>
    <cellStyle name="_TG-TH_1_Copy of 05-12  KH trung han 2016-2020 - Liem Thinh edited (1)" xfId="930"/>
    <cellStyle name="_TG-TH_1_danh muc chuan bi dau tu 2011 ngay 07-6-2011" xfId="931"/>
    <cellStyle name="_TG-TH_1_Danh muc pbo nguon von XSKT, XDCB nam 2009 chuyen qua nam 2010" xfId="932"/>
    <cellStyle name="_TG-TH_1_DAU NOI PL-CL TAI PHU LAMHC" xfId="933"/>
    <cellStyle name="_TG-TH_1_dieu chinh KH 2011 ngay 26-5-2011111" xfId="934"/>
    <cellStyle name="_TG-TH_1_DS KCH PHAN BO VON NSDP NAM 2010" xfId="935"/>
    <cellStyle name="_TG-TH_1_DTCDT MR.2N110.HOCMON.TDTOAN.CCUNG" xfId="936"/>
    <cellStyle name="_TG-TH_1_DU TRU VAT TU" xfId="937"/>
    <cellStyle name="_TG-TH_1_giao KH 2011 ngay 10-12-2010" xfId="938"/>
    <cellStyle name="_TG-TH_1_GTGT 2003" xfId="939"/>
    <cellStyle name="_TG-TH_1_KE KHAI THUE GTGT 2004" xfId="940"/>
    <cellStyle name="_TG-TH_1_KE KHAI THUE GTGT 2004_BCTC2004" xfId="941"/>
    <cellStyle name="_TG-TH_1_KH TPCP 2016-2020 (tong hop)" xfId="942"/>
    <cellStyle name="_TG-TH_1_KH TPCP vung TNB (03-1-2012)" xfId="943"/>
    <cellStyle name="_TG-TH_1_kien giang 2" xfId="944"/>
    <cellStyle name="_TG-TH_1_Lora-tungchau" xfId="945"/>
    <cellStyle name="_TG-TH_1_Luy ke von ung nam 2011 -Thoa gui ngay 12-8-2012" xfId="946"/>
    <cellStyle name="_TG-TH_1_NhanCong" xfId="947"/>
    <cellStyle name="_TG-TH_1_N-X-T-04" xfId="948"/>
    <cellStyle name="_TG-TH_1_PGIA-phieu tham tra Kho bac" xfId="949"/>
    <cellStyle name="_TG-TH_1_phu luc tong ket tinh hinh TH giai doan 03-10 (ngay 30)" xfId="950"/>
    <cellStyle name="_TG-TH_1_PT02-02" xfId="951"/>
    <cellStyle name="_TG-TH_1_PT02-02_Book1" xfId="952"/>
    <cellStyle name="_TG-TH_1_PT02-03" xfId="953"/>
    <cellStyle name="_TG-TH_1_PT02-03_Book1" xfId="954"/>
    <cellStyle name="_TG-TH_1_Qt-HT3PQ1(CauKho)" xfId="955"/>
    <cellStyle name="_TG-TH_1_Sheet1" xfId="956"/>
    <cellStyle name="_TG-TH_1_TK152-04" xfId="957"/>
    <cellStyle name="_TG-TH_1_ÿÿÿÿÿ" xfId="958"/>
    <cellStyle name="_TG-TH_1_ÿÿÿÿÿ_Bieu mau cong trinh khoi cong moi 3-4" xfId="959"/>
    <cellStyle name="_TG-TH_1_ÿÿÿÿÿ_Bieu3ODA" xfId="960"/>
    <cellStyle name="_TG-TH_1_ÿÿÿÿÿ_Bieu4HTMT" xfId="961"/>
    <cellStyle name="_TG-TH_1_ÿÿÿÿÿ_KH TPCP vung TNB (03-1-2012)" xfId="962"/>
    <cellStyle name="_TG-TH_1_ÿÿÿÿÿ_kien giang 2" xfId="963"/>
    <cellStyle name="_TG-TH_2" xfId="964"/>
    <cellStyle name="_TG-TH_2 2" xfId="965"/>
    <cellStyle name="_TG-TH_2_05-12  KH trung han 2016-2020 - Liem Thinh edited" xfId="966"/>
    <cellStyle name="_TG-TH_2_ApGiaVatTu_cayxanh_latgach" xfId="967"/>
    <cellStyle name="_TG-TH_2_BANG TONG HOP TINH HINH THANH QUYET TOAN (MOI I)" xfId="968"/>
    <cellStyle name="_TG-TH_2_BAO CAO KLCT PT2000" xfId="969"/>
    <cellStyle name="_TG-TH_2_BAO CAO PT2000" xfId="970"/>
    <cellStyle name="_TG-TH_2_BAO CAO PT2000_Book1" xfId="971"/>
    <cellStyle name="_TG-TH_2_Bao cao XDCB 2001 - T11 KH dieu chinh 20-11-THAI" xfId="972"/>
    <cellStyle name="_TG-TH_2_BAO GIA NGAY 24-10-08 (co dam)" xfId="973"/>
    <cellStyle name="_TG-TH_2_BC  NAM 2007" xfId="974"/>
    <cellStyle name="_TG-TH_2_BC CV 6403 BKHĐT" xfId="975"/>
    <cellStyle name="_TG-TH_2_BC NQ11-CP - chinh sua lai" xfId="976"/>
    <cellStyle name="_TG-TH_2_BC NQ11-CP-Quynh sau bieu so3" xfId="977"/>
    <cellStyle name="_TG-TH_2_BC_NQ11-CP_-_Thao_sua_lai" xfId="978"/>
    <cellStyle name="_TG-TH_2_Bieu mau cong trinh khoi cong moi 3-4" xfId="979"/>
    <cellStyle name="_TG-TH_2_Bieu3ODA" xfId="980"/>
    <cellStyle name="_TG-TH_2_Bieu3ODA_1" xfId="981"/>
    <cellStyle name="_TG-TH_2_Bieu4HTMT" xfId="982"/>
    <cellStyle name="_TG-TH_2_bo sung von KCH nam 2010 va Du an tre kho khan" xfId="983"/>
    <cellStyle name="_TG-TH_2_Book1" xfId="984"/>
    <cellStyle name="_TG-TH_2_Book1 2" xfId="985"/>
    <cellStyle name="_TG-TH_2_Book1_1" xfId="986"/>
    <cellStyle name="_TG-TH_2_Book1_1 2" xfId="987"/>
    <cellStyle name="_TG-TH_2_Book1_1_BC CV 6403 BKHĐT" xfId="988"/>
    <cellStyle name="_TG-TH_2_Book1_1_Bieu mau cong trinh khoi cong moi 3-4" xfId="989"/>
    <cellStyle name="_TG-TH_2_Book1_1_Bieu3ODA" xfId="990"/>
    <cellStyle name="_TG-TH_2_Book1_1_Bieu4HTMT" xfId="991"/>
    <cellStyle name="_TG-TH_2_Book1_1_Book1" xfId="992"/>
    <cellStyle name="_TG-TH_2_Book1_1_Luy ke von ung nam 2011 -Thoa gui ngay 12-8-2012" xfId="993"/>
    <cellStyle name="_TG-TH_2_Book1_2" xfId="994"/>
    <cellStyle name="_TG-TH_2_Book1_2 2" xfId="995"/>
    <cellStyle name="_TG-TH_2_Book1_2_BC CV 6403 BKHĐT" xfId="996"/>
    <cellStyle name="_TG-TH_2_Book1_2_Bieu3ODA" xfId="997"/>
    <cellStyle name="_TG-TH_2_Book1_2_Luy ke von ung nam 2011 -Thoa gui ngay 12-8-2012" xfId="998"/>
    <cellStyle name="_TG-TH_2_Book1_3" xfId="999"/>
    <cellStyle name="_TG-TH_2_Book1_3 2" xfId="1000"/>
    <cellStyle name="_TG-TH_2_Book1_4" xfId="1001"/>
    <cellStyle name="_TG-TH_2_Book1_BC CV 6403 BKHĐT" xfId="1002"/>
    <cellStyle name="_TG-TH_2_Book1_Bieu mau cong trinh khoi cong moi 3-4" xfId="1003"/>
    <cellStyle name="_TG-TH_2_Book1_Bieu3ODA" xfId="1004"/>
    <cellStyle name="_TG-TH_2_Book1_Bieu4HTMT" xfId="1005"/>
    <cellStyle name="_TG-TH_2_Book1_bo sung von KCH nam 2010 va Du an tre kho khan" xfId="1006"/>
    <cellStyle name="_TG-TH_2_Book1_Book1" xfId="1007"/>
    <cellStyle name="_TG-TH_2_Book1_danh muc chuan bi dau tu 2011 ngay 07-6-2011" xfId="1008"/>
    <cellStyle name="_TG-TH_2_Book1_Danh muc pbo nguon von XSKT, XDCB nam 2009 chuyen qua nam 2010" xfId="1009"/>
    <cellStyle name="_TG-TH_2_Book1_dieu chinh KH 2011 ngay 26-5-2011111" xfId="1010"/>
    <cellStyle name="_TG-TH_2_Book1_DS KCH PHAN BO VON NSDP NAM 2010" xfId="1011"/>
    <cellStyle name="_TG-TH_2_Book1_giao KH 2011 ngay 10-12-2010" xfId="1012"/>
    <cellStyle name="_TG-TH_2_Book1_Luy ke von ung nam 2011 -Thoa gui ngay 12-8-2012" xfId="1013"/>
    <cellStyle name="_TG-TH_2_CAU Khanh Nam(Thi Cong)" xfId="1014"/>
    <cellStyle name="_TG-TH_2_ChiHuong_ApGia" xfId="1015"/>
    <cellStyle name="_TG-TH_2_CoCauPhi (version 1)" xfId="1016"/>
    <cellStyle name="_TG-TH_2_Copy of 05-12  KH trung han 2016-2020 - Liem Thinh edited (1)" xfId="1017"/>
    <cellStyle name="_TG-TH_2_danh muc chuan bi dau tu 2011 ngay 07-6-2011" xfId="1018"/>
    <cellStyle name="_TG-TH_2_Danh muc pbo nguon von XSKT, XDCB nam 2009 chuyen qua nam 2010" xfId="1019"/>
    <cellStyle name="_TG-TH_2_DAU NOI PL-CL TAI PHU LAMHC" xfId="1020"/>
    <cellStyle name="_TG-TH_2_dieu chinh KH 2011 ngay 26-5-2011111" xfId="1021"/>
    <cellStyle name="_TG-TH_2_DS KCH PHAN BO VON NSDP NAM 2010" xfId="1022"/>
    <cellStyle name="_TG-TH_2_DTCDT MR.2N110.HOCMON.TDTOAN.CCUNG" xfId="1023"/>
    <cellStyle name="_TG-TH_2_DU TRU VAT TU" xfId="1024"/>
    <cellStyle name="_TG-TH_2_giao KH 2011 ngay 10-12-2010" xfId="1025"/>
    <cellStyle name="_TG-TH_2_GTGT 2003" xfId="1026"/>
    <cellStyle name="_TG-TH_2_KE KHAI THUE GTGT 2004" xfId="1027"/>
    <cellStyle name="_TG-TH_2_KE KHAI THUE GTGT 2004_BCTC2004" xfId="1028"/>
    <cellStyle name="_TG-TH_2_KH TPCP 2016-2020 (tong hop)" xfId="1029"/>
    <cellStyle name="_TG-TH_2_KH TPCP vung TNB (03-1-2012)" xfId="1030"/>
    <cellStyle name="_TG-TH_2_kien giang 2" xfId="1031"/>
    <cellStyle name="_TG-TH_2_Lora-tungchau" xfId="1032"/>
    <cellStyle name="_TG-TH_2_Luy ke von ung nam 2011 -Thoa gui ngay 12-8-2012" xfId="1033"/>
    <cellStyle name="_TG-TH_2_NhanCong" xfId="1034"/>
    <cellStyle name="_TG-TH_2_N-X-T-04" xfId="1035"/>
    <cellStyle name="_TG-TH_2_PGIA-phieu tham tra Kho bac" xfId="1036"/>
    <cellStyle name="_TG-TH_2_phu luc tong ket tinh hinh TH giai doan 03-10 (ngay 30)" xfId="1037"/>
    <cellStyle name="_TG-TH_2_PT02-02" xfId="1038"/>
    <cellStyle name="_TG-TH_2_PT02-02_Book1" xfId="1039"/>
    <cellStyle name="_TG-TH_2_PT02-03" xfId="1040"/>
    <cellStyle name="_TG-TH_2_PT02-03_Book1" xfId="1041"/>
    <cellStyle name="_TG-TH_2_Qt-HT3PQ1(CauKho)" xfId="1042"/>
    <cellStyle name="_TG-TH_2_Sheet1" xfId="1043"/>
    <cellStyle name="_TG-TH_2_TK152-04" xfId="1044"/>
    <cellStyle name="_TG-TH_2_ÿÿÿÿÿ" xfId="1045"/>
    <cellStyle name="_TG-TH_2_ÿÿÿÿÿ_Bieu mau cong trinh khoi cong moi 3-4" xfId="1046"/>
    <cellStyle name="_TG-TH_2_ÿÿÿÿÿ_Bieu3ODA" xfId="1047"/>
    <cellStyle name="_TG-TH_2_ÿÿÿÿÿ_Bieu4HTMT" xfId="1048"/>
    <cellStyle name="_TG-TH_2_ÿÿÿÿÿ_KH TPCP vung TNB (03-1-2012)" xfId="1049"/>
    <cellStyle name="_TG-TH_2_ÿÿÿÿÿ_kien giang 2" xfId="1050"/>
    <cellStyle name="_TG-TH_3" xfId="1051"/>
    <cellStyle name="_TG-TH_3 2" xfId="1052"/>
    <cellStyle name="_TG-TH_3_05-12  KH trung han 2016-2020 - Liem Thinh edited" xfId="1053"/>
    <cellStyle name="_TG-TH_3_Copy of 05-12  KH trung han 2016-2020 - Liem Thinh edited (1)" xfId="1054"/>
    <cellStyle name="_TG-TH_3_KH TPCP 2016-2020 (tong hop)" xfId="1055"/>
    <cellStyle name="_TG-TH_3_Lora-tungchau" xfId="1056"/>
    <cellStyle name="_TG-TH_3_Lora-tungchau 2" xfId="1057"/>
    <cellStyle name="_TG-TH_3_Lora-tungchau_05-12  KH trung han 2016-2020 - Liem Thinh edited" xfId="1058"/>
    <cellStyle name="_TG-TH_3_Lora-tungchau_Copy of 05-12  KH trung han 2016-2020 - Liem Thinh edited (1)" xfId="1059"/>
    <cellStyle name="_TG-TH_3_Lora-tungchau_KH TPCP 2016-2020 (tong hop)" xfId="1060"/>
    <cellStyle name="_TG-TH_3_Qt-HT3PQ1(CauKho)" xfId="1061"/>
    <cellStyle name="_TG-TH_4" xfId="1062"/>
    <cellStyle name="_TH KH 2010" xfId="1063"/>
    <cellStyle name="_TK152-04" xfId="1064"/>
    <cellStyle name="_Tong dutoan PP LAHAI" xfId="1065"/>
    <cellStyle name="_TPCP GT-24-5-Mien Nui" xfId="1066"/>
    <cellStyle name="_TPCP GT-24-5-Mien Nui_!1 1 bao cao giao KH ve HTCMT vung TNB   12-12-2011" xfId="1067"/>
    <cellStyle name="_TPCP GT-24-5-Mien Nui_Bieu4HTMT" xfId="1068"/>
    <cellStyle name="_TPCP GT-24-5-Mien Nui_Bieu4HTMT_!1 1 bao cao giao KH ve HTCMT vung TNB   12-12-2011" xfId="1069"/>
    <cellStyle name="_TPCP GT-24-5-Mien Nui_Bieu4HTMT_KH TPCP vung TNB (03-1-2012)" xfId="1070"/>
    <cellStyle name="_TPCP GT-24-5-Mien Nui_KH TPCP vung TNB (03-1-2012)" xfId="1071"/>
    <cellStyle name="_TT209BTC3" xfId="1072"/>
    <cellStyle name="_ung truoc 2011 NSTW Thanh Hoa + Nge An gui Thu 12-5" xfId="1073"/>
    <cellStyle name="_ung truoc 2011 NSTW Thanh Hoa + Nge An gui Thu 12-5_!1 1 bao cao giao KH ve HTCMT vung TNB   12-12-2011" xfId="1074"/>
    <cellStyle name="_ung truoc 2011 NSTW Thanh Hoa + Nge An gui Thu 12-5_Bieu4HTMT" xfId="1075"/>
    <cellStyle name="_ung truoc 2011 NSTW Thanh Hoa + Nge An gui Thu 12-5_Bieu4HTMT_!1 1 bao cao giao KH ve HTCMT vung TNB   12-12-2011" xfId="1076"/>
    <cellStyle name="_ung truoc 2011 NSTW Thanh Hoa + Nge An gui Thu 12-5_Bieu4HTMT_KH TPCP vung TNB (03-1-2012)" xfId="1077"/>
    <cellStyle name="_ung truoc 2011 NSTW Thanh Hoa + Nge An gui Thu 12-5_KH TPCP vung TNB (03-1-2012)" xfId="1078"/>
    <cellStyle name="_ung truoc cua long an (6-5-2010)" xfId="1079"/>
    <cellStyle name="_Ung von nam 2011 vung TNB - Doan Cong tac (12-5-2010)" xfId="1080"/>
    <cellStyle name="_Ung von nam 2011 vung TNB - Doan Cong tac (12-5-2010)_!1 1 bao cao giao KH ve HTCMT vung TNB   12-12-2011" xfId="1081"/>
    <cellStyle name="_Ung von nam 2011 vung TNB - Doan Cong tac (12-5-2010)_Bieu4HTMT" xfId="1082"/>
    <cellStyle name="_Ung von nam 2011 vung TNB - Doan Cong tac (12-5-2010)_Bieu4HTMT_!1 1 bao cao giao KH ve HTCMT vung TNB   12-12-2011" xfId="1083"/>
    <cellStyle name="_Ung von nam 2011 vung TNB - Doan Cong tac (12-5-2010)_Bieu4HTMT_KH TPCP vung TNB (03-1-2012)" xfId="1084"/>
    <cellStyle name="_Ung von nam 2011 vung TNB - Doan Cong tac (12-5-2010)_Chuẩn bị đầu tư 2011 (sep Hung)_KH 2012 (T3-2013)" xfId="1085"/>
    <cellStyle name="_Ung von nam 2011 vung TNB - Doan Cong tac (12-5-2010)_Cong trinh co y kien LD_Dang_NN_2011-Tay nguyen-9-10" xfId="1086"/>
    <cellStyle name="_Ung von nam 2011 vung TNB - Doan Cong tac (12-5-2010)_Cong trinh co y kien LD_Dang_NN_2011-Tay nguyen-9-10_!1 1 bao cao giao KH ve HTCMT vung TNB   12-12-2011" xfId="1087"/>
    <cellStyle name="_Ung von nam 2011 vung TNB - Doan Cong tac (12-5-2010)_Cong trinh co y kien LD_Dang_NN_2011-Tay nguyen-9-10_Bieu4HTMT" xfId="1088"/>
    <cellStyle name="_Ung von nam 2011 vung TNB - Doan Cong tac (12-5-2010)_Cong trinh co y kien LD_Dang_NN_2011-Tay nguyen-9-10_Bieu4HTMT_!1 1 bao cao giao KH ve HTCMT vung TNB   12-12-2011" xfId="1089"/>
    <cellStyle name="_Ung von nam 2011 vung TNB - Doan Cong tac (12-5-2010)_Cong trinh co y kien LD_Dang_NN_2011-Tay nguyen-9-10_Bieu4HTMT_KH TPCP vung TNB (03-1-2012)" xfId="1090"/>
    <cellStyle name="_Ung von nam 2011 vung TNB - Doan Cong tac (12-5-2010)_Cong trinh co y kien LD_Dang_NN_2011-Tay nguyen-9-10_KH TPCP vung TNB (03-1-2012)" xfId="1091"/>
    <cellStyle name="_Ung von nam 2011 vung TNB - Doan Cong tac (12-5-2010)_KH TPCP vung TNB (03-1-2012)" xfId="1092"/>
    <cellStyle name="_Ung von nam 2011 vung TNB - Doan Cong tac (12-5-2010)_TN - Ho tro khac 2011" xfId="1093"/>
    <cellStyle name="_Ung von nam 2011 vung TNB - Doan Cong tac (12-5-2010)_TN - Ho tro khac 2011_!1 1 bao cao giao KH ve HTCMT vung TNB   12-12-2011" xfId="1094"/>
    <cellStyle name="_Ung von nam 2011 vung TNB - Doan Cong tac (12-5-2010)_TN - Ho tro khac 2011_Bieu4HTMT" xfId="1095"/>
    <cellStyle name="_Ung von nam 2011 vung TNB - Doan Cong tac (12-5-2010)_TN - Ho tro khac 2011_Bieu4HTMT_!1 1 bao cao giao KH ve HTCMT vung TNB   12-12-2011" xfId="1096"/>
    <cellStyle name="_Ung von nam 2011 vung TNB - Doan Cong tac (12-5-2010)_TN - Ho tro khac 2011_Bieu4HTMT_KH TPCP vung TNB (03-1-2012)" xfId="1097"/>
    <cellStyle name="_Ung von nam 2011 vung TNB - Doan Cong tac (12-5-2010)_TN - Ho tro khac 2011_KH TPCP vung TNB (03-1-2012)" xfId="1098"/>
    <cellStyle name="_Von dau tu 2006-2020 (TL chien luoc)" xfId="1099"/>
    <cellStyle name="_Von dau tu 2006-2020 (TL chien luoc)_15_10_2013 BC nhu cau von doi ung ODA (2014-2016) ngay 15102013 Sua" xfId="1100"/>
    <cellStyle name="_Von dau tu 2006-2020 (TL chien luoc)_BC nhu cau von doi ung ODA nganh NN (BKH)" xfId="1101"/>
    <cellStyle name="_Von dau tu 2006-2020 (TL chien luoc)_BC nhu cau von doi ung ODA nganh NN (BKH)_05-12  KH trung han 2016-2020 - Liem Thinh edited" xfId="1102"/>
    <cellStyle name="_Von dau tu 2006-2020 (TL chien luoc)_BC nhu cau von doi ung ODA nganh NN (BKH)_Copy of 05-12  KH trung han 2016-2020 - Liem Thinh edited (1)" xfId="1103"/>
    <cellStyle name="_Von dau tu 2006-2020 (TL chien luoc)_BC Tai co cau (bieu TH)" xfId="1104"/>
    <cellStyle name="_Von dau tu 2006-2020 (TL chien luoc)_BC Tai co cau (bieu TH)_05-12  KH trung han 2016-2020 - Liem Thinh edited" xfId="1105"/>
    <cellStyle name="_Von dau tu 2006-2020 (TL chien luoc)_BC Tai co cau (bieu TH)_Copy of 05-12  KH trung han 2016-2020 - Liem Thinh edited (1)" xfId="1106"/>
    <cellStyle name="_Von dau tu 2006-2020 (TL chien luoc)_DK 2014-2015 final" xfId="1107"/>
    <cellStyle name="_Von dau tu 2006-2020 (TL chien luoc)_DK 2014-2015 final_05-12  KH trung han 2016-2020 - Liem Thinh edited" xfId="1108"/>
    <cellStyle name="_Von dau tu 2006-2020 (TL chien luoc)_DK 2014-2015 final_Copy of 05-12  KH trung han 2016-2020 - Liem Thinh edited (1)" xfId="1109"/>
    <cellStyle name="_Von dau tu 2006-2020 (TL chien luoc)_DK 2014-2015 new" xfId="1110"/>
    <cellStyle name="_Von dau tu 2006-2020 (TL chien luoc)_DK 2014-2015 new_05-12  KH trung han 2016-2020 - Liem Thinh edited" xfId="1111"/>
    <cellStyle name="_Von dau tu 2006-2020 (TL chien luoc)_DK 2014-2015 new_Copy of 05-12  KH trung han 2016-2020 - Liem Thinh edited (1)" xfId="1112"/>
    <cellStyle name="_Von dau tu 2006-2020 (TL chien luoc)_DK KH CBDT 2014 11-11-2013" xfId="1113"/>
    <cellStyle name="_Von dau tu 2006-2020 (TL chien luoc)_DK KH CBDT 2014 11-11-2013(1)" xfId="1114"/>
    <cellStyle name="_Von dau tu 2006-2020 (TL chien luoc)_DK KH CBDT 2014 11-11-2013(1)_05-12  KH trung han 2016-2020 - Liem Thinh edited" xfId="1115"/>
    <cellStyle name="_Von dau tu 2006-2020 (TL chien luoc)_DK KH CBDT 2014 11-11-2013(1)_Copy of 05-12  KH trung han 2016-2020 - Liem Thinh edited (1)" xfId="1116"/>
    <cellStyle name="_Von dau tu 2006-2020 (TL chien luoc)_DK KH CBDT 2014 11-11-2013_05-12  KH trung han 2016-2020 - Liem Thinh edited" xfId="1117"/>
    <cellStyle name="_Von dau tu 2006-2020 (TL chien luoc)_DK KH CBDT 2014 11-11-2013_Copy of 05-12  KH trung han 2016-2020 - Liem Thinh edited (1)" xfId="1118"/>
    <cellStyle name="_Von dau tu 2006-2020 (TL chien luoc)_KH 2011-2015" xfId="1119"/>
    <cellStyle name="_Von dau tu 2006-2020 (TL chien luoc)_tai co cau dau tu (tong hop)1" xfId="1120"/>
    <cellStyle name="_x005f_x0001_" xfId="1121"/>
    <cellStyle name="_x005f_x0001__!1 1 bao cao giao KH ve HTCMT vung TNB   12-12-2011" xfId="1122"/>
    <cellStyle name="_x005f_x0001__kien giang 2" xfId="1123"/>
    <cellStyle name="_x005f_x000d__x005f_x000a_JournalTemplate=C:\COMFO\CTALK\JOURSTD.TPL_x005f_x000d__x005f_x000a_LbStateAddress=3 3 0 251 1 89 2 311_x005f_x000d__x005f_x000a_LbStateJou" xfId="1124"/>
    <cellStyle name="_x005f_x005f_x005f_x0001_" xfId="1125"/>
    <cellStyle name="_x005f_x005f_x005f_x0001__!1 1 bao cao giao KH ve HTCMT vung TNB   12-12-2011" xfId="1126"/>
    <cellStyle name="_x005f_x005f_x005f_x0001__kien giang 2" xfId="1127"/>
    <cellStyle name="_x005f_x005f_x005f_x000d__x005f_x005f_x005f_x000a_JournalTemplate=C:\COMFO\CTALK\JOURSTD.TPL_x005f_x005f_x005f_x000d__x005f_x005f_x005f_x000a_LbStateAddress=3 3 0 251 1 89 2 311_x005f_x005f_x005f_x000d__x005f_x005f_x005f_x000a_LbStateJou" xfId="1128"/>
    <cellStyle name="_XDCB thang 12.2010" xfId="1129"/>
    <cellStyle name="_ÿÿÿÿÿ" xfId="1130"/>
    <cellStyle name="_ÿÿÿÿÿ_Bieu mau cong trinh khoi cong moi 3-4" xfId="1131"/>
    <cellStyle name="_ÿÿÿÿÿ_Bieu mau cong trinh khoi cong moi 3-4_!1 1 bao cao giao KH ve HTCMT vung TNB   12-12-2011" xfId="1132"/>
    <cellStyle name="_ÿÿÿÿÿ_Bieu mau cong trinh khoi cong moi 3-4_KH TPCP vung TNB (03-1-2012)" xfId="1133"/>
    <cellStyle name="_ÿÿÿÿÿ_Bieu3ODA" xfId="1134"/>
    <cellStyle name="_ÿÿÿÿÿ_Bieu3ODA_!1 1 bao cao giao KH ve HTCMT vung TNB   12-12-2011" xfId="1135"/>
    <cellStyle name="_ÿÿÿÿÿ_Bieu3ODA_KH TPCP vung TNB (03-1-2012)" xfId="1136"/>
    <cellStyle name="_ÿÿÿÿÿ_Bieu4HTMT" xfId="1137"/>
    <cellStyle name="_ÿÿÿÿÿ_Bieu4HTMT_!1 1 bao cao giao KH ve HTCMT vung TNB   12-12-2011" xfId="1138"/>
    <cellStyle name="_ÿÿÿÿÿ_Bieu4HTMT_KH TPCP vung TNB (03-1-2012)" xfId="1139"/>
    <cellStyle name="_ÿÿÿÿÿ_Kh ql62 (2010) 11-09" xfId="1140"/>
    <cellStyle name="_ÿÿÿÿÿ_KH TPCP vung TNB (03-1-2012)" xfId="1141"/>
    <cellStyle name="_ÿÿÿÿÿ_Khung 2012" xfId="1142"/>
    <cellStyle name="_ÿÿÿÿÿ_kien giang 2" xfId="1143"/>
    <cellStyle name="~1" xfId="1144"/>
    <cellStyle name="~1 2" xfId="1145"/>
    <cellStyle name="’Ê‰Ý [0.00]_laroux" xfId="1146"/>
    <cellStyle name="’Ê‰Ý_laroux" xfId="1147"/>
    <cellStyle name="¤@¯ë_CHI PHI QUAN LY 1-00" xfId="1148"/>
    <cellStyle name="•W?_Format" xfId="1149"/>
    <cellStyle name="•W€_’·Šú‰p•¶" xfId="1151"/>
    <cellStyle name="•W_’·Šú‰p•¶" xfId="1150"/>
    <cellStyle name="W_MARINE" xfId="5173"/>
    <cellStyle name="0" xfId="1152"/>
    <cellStyle name="0 2" xfId="1153"/>
    <cellStyle name="0 2 2" xfId="1154"/>
    <cellStyle name="0 2 3" xfId="1155"/>
    <cellStyle name="0 3" xfId="1156"/>
    <cellStyle name="0 4" xfId="1157"/>
    <cellStyle name="0,0_x000a__x000a_NA_x000a__x000a_" xfId="1158"/>
    <cellStyle name="0,0_x000d__x000a_NA_x000d__x000a_" xfId="1159"/>
    <cellStyle name="0,0_x000d__x000a_NA_x000d__x000a_ 2" xfId="1160"/>
    <cellStyle name="0,0_x000d__x000a_NA_x000d__x000a_ 3" xfId="1161"/>
    <cellStyle name="0,0_x000d__x000a_NA_x000d__x000a_ 4" xfId="1162"/>
    <cellStyle name="0,0_x000d__x000a_NA_x000d__x000a__Phu luc so 2 - NSTW " xfId="1163"/>
    <cellStyle name="0,0_x005f_x000d__x005f_x000a_NA_x005f_x000d__x005f_x000a_" xfId="1164"/>
    <cellStyle name="0.0" xfId="1165"/>
    <cellStyle name="0.0 2" xfId="1166"/>
    <cellStyle name="0.0 2 2" xfId="1167"/>
    <cellStyle name="0.0 2 3" xfId="1168"/>
    <cellStyle name="0.0 3" xfId="1169"/>
    <cellStyle name="0.0 4" xfId="1170"/>
    <cellStyle name="0.00" xfId="1171"/>
    <cellStyle name="0.00 2" xfId="1172"/>
    <cellStyle name="0.00 2 2" xfId="1173"/>
    <cellStyle name="0.00 2 3" xfId="1174"/>
    <cellStyle name="0.00 3" xfId="1175"/>
    <cellStyle name="0.00 4" xfId="1176"/>
    <cellStyle name="1" xfId="1177"/>
    <cellStyle name="1 2" xfId="1178"/>
    <cellStyle name="1_!1 1 bao cao giao KH ve HTCMT vung TNB   12-12-2011" xfId="1179"/>
    <cellStyle name="1_BAO GIA NGAY 24-10-08 (co dam)" xfId="1180"/>
    <cellStyle name="1_Bieu4HTMT" xfId="1181"/>
    <cellStyle name="1_Book1" xfId="1182"/>
    <cellStyle name="1_Book1_1" xfId="1183"/>
    <cellStyle name="1_Book1_1_!1 1 bao cao giao KH ve HTCMT vung TNB   12-12-2011" xfId="1184"/>
    <cellStyle name="1_Book1_1_Bieu4HTMT" xfId="1185"/>
    <cellStyle name="1_Book1_1_Bieu4HTMT_!1 1 bao cao giao KH ve HTCMT vung TNB   12-12-2011" xfId="1186"/>
    <cellStyle name="1_Book1_1_Bieu4HTMT_KH TPCP vung TNB (03-1-2012)" xfId="1187"/>
    <cellStyle name="1_Book1_1_KH TPCP vung TNB (03-1-2012)" xfId="1188"/>
    <cellStyle name="1_Cau thuy dien Ban La (Cu Anh)" xfId="1189"/>
    <cellStyle name="1_Cau thuy dien Ban La (Cu Anh)_!1 1 bao cao giao KH ve HTCMT vung TNB   12-12-2011" xfId="1190"/>
    <cellStyle name="1_Cau thuy dien Ban La (Cu Anh)_Bieu4HTMT" xfId="1191"/>
    <cellStyle name="1_Cau thuy dien Ban La (Cu Anh)_Bieu4HTMT_!1 1 bao cao giao KH ve HTCMT vung TNB   12-12-2011" xfId="1192"/>
    <cellStyle name="1_Cau thuy dien Ban La (Cu Anh)_Bieu4HTMT_KH TPCP vung TNB (03-1-2012)" xfId="1193"/>
    <cellStyle name="1_Cau thuy dien Ban La (Cu Anh)_KH TPCP vung TNB (03-1-2012)" xfId="1194"/>
    <cellStyle name="1_Cong trinh co y kien LD_Dang_NN_2011-Tay nguyen-9-10" xfId="1195"/>
    <cellStyle name="1_Du toan 558 (Km17+508.12 - Km 22)" xfId="1196"/>
    <cellStyle name="1_Du toan 558 (Km17+508.12 - Km 22)_!1 1 bao cao giao KH ve HTCMT vung TNB   12-12-2011" xfId="1197"/>
    <cellStyle name="1_Du toan 558 (Km17+508.12 - Km 22)_Bieu4HTMT" xfId="1198"/>
    <cellStyle name="1_Du toan 558 (Km17+508.12 - Km 22)_Bieu4HTMT_!1 1 bao cao giao KH ve HTCMT vung TNB   12-12-2011" xfId="1199"/>
    <cellStyle name="1_Du toan 558 (Km17+508.12 - Km 22)_Bieu4HTMT_KH TPCP vung TNB (03-1-2012)" xfId="1200"/>
    <cellStyle name="1_Du toan 558 (Km17+508.12 - Km 22)_KH TPCP vung TNB (03-1-2012)" xfId="1201"/>
    <cellStyle name="1_Gia_VLQL48_duyet " xfId="1202"/>
    <cellStyle name="1_Gia_VLQL48_duyet _!1 1 bao cao giao KH ve HTCMT vung TNB   12-12-2011" xfId="1203"/>
    <cellStyle name="1_Gia_VLQL48_duyet _Bieu4HTMT" xfId="1204"/>
    <cellStyle name="1_Gia_VLQL48_duyet _Bieu4HTMT_!1 1 bao cao giao KH ve HTCMT vung TNB   12-12-2011" xfId="1205"/>
    <cellStyle name="1_Gia_VLQL48_duyet _Bieu4HTMT_KH TPCP vung TNB (03-1-2012)" xfId="1206"/>
    <cellStyle name="1_Gia_VLQL48_duyet _KH TPCP vung TNB (03-1-2012)" xfId="1207"/>
    <cellStyle name="1_Kh ql62 (2010) 11-09" xfId="1208"/>
    <cellStyle name="1_KH TPCP vung TNB (03-1-2012)" xfId="1209"/>
    <cellStyle name="1_Khung 2012" xfId="1210"/>
    <cellStyle name="1_KlQdinhduyet" xfId="1211"/>
    <cellStyle name="1_KlQdinhduyet_!1 1 bao cao giao KH ve HTCMT vung TNB   12-12-2011" xfId="1212"/>
    <cellStyle name="1_KlQdinhduyet_Bieu4HTMT" xfId="1213"/>
    <cellStyle name="1_KlQdinhduyet_Bieu4HTMT_!1 1 bao cao giao KH ve HTCMT vung TNB   12-12-2011" xfId="1214"/>
    <cellStyle name="1_KlQdinhduyet_Bieu4HTMT_KH TPCP vung TNB (03-1-2012)" xfId="1215"/>
    <cellStyle name="1_KlQdinhduyet_KH TPCP vung TNB (03-1-2012)" xfId="1216"/>
    <cellStyle name="1_TN - Ho tro khac 2011" xfId="1217"/>
    <cellStyle name="1_TRUNG PMU 5" xfId="1218"/>
    <cellStyle name="1_ÿÿÿÿÿ" xfId="1219"/>
    <cellStyle name="1_ÿÿÿÿÿ_Bieu tong hop nhu cau ung 2011 da chon loc -Mien nui" xfId="1220"/>
    <cellStyle name="1_ÿÿÿÿÿ_Bieu tong hop nhu cau ung 2011 da chon loc -Mien nui 2" xfId="1221"/>
    <cellStyle name="1_ÿÿÿÿÿ_Bieu tong hop nhu cau ung 2011 da chon loc -Mien nui 2 2" xfId="1222"/>
    <cellStyle name="1_ÿÿÿÿÿ_Bieu tong hop nhu cau ung 2011 da chon loc -Mien nui 2 3" xfId="1223"/>
    <cellStyle name="1_ÿÿÿÿÿ_Bieu tong hop nhu cau ung 2011 da chon loc -Mien nui 3" xfId="1224"/>
    <cellStyle name="1_ÿÿÿÿÿ_Bieu tong hop nhu cau ung 2011 da chon loc -Mien nui 4" xfId="1225"/>
    <cellStyle name="1_ÿÿÿÿÿ_Kh ql62 (2010) 11-09" xfId="1226"/>
    <cellStyle name="1_ÿÿÿÿÿ_Khung 2012" xfId="1227"/>
    <cellStyle name="15" xfId="1228"/>
    <cellStyle name="18" xfId="1229"/>
    <cellStyle name="¹éºÐÀ²_      " xfId="1230"/>
    <cellStyle name="2" xfId="1231"/>
    <cellStyle name="2_Book1" xfId="1232"/>
    <cellStyle name="2_Book1_1" xfId="1233"/>
    <cellStyle name="2_Book1_1_!1 1 bao cao giao KH ve HTCMT vung TNB   12-12-2011" xfId="1234"/>
    <cellStyle name="2_Book1_1_Bieu4HTMT" xfId="1235"/>
    <cellStyle name="2_Book1_1_Bieu4HTMT_!1 1 bao cao giao KH ve HTCMT vung TNB   12-12-2011" xfId="1236"/>
    <cellStyle name="2_Book1_1_Bieu4HTMT_KH TPCP vung TNB (03-1-2012)" xfId="1237"/>
    <cellStyle name="2_Book1_1_KH TPCP vung TNB (03-1-2012)" xfId="1238"/>
    <cellStyle name="2_Cau thuy dien Ban La (Cu Anh)" xfId="1239"/>
    <cellStyle name="2_Cau thuy dien Ban La (Cu Anh)_!1 1 bao cao giao KH ve HTCMT vung TNB   12-12-2011" xfId="1240"/>
    <cellStyle name="2_Cau thuy dien Ban La (Cu Anh)_Bieu4HTMT" xfId="1241"/>
    <cellStyle name="2_Cau thuy dien Ban La (Cu Anh)_Bieu4HTMT_!1 1 bao cao giao KH ve HTCMT vung TNB   12-12-2011" xfId="1242"/>
    <cellStyle name="2_Cau thuy dien Ban La (Cu Anh)_Bieu4HTMT_KH TPCP vung TNB (03-1-2012)" xfId="1243"/>
    <cellStyle name="2_Cau thuy dien Ban La (Cu Anh)_KH TPCP vung TNB (03-1-2012)" xfId="1244"/>
    <cellStyle name="2_Du toan 558 (Km17+508.12 - Km 22)" xfId="1245"/>
    <cellStyle name="2_Du toan 558 (Km17+508.12 - Km 22)_!1 1 bao cao giao KH ve HTCMT vung TNB   12-12-2011" xfId="1246"/>
    <cellStyle name="2_Du toan 558 (Km17+508.12 - Km 22)_Bieu4HTMT" xfId="1247"/>
    <cellStyle name="2_Du toan 558 (Km17+508.12 - Km 22)_Bieu4HTMT_!1 1 bao cao giao KH ve HTCMT vung TNB   12-12-2011" xfId="1248"/>
    <cellStyle name="2_Du toan 558 (Km17+508.12 - Km 22)_Bieu4HTMT_KH TPCP vung TNB (03-1-2012)" xfId="1249"/>
    <cellStyle name="2_Du toan 558 (Km17+508.12 - Km 22)_KH TPCP vung TNB (03-1-2012)" xfId="1250"/>
    <cellStyle name="2_Gia_VLQL48_duyet " xfId="1251"/>
    <cellStyle name="2_Gia_VLQL48_duyet _!1 1 bao cao giao KH ve HTCMT vung TNB   12-12-2011" xfId="1252"/>
    <cellStyle name="2_Gia_VLQL48_duyet _Bieu4HTMT" xfId="1253"/>
    <cellStyle name="2_Gia_VLQL48_duyet _Bieu4HTMT_!1 1 bao cao giao KH ve HTCMT vung TNB   12-12-2011" xfId="1254"/>
    <cellStyle name="2_Gia_VLQL48_duyet _Bieu4HTMT_KH TPCP vung TNB (03-1-2012)" xfId="1255"/>
    <cellStyle name="2_Gia_VLQL48_duyet _KH TPCP vung TNB (03-1-2012)" xfId="1256"/>
    <cellStyle name="2_KlQdinhduyet" xfId="1257"/>
    <cellStyle name="2_KlQdinhduyet_!1 1 bao cao giao KH ve HTCMT vung TNB   12-12-2011" xfId="1258"/>
    <cellStyle name="2_KlQdinhduyet_Bieu4HTMT" xfId="1259"/>
    <cellStyle name="2_KlQdinhduyet_Bieu4HTMT_!1 1 bao cao giao KH ve HTCMT vung TNB   12-12-2011" xfId="1260"/>
    <cellStyle name="2_KlQdinhduyet_Bieu4HTMT_KH TPCP vung TNB (03-1-2012)" xfId="1261"/>
    <cellStyle name="2_KlQdinhduyet_KH TPCP vung TNB (03-1-2012)" xfId="1262"/>
    <cellStyle name="2_TRUNG PMU 5" xfId="1263"/>
    <cellStyle name="2_ÿÿÿÿÿ" xfId="1264"/>
    <cellStyle name="2_ÿÿÿÿÿ_Bieu tong hop nhu cau ung 2011 da chon loc -Mien nui" xfId="1265"/>
    <cellStyle name="2_ÿÿÿÿÿ_Bieu tong hop nhu cau ung 2011 da chon loc -Mien nui 2" xfId="1266"/>
    <cellStyle name="2_ÿÿÿÿÿ_Bieu tong hop nhu cau ung 2011 da chon loc -Mien nui 2 2" xfId="1267"/>
    <cellStyle name="2_ÿÿÿÿÿ_Bieu tong hop nhu cau ung 2011 da chon loc -Mien nui 2 3" xfId="1268"/>
    <cellStyle name="2_ÿÿÿÿÿ_Bieu tong hop nhu cau ung 2011 da chon loc -Mien nui 3" xfId="1269"/>
    <cellStyle name="2_ÿÿÿÿÿ_Bieu tong hop nhu cau ung 2011 da chon loc -Mien nui 4" xfId="1270"/>
    <cellStyle name="20" xfId="1271"/>
    <cellStyle name="20% - Accent1 2" xfId="1272"/>
    <cellStyle name="20% - Accent2 2" xfId="1273"/>
    <cellStyle name="20% - Accent3 2" xfId="1274"/>
    <cellStyle name="20% - Accent4 2" xfId="1275"/>
    <cellStyle name="20% - Accent5 2" xfId="1276"/>
    <cellStyle name="20% - Accent6 2" xfId="1277"/>
    <cellStyle name="-2001" xfId="1278"/>
    <cellStyle name="3" xfId="1279"/>
    <cellStyle name="3_Book1" xfId="1280"/>
    <cellStyle name="3_Book1_1" xfId="1281"/>
    <cellStyle name="3_Book1_1_!1 1 bao cao giao KH ve HTCMT vung TNB   12-12-2011" xfId="1282"/>
    <cellStyle name="3_Book1_1_Bieu4HTMT" xfId="1283"/>
    <cellStyle name="3_Book1_1_Bieu4HTMT_!1 1 bao cao giao KH ve HTCMT vung TNB   12-12-2011" xfId="1284"/>
    <cellStyle name="3_Book1_1_Bieu4HTMT_KH TPCP vung TNB (03-1-2012)" xfId="1285"/>
    <cellStyle name="3_Book1_1_KH TPCP vung TNB (03-1-2012)" xfId="1286"/>
    <cellStyle name="3_Cau thuy dien Ban La (Cu Anh)" xfId="1287"/>
    <cellStyle name="3_Cau thuy dien Ban La (Cu Anh)_!1 1 bao cao giao KH ve HTCMT vung TNB   12-12-2011" xfId="1288"/>
    <cellStyle name="3_Cau thuy dien Ban La (Cu Anh)_Bieu4HTMT" xfId="1289"/>
    <cellStyle name="3_Cau thuy dien Ban La (Cu Anh)_Bieu4HTMT_!1 1 bao cao giao KH ve HTCMT vung TNB   12-12-2011" xfId="1290"/>
    <cellStyle name="3_Cau thuy dien Ban La (Cu Anh)_Bieu4HTMT_KH TPCP vung TNB (03-1-2012)" xfId="1291"/>
    <cellStyle name="3_Cau thuy dien Ban La (Cu Anh)_KH TPCP vung TNB (03-1-2012)" xfId="1292"/>
    <cellStyle name="3_Du toan 558 (Km17+508.12 - Km 22)" xfId="1293"/>
    <cellStyle name="3_Du toan 558 (Km17+508.12 - Km 22)_!1 1 bao cao giao KH ve HTCMT vung TNB   12-12-2011" xfId="1294"/>
    <cellStyle name="3_Du toan 558 (Km17+508.12 - Km 22)_Bieu4HTMT" xfId="1295"/>
    <cellStyle name="3_Du toan 558 (Km17+508.12 - Km 22)_Bieu4HTMT_!1 1 bao cao giao KH ve HTCMT vung TNB   12-12-2011" xfId="1296"/>
    <cellStyle name="3_Du toan 558 (Km17+508.12 - Km 22)_Bieu4HTMT_KH TPCP vung TNB (03-1-2012)" xfId="1297"/>
    <cellStyle name="3_Du toan 558 (Km17+508.12 - Km 22)_KH TPCP vung TNB (03-1-2012)" xfId="1298"/>
    <cellStyle name="3_Gia_VLQL48_duyet " xfId="1299"/>
    <cellStyle name="3_Gia_VLQL48_duyet _!1 1 bao cao giao KH ve HTCMT vung TNB   12-12-2011" xfId="1300"/>
    <cellStyle name="3_Gia_VLQL48_duyet _Bieu4HTMT" xfId="1301"/>
    <cellStyle name="3_Gia_VLQL48_duyet _Bieu4HTMT_!1 1 bao cao giao KH ve HTCMT vung TNB   12-12-2011" xfId="1302"/>
    <cellStyle name="3_Gia_VLQL48_duyet _Bieu4HTMT_KH TPCP vung TNB (03-1-2012)" xfId="1303"/>
    <cellStyle name="3_Gia_VLQL48_duyet _KH TPCP vung TNB (03-1-2012)" xfId="1304"/>
    <cellStyle name="3_KlQdinhduyet" xfId="1305"/>
    <cellStyle name="3_KlQdinhduyet_!1 1 bao cao giao KH ve HTCMT vung TNB   12-12-2011" xfId="1306"/>
    <cellStyle name="3_KlQdinhduyet_Bieu4HTMT" xfId="1307"/>
    <cellStyle name="3_KlQdinhduyet_Bieu4HTMT_!1 1 bao cao giao KH ve HTCMT vung TNB   12-12-2011" xfId="1308"/>
    <cellStyle name="3_KlQdinhduyet_Bieu4HTMT_KH TPCP vung TNB (03-1-2012)" xfId="1309"/>
    <cellStyle name="3_KlQdinhduyet_KH TPCP vung TNB (03-1-2012)" xfId="1310"/>
    <cellStyle name="3_ÿÿÿÿÿ" xfId="1311"/>
    <cellStyle name="4" xfId="1312"/>
    <cellStyle name="4_Book1" xfId="1313"/>
    <cellStyle name="4_Book1_1" xfId="1314"/>
    <cellStyle name="4_Book1_1_!1 1 bao cao giao KH ve HTCMT vung TNB   12-12-2011" xfId="1315"/>
    <cellStyle name="4_Book1_1_Bieu4HTMT" xfId="1316"/>
    <cellStyle name="4_Book1_1_Bieu4HTMT_!1 1 bao cao giao KH ve HTCMT vung TNB   12-12-2011" xfId="1317"/>
    <cellStyle name="4_Book1_1_Bieu4HTMT_KH TPCP vung TNB (03-1-2012)" xfId="1318"/>
    <cellStyle name="4_Book1_1_KH TPCP vung TNB (03-1-2012)" xfId="1319"/>
    <cellStyle name="4_Cau thuy dien Ban La (Cu Anh)" xfId="1320"/>
    <cellStyle name="4_Cau thuy dien Ban La (Cu Anh)_!1 1 bao cao giao KH ve HTCMT vung TNB   12-12-2011" xfId="1321"/>
    <cellStyle name="4_Cau thuy dien Ban La (Cu Anh)_Bieu4HTMT" xfId="1322"/>
    <cellStyle name="4_Cau thuy dien Ban La (Cu Anh)_Bieu4HTMT_!1 1 bao cao giao KH ve HTCMT vung TNB   12-12-2011" xfId="1323"/>
    <cellStyle name="4_Cau thuy dien Ban La (Cu Anh)_Bieu4HTMT_KH TPCP vung TNB (03-1-2012)" xfId="1324"/>
    <cellStyle name="4_Cau thuy dien Ban La (Cu Anh)_KH TPCP vung TNB (03-1-2012)" xfId="1325"/>
    <cellStyle name="4_Du toan 558 (Km17+508.12 - Km 22)" xfId="1326"/>
    <cellStyle name="4_Du toan 558 (Km17+508.12 - Km 22)_!1 1 bao cao giao KH ve HTCMT vung TNB   12-12-2011" xfId="1327"/>
    <cellStyle name="4_Du toan 558 (Km17+508.12 - Km 22)_Bieu4HTMT" xfId="1328"/>
    <cellStyle name="4_Du toan 558 (Km17+508.12 - Km 22)_Bieu4HTMT_!1 1 bao cao giao KH ve HTCMT vung TNB   12-12-2011" xfId="1329"/>
    <cellStyle name="4_Du toan 558 (Km17+508.12 - Km 22)_Bieu4HTMT_KH TPCP vung TNB (03-1-2012)" xfId="1330"/>
    <cellStyle name="4_Du toan 558 (Km17+508.12 - Km 22)_KH TPCP vung TNB (03-1-2012)" xfId="1331"/>
    <cellStyle name="4_Gia_VLQL48_duyet " xfId="1332"/>
    <cellStyle name="4_Gia_VLQL48_duyet _!1 1 bao cao giao KH ve HTCMT vung TNB   12-12-2011" xfId="1333"/>
    <cellStyle name="4_Gia_VLQL48_duyet _Bieu4HTMT" xfId="1334"/>
    <cellStyle name="4_Gia_VLQL48_duyet _Bieu4HTMT_!1 1 bao cao giao KH ve HTCMT vung TNB   12-12-2011" xfId="1335"/>
    <cellStyle name="4_Gia_VLQL48_duyet _Bieu4HTMT_KH TPCP vung TNB (03-1-2012)" xfId="1336"/>
    <cellStyle name="4_Gia_VLQL48_duyet _KH TPCP vung TNB (03-1-2012)" xfId="1337"/>
    <cellStyle name="4_KlQdinhduyet" xfId="1338"/>
    <cellStyle name="4_KlQdinhduyet_!1 1 bao cao giao KH ve HTCMT vung TNB   12-12-2011" xfId="1339"/>
    <cellStyle name="4_KlQdinhduyet_Bieu4HTMT" xfId="1340"/>
    <cellStyle name="4_KlQdinhduyet_Bieu4HTMT_!1 1 bao cao giao KH ve HTCMT vung TNB   12-12-2011" xfId="1341"/>
    <cellStyle name="4_KlQdinhduyet_Bieu4HTMT_KH TPCP vung TNB (03-1-2012)" xfId="1342"/>
    <cellStyle name="4_KlQdinhduyet_KH TPCP vung TNB (03-1-2012)" xfId="1343"/>
    <cellStyle name="4_ÿÿÿÿÿ" xfId="1344"/>
    <cellStyle name="40% - Accent1 2" xfId="1345"/>
    <cellStyle name="40% - Accent2 2" xfId="1346"/>
    <cellStyle name="40% - Accent3 2" xfId="1347"/>
    <cellStyle name="40% - Accent4 2" xfId="1348"/>
    <cellStyle name="40% - Accent5 2" xfId="1349"/>
    <cellStyle name="40% - Accent6 2" xfId="1350"/>
    <cellStyle name="52" xfId="1351"/>
    <cellStyle name="6" xfId="1352"/>
    <cellStyle name="6_15_10_2013 BC nhu cau von doi ung ODA (2014-2016) ngay 15102013 Sua" xfId="1353"/>
    <cellStyle name="6_BC nhu cau von doi ung ODA nganh NN (BKH)" xfId="1354"/>
    <cellStyle name="6_BC nhu cau von doi ung ODA nganh NN (BKH)_05-12  KH trung han 2016-2020 - Liem Thinh edited" xfId="1355"/>
    <cellStyle name="6_BC nhu cau von doi ung ODA nganh NN (BKH)_Copy of 05-12  KH trung han 2016-2020 - Liem Thinh edited (1)" xfId="1356"/>
    <cellStyle name="6_BC Tai co cau (bieu TH)" xfId="1357"/>
    <cellStyle name="6_BC Tai co cau (bieu TH)_05-12  KH trung han 2016-2020 - Liem Thinh edited" xfId="1358"/>
    <cellStyle name="6_BC Tai co cau (bieu TH)_Copy of 05-12  KH trung han 2016-2020 - Liem Thinh edited (1)" xfId="1359"/>
    <cellStyle name="6_Cong trinh co y kien LD_Dang_NN_2011-Tay nguyen-9-10" xfId="1360"/>
    <cellStyle name="6_Cong trinh co y kien LD_Dang_NN_2011-Tay nguyen-9-10_!1 1 bao cao giao KH ve HTCMT vung TNB   12-12-2011" xfId="1361"/>
    <cellStyle name="6_Cong trinh co y kien LD_Dang_NN_2011-Tay nguyen-9-10_Bieu4HTMT" xfId="1362"/>
    <cellStyle name="6_Cong trinh co y kien LD_Dang_NN_2011-Tay nguyen-9-10_Bieu4HTMT_!1 1 bao cao giao KH ve HTCMT vung TNB   12-12-2011" xfId="1363"/>
    <cellStyle name="6_Cong trinh co y kien LD_Dang_NN_2011-Tay nguyen-9-10_Bieu4HTMT_KH TPCP vung TNB (03-1-2012)" xfId="1364"/>
    <cellStyle name="6_Cong trinh co y kien LD_Dang_NN_2011-Tay nguyen-9-10_KH TPCP vung TNB (03-1-2012)" xfId="1365"/>
    <cellStyle name="6_DK 2014-2015 final" xfId="1366"/>
    <cellStyle name="6_DK 2014-2015 final_05-12  KH trung han 2016-2020 - Liem Thinh edited" xfId="1367"/>
    <cellStyle name="6_DK 2014-2015 final_Copy of 05-12  KH trung han 2016-2020 - Liem Thinh edited (1)" xfId="1368"/>
    <cellStyle name="6_DK 2014-2015 new" xfId="1369"/>
    <cellStyle name="6_DK 2014-2015 new_05-12  KH trung han 2016-2020 - Liem Thinh edited" xfId="1370"/>
    <cellStyle name="6_DK 2014-2015 new_Copy of 05-12  KH trung han 2016-2020 - Liem Thinh edited (1)" xfId="1371"/>
    <cellStyle name="6_DK KH CBDT 2014 11-11-2013" xfId="1372"/>
    <cellStyle name="6_DK KH CBDT 2014 11-11-2013(1)" xfId="1373"/>
    <cellStyle name="6_DK KH CBDT 2014 11-11-2013(1)_05-12  KH trung han 2016-2020 - Liem Thinh edited" xfId="1374"/>
    <cellStyle name="6_DK KH CBDT 2014 11-11-2013(1)_Copy of 05-12  KH trung han 2016-2020 - Liem Thinh edited (1)" xfId="1375"/>
    <cellStyle name="6_DK KH CBDT 2014 11-11-2013_05-12  KH trung han 2016-2020 - Liem Thinh edited" xfId="1376"/>
    <cellStyle name="6_DK KH CBDT 2014 11-11-2013_Copy of 05-12  KH trung han 2016-2020 - Liem Thinh edited (1)" xfId="1377"/>
    <cellStyle name="6_KH 2011-2015" xfId="1378"/>
    <cellStyle name="6_tai co cau dau tu (tong hop)1" xfId="1379"/>
    <cellStyle name="6_TN - Ho tro khac 2011" xfId="1380"/>
    <cellStyle name="6_TN - Ho tro khac 2011_!1 1 bao cao giao KH ve HTCMT vung TNB   12-12-2011" xfId="1381"/>
    <cellStyle name="6_TN - Ho tro khac 2011_Bieu4HTMT" xfId="1382"/>
    <cellStyle name="6_TN - Ho tro khac 2011_Bieu4HTMT_!1 1 bao cao giao KH ve HTCMT vung TNB   12-12-2011" xfId="1383"/>
    <cellStyle name="6_TN - Ho tro khac 2011_Bieu4HTMT_KH TPCP vung TNB (03-1-2012)" xfId="1384"/>
    <cellStyle name="6_TN - Ho tro khac 2011_KH TPCP vung TNB (03-1-2012)" xfId="1385"/>
    <cellStyle name="60% - Accent1 2" xfId="1386"/>
    <cellStyle name="60% - Accent2 2" xfId="1387"/>
    <cellStyle name="60% - Accent3 2" xfId="1388"/>
    <cellStyle name="60% - Accent4 2" xfId="1389"/>
    <cellStyle name="60% - Accent5 2" xfId="1390"/>
    <cellStyle name="60% - Accent6 2" xfId="1391"/>
    <cellStyle name="9" xfId="1392"/>
    <cellStyle name="9_!1 1 bao cao giao KH ve HTCMT vung TNB   12-12-2011" xfId="1393"/>
    <cellStyle name="9_Bieu4HTMT" xfId="1394"/>
    <cellStyle name="9_Bieu4HTMT_!1 1 bao cao giao KH ve HTCMT vung TNB   12-12-2011" xfId="1395"/>
    <cellStyle name="9_Bieu4HTMT_KH TPCP vung TNB (03-1-2012)" xfId="1396"/>
    <cellStyle name="9_KH TPCP vung TNB (03-1-2012)" xfId="1397"/>
    <cellStyle name="Accent1 2" xfId="1398"/>
    <cellStyle name="Accent2 2" xfId="1399"/>
    <cellStyle name="Accent3 2" xfId="1400"/>
    <cellStyle name="Accent4 2" xfId="1401"/>
    <cellStyle name="Accent5 2" xfId="1402"/>
    <cellStyle name="Accent6 2" xfId="1403"/>
    <cellStyle name="ÅëÈ­ [0]_      " xfId="1404"/>
    <cellStyle name="AeE­ [0]_INQUIRY ¿?¾÷AßAø " xfId="1405"/>
    <cellStyle name="ÅëÈ­ [0]_L601CPT" xfId="1406"/>
    <cellStyle name="ÅëÈ­_      " xfId="1407"/>
    <cellStyle name="AeE­_INQUIRY ¿?¾÷AßAø " xfId="1408"/>
    <cellStyle name="ÅëÈ­_L601CPT" xfId="1409"/>
    <cellStyle name="args.style" xfId="1410"/>
    <cellStyle name="args.style 2" xfId="1411"/>
    <cellStyle name="at" xfId="1412"/>
    <cellStyle name="ÄÞ¸¶ [0]_      " xfId="1413"/>
    <cellStyle name="AÞ¸¶ [0]_INQUIRY ¿?¾÷AßAø " xfId="1414"/>
    <cellStyle name="ÄÞ¸¶ [0]_L601CPT" xfId="1415"/>
    <cellStyle name="ÄÞ¸¶_      " xfId="1416"/>
    <cellStyle name="AÞ¸¶_INQUIRY ¿?¾÷AßAø " xfId="1417"/>
    <cellStyle name="ÄÞ¸¶_L601CPT" xfId="1418"/>
    <cellStyle name="AutoFormat Options" xfId="1419"/>
    <cellStyle name="AutoFormat Options 2" xfId="1420"/>
    <cellStyle name="Bad 2" xfId="1421"/>
    <cellStyle name="Bangchu" xfId="1422"/>
    <cellStyle name="Body" xfId="1423"/>
    <cellStyle name="C?AØ_¿?¾÷CoE² " xfId="1424"/>
    <cellStyle name="C~1" xfId="1425"/>
    <cellStyle name="Ç¥ÁØ_      " xfId="1426"/>
    <cellStyle name="C￥AØ_¿μ¾÷CoE² " xfId="1427"/>
    <cellStyle name="Ç¥ÁØ_±¸¹Ì´ëÃ¥" xfId="1428"/>
    <cellStyle name="C￥AØ_Sheet1_¿μ¾÷CoE² " xfId="1429"/>
    <cellStyle name="Ç¥ÁØ_ÿÿÿÿÿÿ_4_ÃÑÇÕ°è " xfId="1430"/>
    <cellStyle name="Calc Currency (0)" xfId="1431"/>
    <cellStyle name="Calc Currency (0) 2" xfId="1432"/>
    <cellStyle name="Calc Currency (2)" xfId="1433"/>
    <cellStyle name="Calc Currency (2) 10" xfId="1434"/>
    <cellStyle name="Calc Currency (2) 11" xfId="1435"/>
    <cellStyle name="Calc Currency (2) 12" xfId="1436"/>
    <cellStyle name="Calc Currency (2) 13" xfId="1437"/>
    <cellStyle name="Calc Currency (2) 14" xfId="1438"/>
    <cellStyle name="Calc Currency (2) 15" xfId="1439"/>
    <cellStyle name="Calc Currency (2) 16" xfId="1440"/>
    <cellStyle name="Calc Currency (2) 2" xfId="1441"/>
    <cellStyle name="Calc Currency (2) 3" xfId="1442"/>
    <cellStyle name="Calc Currency (2) 4" xfId="1443"/>
    <cellStyle name="Calc Currency (2) 5" xfId="1444"/>
    <cellStyle name="Calc Currency (2) 6" xfId="1445"/>
    <cellStyle name="Calc Currency (2) 7" xfId="1446"/>
    <cellStyle name="Calc Currency (2) 8" xfId="1447"/>
    <cellStyle name="Calc Currency (2) 9" xfId="1448"/>
    <cellStyle name="Calc Percent (0)" xfId="1449"/>
    <cellStyle name="Calc Percent (0) 10" xfId="1450"/>
    <cellStyle name="Calc Percent (0) 11" xfId="1451"/>
    <cellStyle name="Calc Percent (0) 12" xfId="1452"/>
    <cellStyle name="Calc Percent (0) 13" xfId="1453"/>
    <cellStyle name="Calc Percent (0) 14" xfId="1454"/>
    <cellStyle name="Calc Percent (0) 15" xfId="1455"/>
    <cellStyle name="Calc Percent (0) 16" xfId="1456"/>
    <cellStyle name="Calc Percent (0) 2" xfId="1457"/>
    <cellStyle name="Calc Percent (0) 3" xfId="1458"/>
    <cellStyle name="Calc Percent (0) 4" xfId="1459"/>
    <cellStyle name="Calc Percent (0) 5" xfId="1460"/>
    <cellStyle name="Calc Percent (0) 6" xfId="1461"/>
    <cellStyle name="Calc Percent (0) 7" xfId="1462"/>
    <cellStyle name="Calc Percent (0) 8" xfId="1463"/>
    <cellStyle name="Calc Percent (0) 9" xfId="1464"/>
    <cellStyle name="Calc Percent (1)" xfId="1465"/>
    <cellStyle name="Calc Percent (1) 10" xfId="1466"/>
    <cellStyle name="Calc Percent (1) 11" xfId="1467"/>
    <cellStyle name="Calc Percent (1) 12" xfId="1468"/>
    <cellStyle name="Calc Percent (1) 13" xfId="1469"/>
    <cellStyle name="Calc Percent (1) 14" xfId="1470"/>
    <cellStyle name="Calc Percent (1) 15" xfId="1471"/>
    <cellStyle name="Calc Percent (1) 16" xfId="1472"/>
    <cellStyle name="Calc Percent (1) 2" xfId="1473"/>
    <cellStyle name="Calc Percent (1) 3" xfId="1474"/>
    <cellStyle name="Calc Percent (1) 4" xfId="1475"/>
    <cellStyle name="Calc Percent (1) 5" xfId="1476"/>
    <cellStyle name="Calc Percent (1) 6" xfId="1477"/>
    <cellStyle name="Calc Percent (1) 7" xfId="1478"/>
    <cellStyle name="Calc Percent (1) 8" xfId="1479"/>
    <cellStyle name="Calc Percent (1) 9" xfId="1480"/>
    <cellStyle name="Calc Percent (2)" xfId="1481"/>
    <cellStyle name="Calc Percent (2) 10" xfId="1482"/>
    <cellStyle name="Calc Percent (2) 11" xfId="1483"/>
    <cellStyle name="Calc Percent (2) 12" xfId="1484"/>
    <cellStyle name="Calc Percent (2) 13" xfId="1485"/>
    <cellStyle name="Calc Percent (2) 14" xfId="1486"/>
    <cellStyle name="Calc Percent (2) 15" xfId="1487"/>
    <cellStyle name="Calc Percent (2) 16" xfId="1488"/>
    <cellStyle name="Calc Percent (2) 2" xfId="1489"/>
    <cellStyle name="Calc Percent (2) 3" xfId="1490"/>
    <cellStyle name="Calc Percent (2) 4" xfId="1491"/>
    <cellStyle name="Calc Percent (2) 5" xfId="1492"/>
    <cellStyle name="Calc Percent (2) 6" xfId="1493"/>
    <cellStyle name="Calc Percent (2) 7" xfId="1494"/>
    <cellStyle name="Calc Percent (2) 8" xfId="1495"/>
    <cellStyle name="Calc Percent (2) 9" xfId="1496"/>
    <cellStyle name="Calc Units (0)" xfId="1497"/>
    <cellStyle name="Calc Units (0) 10" xfId="1498"/>
    <cellStyle name="Calc Units (0) 11" xfId="1499"/>
    <cellStyle name="Calc Units (0) 12" xfId="1500"/>
    <cellStyle name="Calc Units (0) 13" xfId="1501"/>
    <cellStyle name="Calc Units (0) 14" xfId="1502"/>
    <cellStyle name="Calc Units (0) 15" xfId="1503"/>
    <cellStyle name="Calc Units (0) 16" xfId="1504"/>
    <cellStyle name="Calc Units (0) 2" xfId="1505"/>
    <cellStyle name="Calc Units (0) 3" xfId="1506"/>
    <cellStyle name="Calc Units (0) 4" xfId="1507"/>
    <cellStyle name="Calc Units (0) 5" xfId="1508"/>
    <cellStyle name="Calc Units (0) 6" xfId="1509"/>
    <cellStyle name="Calc Units (0) 7" xfId="1510"/>
    <cellStyle name="Calc Units (0) 8" xfId="1511"/>
    <cellStyle name="Calc Units (0) 9" xfId="1512"/>
    <cellStyle name="Calc Units (1)" xfId="1513"/>
    <cellStyle name="Calc Units (1) 10" xfId="1514"/>
    <cellStyle name="Calc Units (1) 11" xfId="1515"/>
    <cellStyle name="Calc Units (1) 12" xfId="1516"/>
    <cellStyle name="Calc Units (1) 13" xfId="1517"/>
    <cellStyle name="Calc Units (1) 14" xfId="1518"/>
    <cellStyle name="Calc Units (1) 15" xfId="1519"/>
    <cellStyle name="Calc Units (1) 16" xfId="1520"/>
    <cellStyle name="Calc Units (1) 2" xfId="1521"/>
    <cellStyle name="Calc Units (1) 3" xfId="1522"/>
    <cellStyle name="Calc Units (1) 4" xfId="1523"/>
    <cellStyle name="Calc Units (1) 5" xfId="1524"/>
    <cellStyle name="Calc Units (1) 6" xfId="1525"/>
    <cellStyle name="Calc Units (1) 7" xfId="1526"/>
    <cellStyle name="Calc Units (1) 8" xfId="1527"/>
    <cellStyle name="Calc Units (1) 9" xfId="1528"/>
    <cellStyle name="Calc Units (2)" xfId="1529"/>
    <cellStyle name="Calc Units (2) 10" xfId="1530"/>
    <cellStyle name="Calc Units (2) 11" xfId="1531"/>
    <cellStyle name="Calc Units (2) 12" xfId="1532"/>
    <cellStyle name="Calc Units (2) 13" xfId="1533"/>
    <cellStyle name="Calc Units (2) 14" xfId="1534"/>
    <cellStyle name="Calc Units (2) 15" xfId="1535"/>
    <cellStyle name="Calc Units (2) 16" xfId="1536"/>
    <cellStyle name="Calc Units (2) 2" xfId="1537"/>
    <cellStyle name="Calc Units (2) 3" xfId="1538"/>
    <cellStyle name="Calc Units (2) 4" xfId="1539"/>
    <cellStyle name="Calc Units (2) 5" xfId="1540"/>
    <cellStyle name="Calc Units (2) 6" xfId="1541"/>
    <cellStyle name="Calc Units (2) 7" xfId="1542"/>
    <cellStyle name="Calc Units (2) 8" xfId="1543"/>
    <cellStyle name="Calc Units (2) 9" xfId="1544"/>
    <cellStyle name="Calculation 2" xfId="1545"/>
    <cellStyle name="category" xfId="1546"/>
    <cellStyle name="category 2" xfId="1547"/>
    <cellStyle name="Centered Heading" xfId="1548"/>
    <cellStyle name="Cerrency_Sheet2_XANGDAU" xfId="1549"/>
    <cellStyle name="Check Cell 2" xfId="1550"/>
    <cellStyle name="Check Cell 2 2" xfId="1551"/>
    <cellStyle name="Chi phÝ kh¸c_Book1" xfId="1552"/>
    <cellStyle name="CHUONG" xfId="1553"/>
    <cellStyle name="Column_Title" xfId="1554"/>
    <cellStyle name="Comma" xfId="1555" builtinId="3"/>
    <cellStyle name="Comma  - Style1" xfId="1556"/>
    <cellStyle name="Comma  - Style2" xfId="1557"/>
    <cellStyle name="Comma  - Style3" xfId="1558"/>
    <cellStyle name="Comma  - Style4" xfId="1559"/>
    <cellStyle name="Comma  - Style5" xfId="1560"/>
    <cellStyle name="Comma  - Style6" xfId="1561"/>
    <cellStyle name="Comma  - Style7" xfId="1562"/>
    <cellStyle name="Comma  - Style8" xfId="1563"/>
    <cellStyle name="Comma %" xfId="1564"/>
    <cellStyle name="Comma % 10" xfId="1565"/>
    <cellStyle name="Comma % 11" xfId="1566"/>
    <cellStyle name="Comma % 12" xfId="1567"/>
    <cellStyle name="Comma % 13" xfId="1568"/>
    <cellStyle name="Comma % 14" xfId="1569"/>
    <cellStyle name="Comma % 15" xfId="1570"/>
    <cellStyle name="Comma % 2" xfId="1571"/>
    <cellStyle name="Comma % 3" xfId="1572"/>
    <cellStyle name="Comma % 4" xfId="1573"/>
    <cellStyle name="Comma % 5" xfId="1574"/>
    <cellStyle name="Comma % 6" xfId="1575"/>
    <cellStyle name="Comma % 7" xfId="1576"/>
    <cellStyle name="Comma % 8" xfId="1577"/>
    <cellStyle name="Comma % 9" xfId="1578"/>
    <cellStyle name="Comma [0] 10" xfId="1579"/>
    <cellStyle name="Comma [0] 11" xfId="1580"/>
    <cellStyle name="Comma [0] 11 2" xfId="1581"/>
    <cellStyle name="Comma [0] 12" xfId="1582"/>
    <cellStyle name="Comma [0] 12 2" xfId="1583"/>
    <cellStyle name="Comma [0] 2" xfId="1584"/>
    <cellStyle name="Comma [0] 2 10" xfId="1585"/>
    <cellStyle name="Comma [0] 2 11" xfId="1586"/>
    <cellStyle name="Comma [0] 2 12" xfId="1587"/>
    <cellStyle name="Comma [0] 2 13" xfId="1588"/>
    <cellStyle name="Comma [0] 2 14" xfId="1589"/>
    <cellStyle name="Comma [0] 2 15" xfId="1590"/>
    <cellStyle name="Comma [0] 2 16" xfId="1591"/>
    <cellStyle name="Comma [0] 2 17" xfId="1592"/>
    <cellStyle name="Comma [0] 2 18" xfId="1593"/>
    <cellStyle name="Comma [0] 2 19" xfId="1594"/>
    <cellStyle name="Comma [0] 2 2" xfId="1595"/>
    <cellStyle name="Comma [0] 2 2 2" xfId="1596"/>
    <cellStyle name="Comma [0] 2 2 3" xfId="1597"/>
    <cellStyle name="Comma [0] 2 2 3 2" xfId="1598"/>
    <cellStyle name="Comma [0] 2 2 3 2 2" xfId="1599"/>
    <cellStyle name="Comma [0] 2 2 3 2 2 2" xfId="1600"/>
    <cellStyle name="Comma [0] 2 2 3 2 2 3" xfId="1601"/>
    <cellStyle name="Comma [0] 2 2 3 2 3" xfId="1602"/>
    <cellStyle name="Comma [0] 2 2 3 2 4" xfId="1603"/>
    <cellStyle name="Comma [0] 2 2 3 3" xfId="1604"/>
    <cellStyle name="Comma [0] 2 2 3 3 2" xfId="1605"/>
    <cellStyle name="Comma [0] 2 2 3 3 3" xfId="1606"/>
    <cellStyle name="Comma [0] 2 2 3 4" xfId="1607"/>
    <cellStyle name="Comma [0] 2 2 3 5" xfId="1608"/>
    <cellStyle name="Comma [0] 2 2 4" xfId="1609"/>
    <cellStyle name="Comma [0] 2 2 4 2" xfId="1610"/>
    <cellStyle name="Comma [0] 2 2 4 2 2" xfId="1611"/>
    <cellStyle name="Comma [0] 2 2 4 2 3" xfId="1612"/>
    <cellStyle name="Comma [0] 2 2 4 3" xfId="1613"/>
    <cellStyle name="Comma [0] 2 2 4 4" xfId="1614"/>
    <cellStyle name="Comma [0] 2 20" xfId="1615"/>
    <cellStyle name="Comma [0] 2 21" xfId="1616"/>
    <cellStyle name="Comma [0] 2 22" xfId="1617"/>
    <cellStyle name="Comma [0] 2 23" xfId="1618"/>
    <cellStyle name="Comma [0] 2 24" xfId="1619"/>
    <cellStyle name="Comma [0] 2 25" xfId="1620"/>
    <cellStyle name="Comma [0] 2 26" xfId="1621"/>
    <cellStyle name="Comma [0] 2 3" xfId="1622"/>
    <cellStyle name="Comma [0] 2 4" xfId="1623"/>
    <cellStyle name="Comma [0] 2 5" xfId="1624"/>
    <cellStyle name="Comma [0] 2 6" xfId="1625"/>
    <cellStyle name="Comma [0] 2 7" xfId="1626"/>
    <cellStyle name="Comma [0] 2 8" xfId="1627"/>
    <cellStyle name="Comma [0] 2 9" xfId="1628"/>
    <cellStyle name="Comma [0] 2_05-12  KH trung han 2016-2020 - Liem Thinh edited" xfId="1629"/>
    <cellStyle name="Comma [0] 3" xfId="1630"/>
    <cellStyle name="Comma [0] 3 2" xfId="1631"/>
    <cellStyle name="Comma [0] 3 2 2" xfId="1632"/>
    <cellStyle name="Comma [0] 3 3" xfId="1633"/>
    <cellStyle name="Comma [0] 4" xfId="1634"/>
    <cellStyle name="Comma [0] 5" xfId="1635"/>
    <cellStyle name="Comma [0] 6" xfId="1636"/>
    <cellStyle name="Comma [0] 7" xfId="1637"/>
    <cellStyle name="Comma [0] 8" xfId="1638"/>
    <cellStyle name="Comma [0] 9" xfId="1639"/>
    <cellStyle name="Comma [00]" xfId="1640"/>
    <cellStyle name="Comma [00] 10" xfId="1641"/>
    <cellStyle name="Comma [00] 11" xfId="1642"/>
    <cellStyle name="Comma [00] 12" xfId="1643"/>
    <cellStyle name="Comma [00] 13" xfId="1644"/>
    <cellStyle name="Comma [00] 14" xfId="1645"/>
    <cellStyle name="Comma [00] 15" xfId="1646"/>
    <cellStyle name="Comma [00] 16" xfId="1647"/>
    <cellStyle name="Comma [00] 2" xfId="1648"/>
    <cellStyle name="Comma [00] 3" xfId="1649"/>
    <cellStyle name="Comma [00] 4" xfId="1650"/>
    <cellStyle name="Comma [00] 5" xfId="1651"/>
    <cellStyle name="Comma [00] 6" xfId="1652"/>
    <cellStyle name="Comma [00] 7" xfId="1653"/>
    <cellStyle name="Comma [00] 8" xfId="1654"/>
    <cellStyle name="Comma [00] 9" xfId="1655"/>
    <cellStyle name="Comma 0.0" xfId="1656"/>
    <cellStyle name="Comma 0.0%" xfId="1657"/>
    <cellStyle name="Comma 0.00" xfId="1658"/>
    <cellStyle name="Comma 0.00%" xfId="1659"/>
    <cellStyle name="Comma 0.000" xfId="1660"/>
    <cellStyle name="Comma 0.000%" xfId="1661"/>
    <cellStyle name="Comma 10" xfId="1662"/>
    <cellStyle name="Comma 10 10" xfId="1663"/>
    <cellStyle name="Comma 10 10 10" xfId="1664"/>
    <cellStyle name="Comma 10 10 103" xfId="5249"/>
    <cellStyle name="Comma 10 10 2" xfId="1665"/>
    <cellStyle name="Comma 10 10 2 2" xfId="1666"/>
    <cellStyle name="Comma 10 10 2 3" xfId="1667"/>
    <cellStyle name="Comma 10 10 2 4" xfId="1668"/>
    <cellStyle name="Comma 10 10 3" xfId="1669"/>
    <cellStyle name="Comma 10 10 4" xfId="1670"/>
    <cellStyle name="Comma 10 11 21" xfId="5248"/>
    <cellStyle name="Comma 10 2" xfId="1671"/>
    <cellStyle name="Comma 10 2 2" xfId="1672"/>
    <cellStyle name="Comma 10 3" xfId="1673"/>
    <cellStyle name="Comma 10 3 2" xfId="1674"/>
    <cellStyle name="Comma 10 3 3 2" xfId="1675"/>
    <cellStyle name="Comma 10 4" xfId="1676"/>
    <cellStyle name="Comma 10 5" xfId="5259"/>
    <cellStyle name="Comma 11" xfId="1677"/>
    <cellStyle name="Comma 11 2" xfId="1678"/>
    <cellStyle name="Comma 11 3" xfId="1679"/>
    <cellStyle name="Comma 12" xfId="1680"/>
    <cellStyle name="Comma 12 2" xfId="1681"/>
    <cellStyle name="Comma 12 2 2" xfId="1682"/>
    <cellStyle name="Comma 12 3" xfId="1683"/>
    <cellStyle name="Comma 13" xfId="1684"/>
    <cellStyle name="Comma 13 2" xfId="1685"/>
    <cellStyle name="Comma 13 2 2" xfId="1686"/>
    <cellStyle name="Comma 13 2 2 2" xfId="1687"/>
    <cellStyle name="Comma 13 2 2 2 2 2 4" xfId="1688"/>
    <cellStyle name="Comma 13 2 2 3" xfId="1689"/>
    <cellStyle name="Comma 13 2 2 4" xfId="1690"/>
    <cellStyle name="Comma 13 2 2 4 2" xfId="1691"/>
    <cellStyle name="Comma 13 2 3" xfId="1692"/>
    <cellStyle name="Comma 13 2 3 2" xfId="1693"/>
    <cellStyle name="Comma 13 2 4" xfId="1694"/>
    <cellStyle name="Comma 13 2 5" xfId="1695"/>
    <cellStyle name="Comma 13 3" xfId="1696"/>
    <cellStyle name="Comma 13 4" xfId="1697"/>
    <cellStyle name="Comma 14" xfId="1698"/>
    <cellStyle name="Comma 14 2" xfId="1699"/>
    <cellStyle name="Comma 14 2 2" xfId="1700"/>
    <cellStyle name="Comma 14 3" xfId="1701"/>
    <cellStyle name="Comma 15" xfId="1702"/>
    <cellStyle name="Comma 15 2" xfId="1703"/>
    <cellStyle name="Comma 15 3" xfId="1704"/>
    <cellStyle name="Comma 16" xfId="1705"/>
    <cellStyle name="Comma 16 2" xfId="1706"/>
    <cellStyle name="Comma 16 3" xfId="1707"/>
    <cellStyle name="Comma 16 3 2" xfId="1708"/>
    <cellStyle name="Comma 16 3 2 2" xfId="1709"/>
    <cellStyle name="Comma 16 3 2 2 2" xfId="1710"/>
    <cellStyle name="Comma 16 3 2 2 2 2" xfId="1711"/>
    <cellStyle name="Comma 16 3 2 2 2 3" xfId="1712"/>
    <cellStyle name="Comma 16 3 2 2 3" xfId="1713"/>
    <cellStyle name="Comma 16 3 2 2 4" xfId="1714"/>
    <cellStyle name="Comma 16 3 2 3" xfId="1715"/>
    <cellStyle name="Comma 16 3 2 3 2" xfId="1716"/>
    <cellStyle name="Comma 16 3 2 3 3" xfId="1717"/>
    <cellStyle name="Comma 16 3 2 4" xfId="1718"/>
    <cellStyle name="Comma 16 3 2 5" xfId="1719"/>
    <cellStyle name="Comma 16 3 2 6 2 2 2" xfId="1720"/>
    <cellStyle name="Comma 16 3 2 6 2 2 2 2" xfId="1721"/>
    <cellStyle name="Comma 16 3 3" xfId="1722"/>
    <cellStyle name="Comma 16 3 3 2" xfId="1723"/>
    <cellStyle name="Comma 16 3 3 2 2" xfId="1724"/>
    <cellStyle name="Comma 16 3 3 2 2 2" xfId="1725"/>
    <cellStyle name="Comma 16 3 3 2 2 3" xfId="1726"/>
    <cellStyle name="Comma 16 3 3 2 3" xfId="1727"/>
    <cellStyle name="Comma 16 3 3 2 4" xfId="1728"/>
    <cellStyle name="Comma 16 3 3 3" xfId="1729"/>
    <cellStyle name="Comma 16 3 3 3 2" xfId="1730"/>
    <cellStyle name="Comma 16 3 3 3 3" xfId="1731"/>
    <cellStyle name="Comma 16 3 3 4" xfId="1732"/>
    <cellStyle name="Comma 16 3 3 5" xfId="1733"/>
    <cellStyle name="Comma 16 3 4" xfId="1734"/>
    <cellStyle name="Comma 16 3 4 2" xfId="1735"/>
    <cellStyle name="Comma 16 3 4 2 2" xfId="1736"/>
    <cellStyle name="Comma 16 3 4 2 3" xfId="1737"/>
    <cellStyle name="Comma 16 3 4 3" xfId="1738"/>
    <cellStyle name="Comma 16 3 4 4" xfId="1739"/>
    <cellStyle name="Comma 16 3 5" xfId="1740"/>
    <cellStyle name="Comma 16 3 5 2" xfId="1741"/>
    <cellStyle name="Comma 16 3 5 3" xfId="1742"/>
    <cellStyle name="Comma 16 3 6" xfId="1743"/>
    <cellStyle name="Comma 16 3 7" xfId="1744"/>
    <cellStyle name="Comma 17" xfId="1745"/>
    <cellStyle name="Comma 17 2" xfId="1746"/>
    <cellStyle name="Comma 17 3" xfId="1747"/>
    <cellStyle name="Comma 17 4" xfId="1748"/>
    <cellStyle name="Comma 18" xfId="1749"/>
    <cellStyle name="Comma 18 2" xfId="1750"/>
    <cellStyle name="Comma 18 3" xfId="1751"/>
    <cellStyle name="Comma 19" xfId="1752"/>
    <cellStyle name="Comma 19 2" xfId="1753"/>
    <cellStyle name="Comma 2" xfId="1754"/>
    <cellStyle name="Comma 2 10" xfId="1755"/>
    <cellStyle name="Comma 2 11" xfId="1756"/>
    <cellStyle name="Comma 2 12" xfId="1757"/>
    <cellStyle name="Comma 2 13" xfId="1758"/>
    <cellStyle name="Comma 2 14" xfId="1759"/>
    <cellStyle name="Comma 2 15" xfId="1760"/>
    <cellStyle name="Comma 2 16" xfId="1761"/>
    <cellStyle name="Comma 2 17" xfId="1762"/>
    <cellStyle name="Comma 2 18" xfId="1763"/>
    <cellStyle name="Comma 2 19" xfId="1764"/>
    <cellStyle name="Comma 2 2" xfId="1765"/>
    <cellStyle name="Comma 2 2 10" xfId="1766"/>
    <cellStyle name="Comma 2 2 11" xfId="1767"/>
    <cellStyle name="Comma 2 2 12" xfId="1768"/>
    <cellStyle name="Comma 2 2 13" xfId="1769"/>
    <cellStyle name="Comma 2 2 14" xfId="1770"/>
    <cellStyle name="Comma 2 2 15" xfId="1771"/>
    <cellStyle name="Comma 2 2 16" xfId="1772"/>
    <cellStyle name="Comma 2 2 17" xfId="1773"/>
    <cellStyle name="Comma 2 2 18" xfId="1774"/>
    <cellStyle name="Comma 2 2 19" xfId="1775"/>
    <cellStyle name="Comma 2 2 2" xfId="1776"/>
    <cellStyle name="Comma 2 2 2 10" xfId="1777"/>
    <cellStyle name="Comma 2 2 2 11" xfId="1778"/>
    <cellStyle name="Comma 2 2 2 12" xfId="1779"/>
    <cellStyle name="Comma 2 2 2 13" xfId="1780"/>
    <cellStyle name="Comma 2 2 2 14" xfId="1781"/>
    <cellStyle name="Comma 2 2 2 15" xfId="1782"/>
    <cellStyle name="Comma 2 2 2 16" xfId="1783"/>
    <cellStyle name="Comma 2 2 2 17" xfId="1784"/>
    <cellStyle name="Comma 2 2 2 18" xfId="1785"/>
    <cellStyle name="Comma 2 2 2 19" xfId="1786"/>
    <cellStyle name="Comma 2 2 2 2" xfId="1787"/>
    <cellStyle name="Comma 2 2 2 2 2 2" xfId="1788"/>
    <cellStyle name="Comma 2 2 2 20" xfId="1789"/>
    <cellStyle name="Comma 2 2 2 21" xfId="1790"/>
    <cellStyle name="Comma 2 2 2 22" xfId="1791"/>
    <cellStyle name="Comma 2 2 2 23" xfId="1792"/>
    <cellStyle name="Comma 2 2 2 24" xfId="1793"/>
    <cellStyle name="Comma 2 2 2 3" xfId="1794"/>
    <cellStyle name="Comma 2 2 2 4" xfId="1795"/>
    <cellStyle name="Comma 2 2 2 5" xfId="1796"/>
    <cellStyle name="Comma 2 2 2 6" xfId="1797"/>
    <cellStyle name="Comma 2 2 2 7" xfId="1798"/>
    <cellStyle name="Comma 2 2 2 8" xfId="1799"/>
    <cellStyle name="Comma 2 2 2 9" xfId="1800"/>
    <cellStyle name="Comma 2 2 20" xfId="1801"/>
    <cellStyle name="Comma 2 2 21" xfId="1802"/>
    <cellStyle name="Comma 2 2 22" xfId="1803"/>
    <cellStyle name="Comma 2 2 23" xfId="1804"/>
    <cellStyle name="Comma 2 2 24" xfId="1805"/>
    <cellStyle name="Comma 2 2 25" xfId="1806"/>
    <cellStyle name="Comma 2 2 3" xfId="1807"/>
    <cellStyle name="Comma 2 2 4" xfId="1808"/>
    <cellStyle name="Comma 2 2 5" xfId="1809"/>
    <cellStyle name="Comma 2 2 6" xfId="1810"/>
    <cellStyle name="Comma 2 2 7" xfId="1811"/>
    <cellStyle name="Comma 2 2 8" xfId="1812"/>
    <cellStyle name="Comma 2 2 9" xfId="1813"/>
    <cellStyle name="Comma 2 2_05-12  KH trung han 2016-2020 - Liem Thinh edited" xfId="1814"/>
    <cellStyle name="Comma 2 20" xfId="1815"/>
    <cellStyle name="Comma 2 21" xfId="1816"/>
    <cellStyle name="Comma 2 22" xfId="1817"/>
    <cellStyle name="Comma 2 23" xfId="1818"/>
    <cellStyle name="Comma 2 24" xfId="1819"/>
    <cellStyle name="Comma 2 25" xfId="1820"/>
    <cellStyle name="Comma 2 26" xfId="1821"/>
    <cellStyle name="Comma 2 27" xfId="1822"/>
    <cellStyle name="Comma 2 28" xfId="1823"/>
    <cellStyle name="Comma 2 29" xfId="5256"/>
    <cellStyle name="Comma 2 3" xfId="1824"/>
    <cellStyle name="Comma 2 3 2" xfId="1825"/>
    <cellStyle name="Comma 2 3 2 11 5" xfId="1826"/>
    <cellStyle name="Comma 2 3 2 2" xfId="1827"/>
    <cellStyle name="Comma 2 3 2 3" xfId="1828"/>
    <cellStyle name="Comma 2 3 2 7 9" xfId="1829"/>
    <cellStyle name="Comma 2 3 3" xfId="1830"/>
    <cellStyle name="Comma 2 30" xfId="5261"/>
    <cellStyle name="Comma 2 31" xfId="5268"/>
    <cellStyle name="Comma 2 4" xfId="1831"/>
    <cellStyle name="Comma 2 4 2" xfId="1832"/>
    <cellStyle name="Comma 2 5" xfId="1833"/>
    <cellStyle name="Comma 2 5 2" xfId="1834"/>
    <cellStyle name="Comma 2 5 3" xfId="1835"/>
    <cellStyle name="Comma 2 6" xfId="1836"/>
    <cellStyle name="Comma 2 7" xfId="1837"/>
    <cellStyle name="Comma 2 8" xfId="1838"/>
    <cellStyle name="Comma 2 9" xfId="1839"/>
    <cellStyle name="Comma 2_05-12  KH trung han 2016-2020 - Liem Thinh edited" xfId="1840"/>
    <cellStyle name="Comma 20" xfId="1841"/>
    <cellStyle name="Comma 20 2" xfId="1842"/>
    <cellStyle name="Comma 20 3" xfId="1843"/>
    <cellStyle name="Comma 21" xfId="1844"/>
    <cellStyle name="Comma 21 2" xfId="1845"/>
    <cellStyle name="Comma 21 3" xfId="1846"/>
    <cellStyle name="Comma 22" xfId="1847"/>
    <cellStyle name="Comma 22 2" xfId="1848"/>
    <cellStyle name="Comma 22 3" xfId="1849"/>
    <cellStyle name="Comma 23" xfId="1850"/>
    <cellStyle name="Comma 23 2" xfId="1851"/>
    <cellStyle name="Comma 23 3" xfId="1852"/>
    <cellStyle name="Comma 24" xfId="1853"/>
    <cellStyle name="Comma 24 2" xfId="1854"/>
    <cellStyle name="Comma 24 3" xfId="1855"/>
    <cellStyle name="Comma 25" xfId="1856"/>
    <cellStyle name="Comma 25 2" xfId="1857"/>
    <cellStyle name="Comma 26" xfId="1858"/>
    <cellStyle name="Comma 26 2" xfId="1859"/>
    <cellStyle name="Comma 26 2 2" xfId="1860"/>
    <cellStyle name="Comma 27" xfId="1861"/>
    <cellStyle name="Comma 27 2" xfId="1862"/>
    <cellStyle name="Comma 28" xfId="1863"/>
    <cellStyle name="Comma 28 2" xfId="1864"/>
    <cellStyle name="Comma 28 2 2 4 2" xfId="1865"/>
    <cellStyle name="Comma 28 2 2 9" xfId="1866"/>
    <cellStyle name="Comma 29" xfId="1867"/>
    <cellStyle name="Comma 29 2" xfId="1868"/>
    <cellStyle name="Comma 3" xfId="1869"/>
    <cellStyle name="Comma 3 15" xfId="5242"/>
    <cellStyle name="Comma 3 19" xfId="5251"/>
    <cellStyle name="Comma 3 2" xfId="1870"/>
    <cellStyle name="Comma 3 2 10" xfId="1871"/>
    <cellStyle name="Comma 3 2 11" xfId="1872"/>
    <cellStyle name="Comma 3 2 12" xfId="1873"/>
    <cellStyle name="Comma 3 2 13" xfId="1874"/>
    <cellStyle name="Comma 3 2 14" xfId="1875"/>
    <cellStyle name="Comma 3 2 15" xfId="1876"/>
    <cellStyle name="Comma 3 2 2" xfId="1877"/>
    <cellStyle name="Comma 3 2 2 2" xfId="1878"/>
    <cellStyle name="Comma 3 2 2 3" xfId="1879"/>
    <cellStyle name="Comma 3 2 3" xfId="1880"/>
    <cellStyle name="Comma 3 2 3 2" xfId="1881"/>
    <cellStyle name="Comma 3 2 3 3" xfId="1882"/>
    <cellStyle name="Comma 3 2 4" xfId="1883"/>
    <cellStyle name="Comma 3 2 5" xfId="1884"/>
    <cellStyle name="Comma 3 2 6" xfId="1885"/>
    <cellStyle name="Comma 3 2 7" xfId="1886"/>
    <cellStyle name="Comma 3 2 8" xfId="1887"/>
    <cellStyle name="Comma 3 2 9" xfId="1888"/>
    <cellStyle name="Comma 3 3" xfId="1889"/>
    <cellStyle name="Comma 3 3 2" xfId="1890"/>
    <cellStyle name="Comma 3 3 3" xfId="1891"/>
    <cellStyle name="Comma 3 4" xfId="1892"/>
    <cellStyle name="Comma 3 4 2" xfId="1893"/>
    <cellStyle name="Comma 3 4 3" xfId="1894"/>
    <cellStyle name="Comma 3 5" xfId="1895"/>
    <cellStyle name="Comma 3 5 2" xfId="1896"/>
    <cellStyle name="Comma 3 6" xfId="1897"/>
    <cellStyle name="Comma 3 6 2" xfId="1898"/>
    <cellStyle name="Comma 3 7" xfId="1899"/>
    <cellStyle name="Comma 3 7 2" xfId="1900"/>
    <cellStyle name="Comma 3 8" xfId="1901"/>
    <cellStyle name="Comma 30" xfId="1902"/>
    <cellStyle name="Comma 30 2" xfId="1903"/>
    <cellStyle name="Comma 31" xfId="1904"/>
    <cellStyle name="Comma 31 2" xfId="1905"/>
    <cellStyle name="Comma 32" xfId="1906"/>
    <cellStyle name="Comma 32 2" xfId="1907"/>
    <cellStyle name="Comma 32 2 2" xfId="1908"/>
    <cellStyle name="Comma 32 3" xfId="1909"/>
    <cellStyle name="Comma 33" xfId="1910"/>
    <cellStyle name="Comma 33 2" xfId="1911"/>
    <cellStyle name="Comma 34" xfId="1912"/>
    <cellStyle name="Comma 34 2" xfId="1913"/>
    <cellStyle name="Comma 35" xfId="1914"/>
    <cellStyle name="Comma 35 2" xfId="1915"/>
    <cellStyle name="Comma 35 3" xfId="1916"/>
    <cellStyle name="Comma 35 3 2" xfId="1917"/>
    <cellStyle name="Comma 35 3 2 2" xfId="1918"/>
    <cellStyle name="Comma 35 3 2 2 2" xfId="1919"/>
    <cellStyle name="Comma 35 3 2 2 3" xfId="1920"/>
    <cellStyle name="Comma 35 3 2 3" xfId="1921"/>
    <cellStyle name="Comma 35 3 2 4" xfId="1922"/>
    <cellStyle name="Comma 35 3 3" xfId="1923"/>
    <cellStyle name="Comma 35 3 3 2" xfId="1924"/>
    <cellStyle name="Comma 35 3 3 3" xfId="1925"/>
    <cellStyle name="Comma 35 3 4" xfId="1926"/>
    <cellStyle name="Comma 35 3 5" xfId="1927"/>
    <cellStyle name="Comma 35 4" xfId="1928"/>
    <cellStyle name="Comma 35 4 2" xfId="1929"/>
    <cellStyle name="Comma 35 4 2 2" xfId="1930"/>
    <cellStyle name="Comma 35 4 2 2 2" xfId="1931"/>
    <cellStyle name="Comma 35 4 2 2 3" xfId="1932"/>
    <cellStyle name="Comma 35 4 2 3" xfId="1933"/>
    <cellStyle name="Comma 35 4 2 4" xfId="1934"/>
    <cellStyle name="Comma 35 4 3" xfId="1935"/>
    <cellStyle name="Comma 35 4 3 2" xfId="1936"/>
    <cellStyle name="Comma 35 4 3 3" xfId="1937"/>
    <cellStyle name="Comma 35 4 4" xfId="1938"/>
    <cellStyle name="Comma 35 4 5" xfId="1939"/>
    <cellStyle name="Comma 35 5" xfId="1940"/>
    <cellStyle name="Comma 35 5 2" xfId="1941"/>
    <cellStyle name="Comma 35 5 2 2" xfId="1942"/>
    <cellStyle name="Comma 36" xfId="1943"/>
    <cellStyle name="Comma 36 2" xfId="1944"/>
    <cellStyle name="Comma 37" xfId="1945"/>
    <cellStyle name="Comma 37 2" xfId="1946"/>
    <cellStyle name="Comma 38" xfId="1947"/>
    <cellStyle name="Comma 39" xfId="1948"/>
    <cellStyle name="Comma 39 2" xfId="1949"/>
    <cellStyle name="Comma 4" xfId="1950"/>
    <cellStyle name="Comma 4 10" xfId="1951"/>
    <cellStyle name="Comma 4 10 2" xfId="1952"/>
    <cellStyle name="Comma 4 11" xfId="1953"/>
    <cellStyle name="Comma 4 12" xfId="1954"/>
    <cellStyle name="Comma 4 13" xfId="1955"/>
    <cellStyle name="Comma 4 14" xfId="1956"/>
    <cellStyle name="Comma 4 15" xfId="1957"/>
    <cellStyle name="Comma 4 16" xfId="1958"/>
    <cellStyle name="Comma 4 17" xfId="1959"/>
    <cellStyle name="Comma 4 18" xfId="1960"/>
    <cellStyle name="Comma 4 19" xfId="1961"/>
    <cellStyle name="Comma 4 2" xfId="1962"/>
    <cellStyle name="Comma 4 2 2" xfId="1963"/>
    <cellStyle name="Comma 4 2 2 3" xfId="1964"/>
    <cellStyle name="Comma 4 2 3" xfId="1965"/>
    <cellStyle name="Comma 4 2 3 2" xfId="1966"/>
    <cellStyle name="Comma 4 20" xfId="1967"/>
    <cellStyle name="Comma 4 3" xfId="1968"/>
    <cellStyle name="Comma 4 3 2" xfId="1969"/>
    <cellStyle name="Comma 4 3 2 2" xfId="1970"/>
    <cellStyle name="Comma 4 3 3" xfId="1971"/>
    <cellStyle name="Comma 4 3 4" xfId="1972"/>
    <cellStyle name="Comma 4 4" xfId="1973"/>
    <cellStyle name="Comma 4 4 2" xfId="1974"/>
    <cellStyle name="Comma 4 4 3" xfId="1975"/>
    <cellStyle name="Comma 4 4 4" xfId="1976"/>
    <cellStyle name="Comma 4 5" xfId="1977"/>
    <cellStyle name="Comma 4 6" xfId="1978"/>
    <cellStyle name="Comma 4 7" xfId="1979"/>
    <cellStyle name="Comma 4 8" xfId="1980"/>
    <cellStyle name="Comma 4 9" xfId="1981"/>
    <cellStyle name="Comma 4_THEO DOI THUC HIEN (GỐC 1)" xfId="1982"/>
    <cellStyle name="Comma 40" xfId="1983"/>
    <cellStyle name="Comma 40 2" xfId="1984"/>
    <cellStyle name="Comma 41" xfId="1985"/>
    <cellStyle name="Comma 42" xfId="1986"/>
    <cellStyle name="Comma 43" xfId="1987"/>
    <cellStyle name="Comma 44" xfId="1988"/>
    <cellStyle name="Comma 45" xfId="1989"/>
    <cellStyle name="Comma 46" xfId="1990"/>
    <cellStyle name="Comma 47" xfId="1991"/>
    <cellStyle name="Comma 48" xfId="1992"/>
    <cellStyle name="Comma 49" xfId="1993"/>
    <cellStyle name="Comma 5" xfId="1994"/>
    <cellStyle name="Comma 5 10" xfId="1995"/>
    <cellStyle name="Comma 5 11" xfId="1996"/>
    <cellStyle name="Comma 5 12" xfId="1997"/>
    <cellStyle name="Comma 5 13" xfId="1998"/>
    <cellStyle name="Comma 5 14" xfId="1999"/>
    <cellStyle name="Comma 5 15" xfId="2000"/>
    <cellStyle name="Comma 5 16" xfId="2001"/>
    <cellStyle name="Comma 5 17" xfId="2002"/>
    <cellStyle name="Comma 5 17 2" xfId="2003"/>
    <cellStyle name="Comma 5 17 3" xfId="2004"/>
    <cellStyle name="Comma 5 18" xfId="2005"/>
    <cellStyle name="Comma 5 19" xfId="2006"/>
    <cellStyle name="Comma 5 2" xfId="2007"/>
    <cellStyle name="Comma 5 20" xfId="2008"/>
    <cellStyle name="Comma 5 21" xfId="2009"/>
    <cellStyle name="Comma 5 21 2" xfId="2010"/>
    <cellStyle name="Comma 5 21 2 2" xfId="2011"/>
    <cellStyle name="Comma 5 21 2 2 2" xfId="2012"/>
    <cellStyle name="Comma 5 21 2 2 3" xfId="2013"/>
    <cellStyle name="Comma 5 21 2 3" xfId="2014"/>
    <cellStyle name="Comma 5 21 2 3 2" xfId="2015"/>
    <cellStyle name="Comma 5 21 2 3 3" xfId="2016"/>
    <cellStyle name="Comma 5 21 2 4" xfId="2017"/>
    <cellStyle name="Comma 5 21 2 5" xfId="2018"/>
    <cellStyle name="Comma 5 21 3" xfId="2019"/>
    <cellStyle name="Comma 5 21 3 2" xfId="2020"/>
    <cellStyle name="Comma 5 21 3 2 2" xfId="2021"/>
    <cellStyle name="Comma 5 21 3 2 3" xfId="2022"/>
    <cellStyle name="Comma 5 21 3 3" xfId="2023"/>
    <cellStyle name="Comma 5 21 3 4" xfId="2024"/>
    <cellStyle name="Comma 5 21 4" xfId="2025"/>
    <cellStyle name="Comma 5 21 4 2" xfId="2026"/>
    <cellStyle name="Comma 5 21 4 3" xfId="2027"/>
    <cellStyle name="Comma 5 21 5" xfId="2028"/>
    <cellStyle name="Comma 5 21 6" xfId="2029"/>
    <cellStyle name="Comma 5 22" xfId="2030"/>
    <cellStyle name="Comma 5 22 2" xfId="2031"/>
    <cellStyle name="Comma 5 22 2 2" xfId="2032"/>
    <cellStyle name="Comma 5 22 2 3" xfId="2033"/>
    <cellStyle name="Comma 5 22 3" xfId="2034"/>
    <cellStyle name="Comma 5 22 4" xfId="2035"/>
    <cellStyle name="Comma 5 3" xfId="2036"/>
    <cellStyle name="Comma 5 3 2" xfId="2037"/>
    <cellStyle name="Comma 5 4" xfId="2038"/>
    <cellStyle name="Comma 5 4 2" xfId="2039"/>
    <cellStyle name="Comma 5 5" xfId="2040"/>
    <cellStyle name="Comma 5 5 2" xfId="2041"/>
    <cellStyle name="Comma 5 5 3" xfId="2042"/>
    <cellStyle name="Comma 5 6" xfId="2043"/>
    <cellStyle name="Comma 5 7" xfId="2044"/>
    <cellStyle name="Comma 5 8" xfId="2045"/>
    <cellStyle name="Comma 5 9" xfId="2046"/>
    <cellStyle name="Comma 5_05-12  KH trung han 2016-2020 - Liem Thinh edited" xfId="2047"/>
    <cellStyle name="Comma 50" xfId="2048"/>
    <cellStyle name="Comma 50 2" xfId="2049"/>
    <cellStyle name="Comma 50 2 2" xfId="2050"/>
    <cellStyle name="Comma 50 2 2 2" xfId="2051"/>
    <cellStyle name="Comma 50 2 2 3" xfId="2052"/>
    <cellStyle name="Comma 50 2 3" xfId="2053"/>
    <cellStyle name="Comma 50 2 4" xfId="2054"/>
    <cellStyle name="Comma 50 3" xfId="2055"/>
    <cellStyle name="Comma 50 3 2" xfId="2056"/>
    <cellStyle name="Comma 50 3 3" xfId="2057"/>
    <cellStyle name="Comma 50 4" xfId="2058"/>
    <cellStyle name="Comma 50 5" xfId="2059"/>
    <cellStyle name="Comma 51" xfId="2060"/>
    <cellStyle name="Comma 51 2" xfId="2061"/>
    <cellStyle name="Comma 51 2 2" xfId="2062"/>
    <cellStyle name="Comma 51 2 2 2" xfId="2063"/>
    <cellStyle name="Comma 51 2 2 3" xfId="2064"/>
    <cellStyle name="Comma 51 2 3" xfId="2065"/>
    <cellStyle name="Comma 51 2 4" xfId="2066"/>
    <cellStyle name="Comma 51 3" xfId="2067"/>
    <cellStyle name="Comma 51 3 2" xfId="2068"/>
    <cellStyle name="Comma 51 3 3" xfId="2069"/>
    <cellStyle name="Comma 51 4" xfId="2070"/>
    <cellStyle name="Comma 51 5" xfId="2071"/>
    <cellStyle name="Comma 52" xfId="2072"/>
    <cellStyle name="Comma 52 2" xfId="2073"/>
    <cellStyle name="Comma 53" xfId="2074"/>
    <cellStyle name="Comma 53 2" xfId="2075"/>
    <cellStyle name="Comma 53 2 2" xfId="2076"/>
    <cellStyle name="Comma 53 2 3" xfId="2077"/>
    <cellStyle name="Comma 53 3" xfId="2078"/>
    <cellStyle name="Comma 53 4" xfId="2079"/>
    <cellStyle name="Comma 54" xfId="2080"/>
    <cellStyle name="Comma 54 2" xfId="2081"/>
    <cellStyle name="Comma 55" xfId="2082"/>
    <cellStyle name="Comma 55 2" xfId="2083"/>
    <cellStyle name="Comma 55 3" xfId="2084"/>
    <cellStyle name="Comma 56" xfId="2085"/>
    <cellStyle name="Comma 57" xfId="2086"/>
    <cellStyle name="Comma 57 2" xfId="2087"/>
    <cellStyle name="Comma 57 4" xfId="2088"/>
    <cellStyle name="Comma 58" xfId="2089"/>
    <cellStyle name="Comma 59" xfId="5258"/>
    <cellStyle name="Comma 6" xfId="2090"/>
    <cellStyle name="Comma 6 2" xfId="2091"/>
    <cellStyle name="Comma 6 2 2" xfId="2092"/>
    <cellStyle name="Comma 6 3" xfId="2093"/>
    <cellStyle name="Comma 6 4" xfId="2094"/>
    <cellStyle name="Comma 60" xfId="5267"/>
    <cellStyle name="Comma 61" xfId="5255"/>
    <cellStyle name="Comma 7" xfId="2095"/>
    <cellStyle name="Comma 7 2" xfId="2096"/>
    <cellStyle name="Comma 7 3" xfId="2097"/>
    <cellStyle name="Comma 7 3 2" xfId="2098"/>
    <cellStyle name="Comma 7 4" xfId="2099"/>
    <cellStyle name="Comma 7 5" xfId="2100"/>
    <cellStyle name="Comma 7_20131129 Nhu cau 2014_TPCP ODA (co hoan ung)" xfId="2101"/>
    <cellStyle name="Comma 78" xfId="2102"/>
    <cellStyle name="Comma 8" xfId="2103"/>
    <cellStyle name="Comma 8 2" xfId="2104"/>
    <cellStyle name="Comma 8 2 2" xfId="2105"/>
    <cellStyle name="Comma 8 3" xfId="2106"/>
    <cellStyle name="Comma 8 4" xfId="2107"/>
    <cellStyle name="Comma 8 5" xfId="2108"/>
    <cellStyle name="Comma 9" xfId="2109"/>
    <cellStyle name="Comma 9 2" xfId="2110"/>
    <cellStyle name="Comma 9 2 2" xfId="2111"/>
    <cellStyle name="Comma 9 2 3" xfId="2112"/>
    <cellStyle name="Comma 9 3" xfId="2113"/>
    <cellStyle name="Comma 9 3 2" xfId="2114"/>
    <cellStyle name="Comma 9 3 3" xfId="2115"/>
    <cellStyle name="Comma 9 4" xfId="2116"/>
    <cellStyle name="Comma 9 5" xfId="2117"/>
    <cellStyle name="Comma 9 6" xfId="5262"/>
    <cellStyle name="comma zerodec" xfId="2118"/>
    <cellStyle name="Comma0" xfId="2119"/>
    <cellStyle name="Comma0 10" xfId="2120"/>
    <cellStyle name="Comma0 11" xfId="2121"/>
    <cellStyle name="Comma0 12" xfId="2122"/>
    <cellStyle name="Comma0 13" xfId="2123"/>
    <cellStyle name="Comma0 14" xfId="2124"/>
    <cellStyle name="Comma0 15" xfId="2125"/>
    <cellStyle name="Comma0 16" xfId="2126"/>
    <cellStyle name="Comma0 2" xfId="2127"/>
    <cellStyle name="Comma0 2 2" xfId="2128"/>
    <cellStyle name="Comma0 3" xfId="2129"/>
    <cellStyle name="Comma0 4" xfId="2130"/>
    <cellStyle name="Comma0 5" xfId="2131"/>
    <cellStyle name="Comma0 6" xfId="2132"/>
    <cellStyle name="Comma0 7" xfId="2133"/>
    <cellStyle name="Comma0 8" xfId="2134"/>
    <cellStyle name="Comma0 9" xfId="2135"/>
    <cellStyle name="Company Name" xfId="2136"/>
    <cellStyle name="cong" xfId="2137"/>
    <cellStyle name="Copied" xfId="2138"/>
    <cellStyle name="Co聭ma_Sheet1" xfId="2139"/>
    <cellStyle name="CR Comma" xfId="2140"/>
    <cellStyle name="CR Currency" xfId="2141"/>
    <cellStyle name="Credit" xfId="2142"/>
    <cellStyle name="Credit subtotal" xfId="2143"/>
    <cellStyle name="Credit Total" xfId="2144"/>
    <cellStyle name="Cࡵrrency_Sheet1_PRODUCTĠ" xfId="2145"/>
    <cellStyle name="Curråncy [0]_FCST_RESULTS" xfId="2146"/>
    <cellStyle name="Currency %" xfId="2147"/>
    <cellStyle name="Currency % 10" xfId="2148"/>
    <cellStyle name="Currency % 11" xfId="2149"/>
    <cellStyle name="Currency % 12" xfId="2150"/>
    <cellStyle name="Currency % 13" xfId="2151"/>
    <cellStyle name="Currency % 14" xfId="2152"/>
    <cellStyle name="Currency % 15" xfId="2153"/>
    <cellStyle name="Currency % 2" xfId="2154"/>
    <cellStyle name="Currency % 3" xfId="2155"/>
    <cellStyle name="Currency % 4" xfId="2156"/>
    <cellStyle name="Currency % 5" xfId="2157"/>
    <cellStyle name="Currency % 6" xfId="2158"/>
    <cellStyle name="Currency % 7" xfId="2159"/>
    <cellStyle name="Currency % 8" xfId="2160"/>
    <cellStyle name="Currency % 9" xfId="2161"/>
    <cellStyle name="Currency %_05-12  KH trung han 2016-2020 - Liem Thinh edited" xfId="2162"/>
    <cellStyle name="Currency [0] 2" xfId="2163"/>
    <cellStyle name="Currency [0] 2 2" xfId="2164"/>
    <cellStyle name="Currency [0]ßmud plant bolted_RESULTS" xfId="2165"/>
    <cellStyle name="Currency [00]" xfId="2166"/>
    <cellStyle name="Currency [00] 10" xfId="2167"/>
    <cellStyle name="Currency [00] 11" xfId="2168"/>
    <cellStyle name="Currency [00] 12" xfId="2169"/>
    <cellStyle name="Currency [00] 13" xfId="2170"/>
    <cellStyle name="Currency [00] 14" xfId="2171"/>
    <cellStyle name="Currency [00] 15" xfId="2172"/>
    <cellStyle name="Currency [00] 16" xfId="2173"/>
    <cellStyle name="Currency [00] 2" xfId="2174"/>
    <cellStyle name="Currency [00] 3" xfId="2175"/>
    <cellStyle name="Currency [00] 4" xfId="2176"/>
    <cellStyle name="Currency [00] 5" xfId="2177"/>
    <cellStyle name="Currency [00] 6" xfId="2178"/>
    <cellStyle name="Currency [00] 7" xfId="2179"/>
    <cellStyle name="Currency [00] 8" xfId="2180"/>
    <cellStyle name="Currency [00] 9" xfId="2181"/>
    <cellStyle name="Currency 0.0" xfId="2182"/>
    <cellStyle name="Currency 0.0%" xfId="2183"/>
    <cellStyle name="Currency 0.0_05-12  KH trung han 2016-2020 - Liem Thinh edited" xfId="2184"/>
    <cellStyle name="Currency 0.00" xfId="2185"/>
    <cellStyle name="Currency 0.00%" xfId="2186"/>
    <cellStyle name="Currency 0.00_05-12  KH trung han 2016-2020 - Liem Thinh edited" xfId="2187"/>
    <cellStyle name="Currency 0.000" xfId="2188"/>
    <cellStyle name="Currency 0.000%" xfId="2189"/>
    <cellStyle name="Currency 0.000_05-12  KH trung han 2016-2020 - Liem Thinh edited" xfId="2190"/>
    <cellStyle name="Currency 2" xfId="2191"/>
    <cellStyle name="Currency 2 10" xfId="2192"/>
    <cellStyle name="Currency 2 11" xfId="2193"/>
    <cellStyle name="Currency 2 12" xfId="2194"/>
    <cellStyle name="Currency 2 13" xfId="2195"/>
    <cellStyle name="Currency 2 14" xfId="2196"/>
    <cellStyle name="Currency 2 15" xfId="2197"/>
    <cellStyle name="Currency 2 16" xfId="2198"/>
    <cellStyle name="Currency 2 2" xfId="2199"/>
    <cellStyle name="Currency 2 3" xfId="2200"/>
    <cellStyle name="Currency 2 4" xfId="2201"/>
    <cellStyle name="Currency 2 5" xfId="2202"/>
    <cellStyle name="Currency 2 6" xfId="2203"/>
    <cellStyle name="Currency 2 7" xfId="2204"/>
    <cellStyle name="Currency 2 8" xfId="2205"/>
    <cellStyle name="Currency 2 9" xfId="2206"/>
    <cellStyle name="Currency 3" xfId="2207"/>
    <cellStyle name="Currency 3 2" xfId="2208"/>
    <cellStyle name="Currency![0]_FCSt (2)" xfId="2209"/>
    <cellStyle name="Currency0" xfId="2210"/>
    <cellStyle name="Currency0 10" xfId="2211"/>
    <cellStyle name="Currency0 11" xfId="2212"/>
    <cellStyle name="Currency0 12" xfId="2213"/>
    <cellStyle name="Currency0 13" xfId="2214"/>
    <cellStyle name="Currency0 14" xfId="2215"/>
    <cellStyle name="Currency0 15" xfId="2216"/>
    <cellStyle name="Currency0 16" xfId="2217"/>
    <cellStyle name="Currency0 2" xfId="2218"/>
    <cellStyle name="Currency0 2 2" xfId="2219"/>
    <cellStyle name="Currency0 3" xfId="2220"/>
    <cellStyle name="Currency0 4" xfId="2221"/>
    <cellStyle name="Currency0 5" xfId="2222"/>
    <cellStyle name="Currency0 6" xfId="2223"/>
    <cellStyle name="Currency0 7" xfId="2224"/>
    <cellStyle name="Currency0 8" xfId="2225"/>
    <cellStyle name="Currency0 9" xfId="2226"/>
    <cellStyle name="Currency1" xfId="2227"/>
    <cellStyle name="Currency1 10" xfId="2228"/>
    <cellStyle name="Currency1 11" xfId="2229"/>
    <cellStyle name="Currency1 12" xfId="2230"/>
    <cellStyle name="Currency1 13" xfId="2231"/>
    <cellStyle name="Currency1 14" xfId="2232"/>
    <cellStyle name="Currency1 15" xfId="2233"/>
    <cellStyle name="Currency1 16" xfId="2234"/>
    <cellStyle name="Currency1 2" xfId="2235"/>
    <cellStyle name="Currency1 2 2" xfId="2236"/>
    <cellStyle name="Currency1 3" xfId="2237"/>
    <cellStyle name="Currency1 4" xfId="2238"/>
    <cellStyle name="Currency1 5" xfId="2239"/>
    <cellStyle name="Currency1 6" xfId="2240"/>
    <cellStyle name="Currency1 7" xfId="2241"/>
    <cellStyle name="Currency1 8" xfId="2242"/>
    <cellStyle name="Currency1 9" xfId="2243"/>
    <cellStyle name="D1" xfId="2244"/>
    <cellStyle name="Date" xfId="2245"/>
    <cellStyle name="Date 10" xfId="2246"/>
    <cellStyle name="Date 11" xfId="2247"/>
    <cellStyle name="Date 12" xfId="2248"/>
    <cellStyle name="Date 13" xfId="2249"/>
    <cellStyle name="Date 14" xfId="2250"/>
    <cellStyle name="Date 15" xfId="2251"/>
    <cellStyle name="Date 16" xfId="2252"/>
    <cellStyle name="Date 2" xfId="2253"/>
    <cellStyle name="Date 2 2" xfId="2254"/>
    <cellStyle name="Date 3" xfId="2255"/>
    <cellStyle name="Date 4" xfId="2256"/>
    <cellStyle name="Date 5" xfId="2257"/>
    <cellStyle name="Date 6" xfId="2258"/>
    <cellStyle name="Date 7" xfId="2259"/>
    <cellStyle name="Date 8" xfId="2260"/>
    <cellStyle name="Date 9" xfId="2261"/>
    <cellStyle name="Date Short" xfId="2262"/>
    <cellStyle name="Date Short 2" xfId="2263"/>
    <cellStyle name="Date_Book1" xfId="2264"/>
    <cellStyle name="Dấu_phảy 2" xfId="2265"/>
    <cellStyle name="DAUDE" xfId="2266"/>
    <cellStyle name="Debit" xfId="2267"/>
    <cellStyle name="Debit subtotal" xfId="2268"/>
    <cellStyle name="Debit Total" xfId="2269"/>
    <cellStyle name="DELTA" xfId="2270"/>
    <cellStyle name="DELTA 10" xfId="2271"/>
    <cellStyle name="DELTA 11" xfId="2272"/>
    <cellStyle name="DELTA 12" xfId="2273"/>
    <cellStyle name="DELTA 13" xfId="2274"/>
    <cellStyle name="DELTA 14" xfId="2275"/>
    <cellStyle name="DELTA 15" xfId="2276"/>
    <cellStyle name="DELTA 2" xfId="2277"/>
    <cellStyle name="DELTA 3" xfId="2278"/>
    <cellStyle name="DELTA 4" xfId="2279"/>
    <cellStyle name="DELTA 5" xfId="2280"/>
    <cellStyle name="DELTA 6" xfId="2281"/>
    <cellStyle name="DELTA 7" xfId="2282"/>
    <cellStyle name="DELTA 8" xfId="2283"/>
    <cellStyle name="DELTA 9" xfId="2284"/>
    <cellStyle name="Dezimal [0]_35ERI8T2gbIEMixb4v26icuOo" xfId="2285"/>
    <cellStyle name="Dezimal_35ERI8T2gbIEMixb4v26icuOo" xfId="2286"/>
    <cellStyle name="Dg" xfId="2287"/>
    <cellStyle name="Dgia" xfId="2288"/>
    <cellStyle name="Dgia 2" xfId="2289"/>
    <cellStyle name="Dollar (zero dec)" xfId="2290"/>
    <cellStyle name="Dollar (zero dec) 10" xfId="2291"/>
    <cellStyle name="Dollar (zero dec) 11" xfId="2292"/>
    <cellStyle name="Dollar (zero dec) 12" xfId="2293"/>
    <cellStyle name="Dollar (zero dec) 13" xfId="2294"/>
    <cellStyle name="Dollar (zero dec) 14" xfId="2295"/>
    <cellStyle name="Dollar (zero dec) 15" xfId="2296"/>
    <cellStyle name="Dollar (zero dec) 16" xfId="2297"/>
    <cellStyle name="Dollar (zero dec) 2" xfId="2298"/>
    <cellStyle name="Dollar (zero dec) 2 2" xfId="2299"/>
    <cellStyle name="Dollar (zero dec) 3" xfId="2300"/>
    <cellStyle name="Dollar (zero dec) 4" xfId="2301"/>
    <cellStyle name="Dollar (zero dec) 5" xfId="2302"/>
    <cellStyle name="Dollar (zero dec) 6" xfId="2303"/>
    <cellStyle name="Dollar (zero dec) 7" xfId="2304"/>
    <cellStyle name="Dollar (zero dec) 8" xfId="2305"/>
    <cellStyle name="Dollar (zero dec) 9" xfId="2306"/>
    <cellStyle name="Don gia" xfId="2307"/>
    <cellStyle name="Dziesi?tny [0]_Invoices2001Slovakia" xfId="2308"/>
    <cellStyle name="Dziesi?tny_Invoices2001Slovakia" xfId="2309"/>
    <cellStyle name="Dziesietny [0]_Invoices2001Slovakia" xfId="2310"/>
    <cellStyle name="Dziesiętny [0]_Invoices2001Slovakia" xfId="2311"/>
    <cellStyle name="Dziesietny [0]_Invoices2001Slovakia 2" xfId="2312"/>
    <cellStyle name="Dziesiętny [0]_Invoices2001Slovakia 2" xfId="2313"/>
    <cellStyle name="Dziesietny [0]_Invoices2001Slovakia 3" xfId="2314"/>
    <cellStyle name="Dziesiętny [0]_Invoices2001Slovakia 3" xfId="2315"/>
    <cellStyle name="Dziesietny [0]_Invoices2001Slovakia 4" xfId="2316"/>
    <cellStyle name="Dziesiętny [0]_Invoices2001Slovakia 4" xfId="2317"/>
    <cellStyle name="Dziesietny [0]_Invoices2001Slovakia 5" xfId="2318"/>
    <cellStyle name="Dziesiętny [0]_Invoices2001Slovakia 5" xfId="2319"/>
    <cellStyle name="Dziesietny [0]_Invoices2001Slovakia 6" xfId="2320"/>
    <cellStyle name="Dziesiętny [0]_Invoices2001Slovakia 6" xfId="2321"/>
    <cellStyle name="Dziesietny [0]_Invoices2001Slovakia 7" xfId="2322"/>
    <cellStyle name="Dziesiętny [0]_Invoices2001Slovakia 7" xfId="2323"/>
    <cellStyle name="Dziesietny [0]_Invoices2001Slovakia_01_Nha so 1_Dien" xfId="2324"/>
    <cellStyle name="Dziesiętny [0]_Invoices2001Slovakia_01_Nha so 1_Dien" xfId="2325"/>
    <cellStyle name="Dziesietny [0]_Invoices2001Slovakia_05-12  KH trung han 2016-2020 - Liem Thinh edited" xfId="2326"/>
    <cellStyle name="Dziesiętny [0]_Invoices2001Slovakia_05-12  KH trung han 2016-2020 - Liem Thinh edited" xfId="2327"/>
    <cellStyle name="Dziesietny [0]_Invoices2001Slovakia_10_Nha so 10_Dien1" xfId="2328"/>
    <cellStyle name="Dziesiętny [0]_Invoices2001Slovakia_10_Nha so 10_Dien1" xfId="2329"/>
    <cellStyle name="Dziesietny [0]_Invoices2001Slovakia_Book1" xfId="2330"/>
    <cellStyle name="Dziesiętny [0]_Invoices2001Slovakia_Book1" xfId="2331"/>
    <cellStyle name="Dziesietny [0]_Invoices2001Slovakia_Book1_1" xfId="2332"/>
    <cellStyle name="Dziesiętny [0]_Invoices2001Slovakia_Book1_1" xfId="2333"/>
    <cellStyle name="Dziesietny [0]_Invoices2001Slovakia_Book1_1_Book1" xfId="2334"/>
    <cellStyle name="Dziesiętny [0]_Invoices2001Slovakia_Book1_1_Book1" xfId="2335"/>
    <cellStyle name="Dziesietny [0]_Invoices2001Slovakia_Book1_2" xfId="2336"/>
    <cellStyle name="Dziesiętny [0]_Invoices2001Slovakia_Book1_2" xfId="2337"/>
    <cellStyle name="Dziesietny [0]_Invoices2001Slovakia_Book1_Nhu cau von ung truoc 2011 Tha h Hoa + Nge An gui TW" xfId="2338"/>
    <cellStyle name="Dziesiętny [0]_Invoices2001Slovakia_Book1_Nhu cau von ung truoc 2011 Tha h Hoa + Nge An gui TW" xfId="2339"/>
    <cellStyle name="Dziesietny [0]_Invoices2001Slovakia_Book1_Tong hop Cac tuyen(9-1-06)" xfId="2340"/>
    <cellStyle name="Dziesiętny [0]_Invoices2001Slovakia_Book1_Tong hop Cac tuyen(9-1-06)" xfId="2341"/>
    <cellStyle name="Dziesietny [0]_Invoices2001Slovakia_Book1_ung truoc 2011 NSTW Thanh Hoa + Nge An gui Thu 12-5" xfId="2342"/>
    <cellStyle name="Dziesiętny [0]_Invoices2001Slovakia_Book1_ung truoc 2011 NSTW Thanh Hoa + Nge An gui Thu 12-5" xfId="2343"/>
    <cellStyle name="Dziesietny [0]_Invoices2001Slovakia_Copy of 05-12  KH trung han 2016-2020 - Liem Thinh edited (1)" xfId="2344"/>
    <cellStyle name="Dziesiętny [0]_Invoices2001Slovakia_Copy of 05-12  KH trung han 2016-2020 - Liem Thinh edited (1)" xfId="2345"/>
    <cellStyle name="Dziesietny [0]_Invoices2001Slovakia_d-uong+TDT" xfId="2346"/>
    <cellStyle name="Dziesiętny [0]_Invoices2001Slovakia_KH TPCP 2016-2020 (tong hop)" xfId="2347"/>
    <cellStyle name="Dziesietny [0]_Invoices2001Slovakia_Nha bao ve(28-7-05)" xfId="2348"/>
    <cellStyle name="Dziesiętny [0]_Invoices2001Slovakia_Nha bao ve(28-7-05)" xfId="2349"/>
    <cellStyle name="Dziesietny [0]_Invoices2001Slovakia_NHA de xe nguyen du" xfId="2350"/>
    <cellStyle name="Dziesiętny [0]_Invoices2001Slovakia_NHA de xe nguyen du" xfId="2351"/>
    <cellStyle name="Dziesietny [0]_Invoices2001Slovakia_Nhalamviec VTC(25-1-05)" xfId="2352"/>
    <cellStyle name="Dziesiętny [0]_Invoices2001Slovakia_Nhalamviec VTC(25-1-05)" xfId="2353"/>
    <cellStyle name="Dziesietny [0]_Invoices2001Slovakia_Nhu cau von ung truoc 2011 Tha h Hoa + Nge An gui TW" xfId="2354"/>
    <cellStyle name="Dziesiętny [0]_Invoices2001Slovakia_TDT KHANH HOA" xfId="2355"/>
    <cellStyle name="Dziesietny [0]_Invoices2001Slovakia_TDT KHANH HOA_Tong hop Cac tuyen(9-1-06)" xfId="2356"/>
    <cellStyle name="Dziesiętny [0]_Invoices2001Slovakia_TDT KHANH HOA_Tong hop Cac tuyen(9-1-06)" xfId="2357"/>
    <cellStyle name="Dziesietny [0]_Invoices2001Slovakia_TDT quangngai" xfId="2358"/>
    <cellStyle name="Dziesiętny [0]_Invoices2001Slovakia_TDT quangngai" xfId="2359"/>
    <cellStyle name="Dziesietny [0]_Invoices2001Slovakia_TMDT(10-5-06)" xfId="2360"/>
    <cellStyle name="Dziesietny_Invoices2001Slovakia" xfId="2361"/>
    <cellStyle name="Dziesiętny_Invoices2001Slovakia" xfId="2362"/>
    <cellStyle name="Dziesietny_Invoices2001Slovakia 2" xfId="2363"/>
    <cellStyle name="Dziesiętny_Invoices2001Slovakia 2" xfId="2364"/>
    <cellStyle name="Dziesietny_Invoices2001Slovakia 3" xfId="2365"/>
    <cellStyle name="Dziesiętny_Invoices2001Slovakia 3" xfId="2366"/>
    <cellStyle name="Dziesietny_Invoices2001Slovakia 4" xfId="2367"/>
    <cellStyle name="Dziesiętny_Invoices2001Slovakia 4" xfId="2368"/>
    <cellStyle name="Dziesietny_Invoices2001Slovakia 5" xfId="2369"/>
    <cellStyle name="Dziesiętny_Invoices2001Slovakia 5" xfId="2370"/>
    <cellStyle name="Dziesietny_Invoices2001Slovakia 6" xfId="2371"/>
    <cellStyle name="Dziesiętny_Invoices2001Slovakia 6" xfId="2372"/>
    <cellStyle name="Dziesietny_Invoices2001Slovakia 7" xfId="2373"/>
    <cellStyle name="Dziesiętny_Invoices2001Slovakia 7" xfId="2374"/>
    <cellStyle name="Dziesietny_Invoices2001Slovakia_01_Nha so 1_Dien" xfId="2375"/>
    <cellStyle name="Dziesiętny_Invoices2001Slovakia_01_Nha so 1_Dien" xfId="2376"/>
    <cellStyle name="Dziesietny_Invoices2001Slovakia_05-12  KH trung han 2016-2020 - Liem Thinh edited" xfId="2377"/>
    <cellStyle name="Dziesiętny_Invoices2001Slovakia_05-12  KH trung han 2016-2020 - Liem Thinh edited" xfId="2378"/>
    <cellStyle name="Dziesietny_Invoices2001Slovakia_10_Nha so 10_Dien1" xfId="2379"/>
    <cellStyle name="Dziesiętny_Invoices2001Slovakia_10_Nha so 10_Dien1" xfId="2380"/>
    <cellStyle name="Dziesietny_Invoices2001Slovakia_Book1" xfId="2381"/>
    <cellStyle name="Dziesiętny_Invoices2001Slovakia_Book1" xfId="2382"/>
    <cellStyle name="Dziesietny_Invoices2001Slovakia_Book1_1" xfId="2383"/>
    <cellStyle name="Dziesiętny_Invoices2001Slovakia_Book1_1" xfId="2384"/>
    <cellStyle name="Dziesietny_Invoices2001Slovakia_Book1_1_Book1" xfId="2385"/>
    <cellStyle name="Dziesiętny_Invoices2001Slovakia_Book1_1_Book1" xfId="2386"/>
    <cellStyle name="Dziesietny_Invoices2001Slovakia_Book1_2" xfId="2387"/>
    <cellStyle name="Dziesiętny_Invoices2001Slovakia_Book1_2" xfId="2388"/>
    <cellStyle name="Dziesietny_Invoices2001Slovakia_Book1_Nhu cau von ung truoc 2011 Tha h Hoa + Nge An gui TW" xfId="2389"/>
    <cellStyle name="Dziesiętny_Invoices2001Slovakia_Book1_Nhu cau von ung truoc 2011 Tha h Hoa + Nge An gui TW" xfId="2390"/>
    <cellStyle name="Dziesietny_Invoices2001Slovakia_Book1_Tong hop Cac tuyen(9-1-06)" xfId="2391"/>
    <cellStyle name="Dziesiętny_Invoices2001Slovakia_Book1_Tong hop Cac tuyen(9-1-06)" xfId="2392"/>
    <cellStyle name="Dziesietny_Invoices2001Slovakia_Book1_ung truoc 2011 NSTW Thanh Hoa + Nge An gui Thu 12-5" xfId="2393"/>
    <cellStyle name="Dziesiętny_Invoices2001Slovakia_Book1_ung truoc 2011 NSTW Thanh Hoa + Nge An gui Thu 12-5" xfId="2394"/>
    <cellStyle name="Dziesietny_Invoices2001Slovakia_Copy of 05-12  KH trung han 2016-2020 - Liem Thinh edited (1)" xfId="2395"/>
    <cellStyle name="Dziesiętny_Invoices2001Slovakia_Copy of 05-12  KH trung han 2016-2020 - Liem Thinh edited (1)" xfId="2396"/>
    <cellStyle name="Dziesietny_Invoices2001Slovakia_d-uong+TDT" xfId="2397"/>
    <cellStyle name="Dziesiętny_Invoices2001Slovakia_KH TPCP 2016-2020 (tong hop)" xfId="2398"/>
    <cellStyle name="Dziesietny_Invoices2001Slovakia_Nha bao ve(28-7-05)" xfId="2399"/>
    <cellStyle name="Dziesiętny_Invoices2001Slovakia_Nha bao ve(28-7-05)" xfId="2400"/>
    <cellStyle name="Dziesietny_Invoices2001Slovakia_NHA de xe nguyen du" xfId="2401"/>
    <cellStyle name="Dziesiętny_Invoices2001Slovakia_NHA de xe nguyen du" xfId="2402"/>
    <cellStyle name="Dziesietny_Invoices2001Slovakia_Nhalamviec VTC(25-1-05)" xfId="2403"/>
    <cellStyle name="Dziesiętny_Invoices2001Slovakia_Nhalamviec VTC(25-1-05)" xfId="2404"/>
    <cellStyle name="Dziesietny_Invoices2001Slovakia_Nhu cau von ung truoc 2011 Tha h Hoa + Nge An gui TW" xfId="2405"/>
    <cellStyle name="Dziesiętny_Invoices2001Slovakia_TDT KHANH HOA" xfId="2406"/>
    <cellStyle name="Dziesietny_Invoices2001Slovakia_TDT KHANH HOA_Tong hop Cac tuyen(9-1-06)" xfId="2407"/>
    <cellStyle name="Dziesiętny_Invoices2001Slovakia_TDT KHANH HOA_Tong hop Cac tuyen(9-1-06)" xfId="2408"/>
    <cellStyle name="Dziesietny_Invoices2001Slovakia_TDT quangngai" xfId="2409"/>
    <cellStyle name="Dziesiętny_Invoices2001Slovakia_TDT quangngai" xfId="2410"/>
    <cellStyle name="Dziesietny_Invoices2001Slovakia_TMDT(10-5-06)" xfId="2411"/>
    <cellStyle name="e" xfId="2412"/>
    <cellStyle name="Enter Currency (0)" xfId="2413"/>
    <cellStyle name="Enter Currency (0) 10" xfId="2414"/>
    <cellStyle name="Enter Currency (0) 11" xfId="2415"/>
    <cellStyle name="Enter Currency (0) 12" xfId="2416"/>
    <cellStyle name="Enter Currency (0) 13" xfId="2417"/>
    <cellStyle name="Enter Currency (0) 14" xfId="2418"/>
    <cellStyle name="Enter Currency (0) 15" xfId="2419"/>
    <cellStyle name="Enter Currency (0) 16" xfId="2420"/>
    <cellStyle name="Enter Currency (0) 2" xfId="2421"/>
    <cellStyle name="Enter Currency (0) 3" xfId="2422"/>
    <cellStyle name="Enter Currency (0) 4" xfId="2423"/>
    <cellStyle name="Enter Currency (0) 5" xfId="2424"/>
    <cellStyle name="Enter Currency (0) 6" xfId="2425"/>
    <cellStyle name="Enter Currency (0) 7" xfId="2426"/>
    <cellStyle name="Enter Currency (0) 8" xfId="2427"/>
    <cellStyle name="Enter Currency (0) 9" xfId="2428"/>
    <cellStyle name="Enter Currency (2)" xfId="2429"/>
    <cellStyle name="Enter Currency (2) 10" xfId="2430"/>
    <cellStyle name="Enter Currency (2) 11" xfId="2431"/>
    <cellStyle name="Enter Currency (2) 12" xfId="2432"/>
    <cellStyle name="Enter Currency (2) 13" xfId="2433"/>
    <cellStyle name="Enter Currency (2) 14" xfId="2434"/>
    <cellStyle name="Enter Currency (2) 15" xfId="2435"/>
    <cellStyle name="Enter Currency (2) 16" xfId="2436"/>
    <cellStyle name="Enter Currency (2) 2" xfId="2437"/>
    <cellStyle name="Enter Currency (2) 3" xfId="2438"/>
    <cellStyle name="Enter Currency (2) 4" xfId="2439"/>
    <cellStyle name="Enter Currency (2) 5" xfId="2440"/>
    <cellStyle name="Enter Currency (2) 6" xfId="2441"/>
    <cellStyle name="Enter Currency (2) 7" xfId="2442"/>
    <cellStyle name="Enter Currency (2) 8" xfId="2443"/>
    <cellStyle name="Enter Currency (2) 9" xfId="2444"/>
    <cellStyle name="Enter Units (0)" xfId="2445"/>
    <cellStyle name="Enter Units (0) 10" xfId="2446"/>
    <cellStyle name="Enter Units (0) 11" xfId="2447"/>
    <cellStyle name="Enter Units (0) 12" xfId="2448"/>
    <cellStyle name="Enter Units (0) 13" xfId="2449"/>
    <cellStyle name="Enter Units (0) 14" xfId="2450"/>
    <cellStyle name="Enter Units (0) 15" xfId="2451"/>
    <cellStyle name="Enter Units (0) 16" xfId="2452"/>
    <cellStyle name="Enter Units (0) 2" xfId="2453"/>
    <cellStyle name="Enter Units (0) 3" xfId="2454"/>
    <cellStyle name="Enter Units (0) 4" xfId="2455"/>
    <cellStyle name="Enter Units (0) 5" xfId="2456"/>
    <cellStyle name="Enter Units (0) 6" xfId="2457"/>
    <cellStyle name="Enter Units (0) 7" xfId="2458"/>
    <cellStyle name="Enter Units (0) 8" xfId="2459"/>
    <cellStyle name="Enter Units (0) 9" xfId="2460"/>
    <cellStyle name="Enter Units (1)" xfId="2461"/>
    <cellStyle name="Enter Units (1) 10" xfId="2462"/>
    <cellStyle name="Enter Units (1) 11" xfId="2463"/>
    <cellStyle name="Enter Units (1) 12" xfId="2464"/>
    <cellStyle name="Enter Units (1) 13" xfId="2465"/>
    <cellStyle name="Enter Units (1) 14" xfId="2466"/>
    <cellStyle name="Enter Units (1) 15" xfId="2467"/>
    <cellStyle name="Enter Units (1) 16" xfId="2468"/>
    <cellStyle name="Enter Units (1) 2" xfId="2469"/>
    <cellStyle name="Enter Units (1) 3" xfId="2470"/>
    <cellStyle name="Enter Units (1) 4" xfId="2471"/>
    <cellStyle name="Enter Units (1) 5" xfId="2472"/>
    <cellStyle name="Enter Units (1) 6" xfId="2473"/>
    <cellStyle name="Enter Units (1) 7" xfId="2474"/>
    <cellStyle name="Enter Units (1) 8" xfId="2475"/>
    <cellStyle name="Enter Units (1) 9" xfId="2476"/>
    <cellStyle name="Enter Units (2)" xfId="2477"/>
    <cellStyle name="Enter Units (2) 10" xfId="2478"/>
    <cellStyle name="Enter Units (2) 11" xfId="2479"/>
    <cellStyle name="Enter Units (2) 12" xfId="2480"/>
    <cellStyle name="Enter Units (2) 13" xfId="2481"/>
    <cellStyle name="Enter Units (2) 14" xfId="2482"/>
    <cellStyle name="Enter Units (2) 15" xfId="2483"/>
    <cellStyle name="Enter Units (2) 16" xfId="2484"/>
    <cellStyle name="Enter Units (2) 2" xfId="2485"/>
    <cellStyle name="Enter Units (2) 3" xfId="2486"/>
    <cellStyle name="Enter Units (2) 4" xfId="2487"/>
    <cellStyle name="Enter Units (2) 5" xfId="2488"/>
    <cellStyle name="Enter Units (2) 6" xfId="2489"/>
    <cellStyle name="Enter Units (2) 7" xfId="2490"/>
    <cellStyle name="Enter Units (2) 8" xfId="2491"/>
    <cellStyle name="Enter Units (2) 9" xfId="2492"/>
    <cellStyle name="Entered" xfId="2493"/>
    <cellStyle name="Euro" xfId="2494"/>
    <cellStyle name="Euro 10" xfId="2495"/>
    <cellStyle name="Euro 11" xfId="2496"/>
    <cellStyle name="Euro 12" xfId="2497"/>
    <cellStyle name="Euro 13" xfId="2498"/>
    <cellStyle name="Euro 14" xfId="2499"/>
    <cellStyle name="Euro 15" xfId="2500"/>
    <cellStyle name="Euro 16" xfId="2501"/>
    <cellStyle name="Euro 2" xfId="2502"/>
    <cellStyle name="Euro 3" xfId="2503"/>
    <cellStyle name="Euro 4" xfId="2504"/>
    <cellStyle name="Euro 5" xfId="2505"/>
    <cellStyle name="Euro 6" xfId="2506"/>
    <cellStyle name="Euro 7" xfId="2507"/>
    <cellStyle name="Euro 8" xfId="2508"/>
    <cellStyle name="Euro 9" xfId="2509"/>
    <cellStyle name="Excel Built-in Normal" xfId="2510"/>
    <cellStyle name="Explanatory Text 2" xfId="2511"/>
    <cellStyle name="f" xfId="2512"/>
    <cellStyle name="f_Danhmuc_Quyhoach2009" xfId="2513"/>
    <cellStyle name="f_Danhmuc_Quyhoach2009 2" xfId="2514"/>
    <cellStyle name="f_Danhmuc_Quyhoach2009 2 2" xfId="2515"/>
    <cellStyle name="Fixed" xfId="2516"/>
    <cellStyle name="Fixed 10" xfId="2517"/>
    <cellStyle name="Fixed 11" xfId="2518"/>
    <cellStyle name="Fixed 12" xfId="2519"/>
    <cellStyle name="Fixed 13" xfId="2520"/>
    <cellStyle name="Fixed 14" xfId="2521"/>
    <cellStyle name="Fixed 15" xfId="2522"/>
    <cellStyle name="Fixed 16" xfId="2523"/>
    <cellStyle name="Fixed 2" xfId="2524"/>
    <cellStyle name="Fixed 2 2" xfId="2525"/>
    <cellStyle name="Fixed 3" xfId="2526"/>
    <cellStyle name="Fixed 4" xfId="2527"/>
    <cellStyle name="Fixed 5" xfId="2528"/>
    <cellStyle name="Fixed 6" xfId="2529"/>
    <cellStyle name="Fixed 7" xfId="2530"/>
    <cellStyle name="Fixed 8" xfId="2531"/>
    <cellStyle name="Fixed 9" xfId="2532"/>
    <cellStyle name="Font Britannic16" xfId="2533"/>
    <cellStyle name="Font Britannic18" xfId="2534"/>
    <cellStyle name="Font CenturyCond 18" xfId="2535"/>
    <cellStyle name="Font Cond20" xfId="2536"/>
    <cellStyle name="Font LucidaSans16" xfId="2537"/>
    <cellStyle name="Font NewCenturyCond18" xfId="2538"/>
    <cellStyle name="Font Ottawa14" xfId="2539"/>
    <cellStyle name="Font Ottawa16" xfId="2540"/>
    <cellStyle name="gia" xfId="2541"/>
    <cellStyle name="GIA-MOI" xfId="2542"/>
    <cellStyle name="Good 2" xfId="2543"/>
    <cellStyle name="Grey" xfId="2544"/>
    <cellStyle name="Grey 10" xfId="2545"/>
    <cellStyle name="Grey 11" xfId="2546"/>
    <cellStyle name="Grey 12" xfId="2547"/>
    <cellStyle name="Grey 13" xfId="2548"/>
    <cellStyle name="Grey 14" xfId="2549"/>
    <cellStyle name="Grey 15" xfId="2550"/>
    <cellStyle name="Grey 16" xfId="2551"/>
    <cellStyle name="Grey 2" xfId="2552"/>
    <cellStyle name="Grey 3" xfId="2553"/>
    <cellStyle name="Grey 4" xfId="2554"/>
    <cellStyle name="Grey 5" xfId="2555"/>
    <cellStyle name="Grey 6" xfId="2556"/>
    <cellStyle name="Grey 7" xfId="2557"/>
    <cellStyle name="Grey 8" xfId="2558"/>
    <cellStyle name="Grey 9" xfId="2559"/>
    <cellStyle name="Grey_KH TPCP 2016-2020 (tong hop)" xfId="2560"/>
    <cellStyle name="Group" xfId="2561"/>
    <cellStyle name="H" xfId="2562"/>
    <cellStyle name="ha" xfId="2563"/>
    <cellStyle name="HAI" xfId="2564"/>
    <cellStyle name="Head 1" xfId="2565"/>
    <cellStyle name="HEADER" xfId="2566"/>
    <cellStyle name="HEADER 2" xfId="2567"/>
    <cellStyle name="Header1" xfId="2568"/>
    <cellStyle name="Header1 2" xfId="2569"/>
    <cellStyle name="Header2" xfId="2570"/>
    <cellStyle name="Header2 2" xfId="2571"/>
    <cellStyle name="Header2 2 2" xfId="2572"/>
    <cellStyle name="Header2 3" xfId="2573"/>
    <cellStyle name="Heading" xfId="2574"/>
    <cellStyle name="Heading 1 2" xfId="2575"/>
    <cellStyle name="Heading 2 2" xfId="2576"/>
    <cellStyle name="Heading 3 2" xfId="2577"/>
    <cellStyle name="Heading 4 2" xfId="2578"/>
    <cellStyle name="Heading No Underline" xfId="2579"/>
    <cellStyle name="Heading With Underline" xfId="2580"/>
    <cellStyle name="HEADING1" xfId="2581"/>
    <cellStyle name="HEADING2" xfId="2582"/>
    <cellStyle name="HEADINGS" xfId="2583"/>
    <cellStyle name="HEADINGSTOP" xfId="2584"/>
    <cellStyle name="headoption" xfId="2585"/>
    <cellStyle name="headoption 2" xfId="2586"/>
    <cellStyle name="headoption 3" xfId="2587"/>
    <cellStyle name="Hoa-Scholl" xfId="2588"/>
    <cellStyle name="Hoa-Scholl 2" xfId="2589"/>
    <cellStyle name="HUY" xfId="2590"/>
    <cellStyle name="i phÝ kh¸c_B¶ng 2" xfId="2591"/>
    <cellStyle name="I.3" xfId="2592"/>
    <cellStyle name="i·0" xfId="2593"/>
    <cellStyle name="i·0 2" xfId="2594"/>
    <cellStyle name="ï-¾È»ê_BiÓu TB" xfId="2595"/>
    <cellStyle name="Input [yellow]" xfId="2596"/>
    <cellStyle name="Input [yellow] 10" xfId="2597"/>
    <cellStyle name="Input [yellow] 11" xfId="2598"/>
    <cellStyle name="Input [yellow] 12" xfId="2599"/>
    <cellStyle name="Input [yellow] 13" xfId="2600"/>
    <cellStyle name="Input [yellow] 14" xfId="2601"/>
    <cellStyle name="Input [yellow] 15" xfId="2602"/>
    <cellStyle name="Input [yellow] 16" xfId="2603"/>
    <cellStyle name="Input [yellow] 2" xfId="2604"/>
    <cellStyle name="Input [yellow] 2 2" xfId="2605"/>
    <cellStyle name="Input [yellow] 3" xfId="2606"/>
    <cellStyle name="Input [yellow] 4" xfId="2607"/>
    <cellStyle name="Input [yellow] 5" xfId="2608"/>
    <cellStyle name="Input [yellow] 6" xfId="2609"/>
    <cellStyle name="Input [yellow] 7" xfId="2610"/>
    <cellStyle name="Input [yellow] 8" xfId="2611"/>
    <cellStyle name="Input [yellow] 9" xfId="2612"/>
    <cellStyle name="Input [yellow]_KH TPCP 2016-2020 (tong hop)" xfId="2613"/>
    <cellStyle name="Input 2" xfId="2614"/>
    <cellStyle name="Input 3" xfId="2615"/>
    <cellStyle name="Input 4" xfId="2616"/>
    <cellStyle name="Input 5" xfId="2617"/>
    <cellStyle name="Input 6" xfId="2618"/>
    <cellStyle name="Input 7" xfId="2619"/>
    <cellStyle name="k_TONG HOP KINH PHI" xfId="2620"/>
    <cellStyle name="k_TONG HOP KINH PHI_!1 1 bao cao giao KH ve HTCMT vung TNB   12-12-2011" xfId="2621"/>
    <cellStyle name="k_TONG HOP KINH PHI_Bieu4HTMT" xfId="2622"/>
    <cellStyle name="k_TONG HOP KINH PHI_Bieu4HTMT_!1 1 bao cao giao KH ve HTCMT vung TNB   12-12-2011" xfId="2623"/>
    <cellStyle name="k_TONG HOP KINH PHI_Bieu4HTMT_KH TPCP vung TNB (03-1-2012)" xfId="2624"/>
    <cellStyle name="k_TONG HOP KINH PHI_KH TPCP vung TNB (03-1-2012)" xfId="2625"/>
    <cellStyle name="k_ÿÿÿÿÿ" xfId="2626"/>
    <cellStyle name="k_ÿÿÿÿÿ_!1 1 bao cao giao KH ve HTCMT vung TNB   12-12-2011" xfId="2627"/>
    <cellStyle name="k_ÿÿÿÿÿ_1" xfId="2628"/>
    <cellStyle name="k_ÿÿÿÿÿ_2" xfId="2629"/>
    <cellStyle name="k_ÿÿÿÿÿ_2_!1 1 bao cao giao KH ve HTCMT vung TNB   12-12-2011" xfId="2630"/>
    <cellStyle name="k_ÿÿÿÿÿ_2_Bieu4HTMT" xfId="2631"/>
    <cellStyle name="k_ÿÿÿÿÿ_2_Bieu4HTMT_!1 1 bao cao giao KH ve HTCMT vung TNB   12-12-2011" xfId="2632"/>
    <cellStyle name="k_ÿÿÿÿÿ_2_Bieu4HTMT_KH TPCP vung TNB (03-1-2012)" xfId="2633"/>
    <cellStyle name="k_ÿÿÿÿÿ_2_KH TPCP vung TNB (03-1-2012)" xfId="2634"/>
    <cellStyle name="k_ÿÿÿÿÿ_Bieu4HTMT" xfId="2635"/>
    <cellStyle name="k_ÿÿÿÿÿ_Bieu4HTMT_!1 1 bao cao giao KH ve HTCMT vung TNB   12-12-2011" xfId="2636"/>
    <cellStyle name="k_ÿÿÿÿÿ_Bieu4HTMT_KH TPCP vung TNB (03-1-2012)" xfId="2637"/>
    <cellStyle name="k_ÿÿÿÿÿ_KH TPCP vung TNB (03-1-2012)" xfId="2638"/>
    <cellStyle name="kh¸c_Bang Chi tieu" xfId="2639"/>
    <cellStyle name="khanh" xfId="2640"/>
    <cellStyle name="khung" xfId="2641"/>
    <cellStyle name="khung 2" xfId="2642"/>
    <cellStyle name="KLBXUNG" xfId="2643"/>
    <cellStyle name="Ledger 17 x 11 in" xfId="2644"/>
    <cellStyle name="Ledger 17 x 11 in 2" xfId="2645"/>
    <cellStyle name="Ledger 17 x 11 in 2 2" xfId="2646"/>
    <cellStyle name="Ledger 17 x 11 in 3" xfId="2647"/>
    <cellStyle name="Ledger 17 x 11 in 4" xfId="2648"/>
    <cellStyle name="left" xfId="2649"/>
    <cellStyle name="Line" xfId="2650"/>
    <cellStyle name="Link Currency (0)" xfId="2651"/>
    <cellStyle name="Link Currency (0) 10" xfId="2652"/>
    <cellStyle name="Link Currency (0) 11" xfId="2653"/>
    <cellStyle name="Link Currency (0) 12" xfId="2654"/>
    <cellStyle name="Link Currency (0) 13" xfId="2655"/>
    <cellStyle name="Link Currency (0) 14" xfId="2656"/>
    <cellStyle name="Link Currency (0) 15" xfId="2657"/>
    <cellStyle name="Link Currency (0) 16" xfId="2658"/>
    <cellStyle name="Link Currency (0) 2" xfId="2659"/>
    <cellStyle name="Link Currency (0) 3" xfId="2660"/>
    <cellStyle name="Link Currency (0) 4" xfId="2661"/>
    <cellStyle name="Link Currency (0) 5" xfId="2662"/>
    <cellStyle name="Link Currency (0) 6" xfId="2663"/>
    <cellStyle name="Link Currency (0) 7" xfId="2664"/>
    <cellStyle name="Link Currency (0) 8" xfId="2665"/>
    <cellStyle name="Link Currency (0) 9" xfId="2666"/>
    <cellStyle name="Link Currency (2)" xfId="2667"/>
    <cellStyle name="Link Currency (2) 10" xfId="2668"/>
    <cellStyle name="Link Currency (2) 11" xfId="2669"/>
    <cellStyle name="Link Currency (2) 12" xfId="2670"/>
    <cellStyle name="Link Currency (2) 13" xfId="2671"/>
    <cellStyle name="Link Currency (2) 14" xfId="2672"/>
    <cellStyle name="Link Currency (2) 15" xfId="2673"/>
    <cellStyle name="Link Currency (2) 16" xfId="2674"/>
    <cellStyle name="Link Currency (2) 2" xfId="2675"/>
    <cellStyle name="Link Currency (2) 3" xfId="2676"/>
    <cellStyle name="Link Currency (2) 4" xfId="2677"/>
    <cellStyle name="Link Currency (2) 5" xfId="2678"/>
    <cellStyle name="Link Currency (2) 6" xfId="2679"/>
    <cellStyle name="Link Currency (2) 7" xfId="2680"/>
    <cellStyle name="Link Currency (2) 8" xfId="2681"/>
    <cellStyle name="Link Currency (2) 9" xfId="2682"/>
    <cellStyle name="Link Units (0)" xfId="2683"/>
    <cellStyle name="Link Units (0) 10" xfId="2684"/>
    <cellStyle name="Link Units (0) 11" xfId="2685"/>
    <cellStyle name="Link Units (0) 12" xfId="2686"/>
    <cellStyle name="Link Units (0) 13" xfId="2687"/>
    <cellStyle name="Link Units (0) 14" xfId="2688"/>
    <cellStyle name="Link Units (0) 15" xfId="2689"/>
    <cellStyle name="Link Units (0) 16" xfId="2690"/>
    <cellStyle name="Link Units (0) 2" xfId="2691"/>
    <cellStyle name="Link Units (0) 3" xfId="2692"/>
    <cellStyle name="Link Units (0) 4" xfId="2693"/>
    <cellStyle name="Link Units (0) 5" xfId="2694"/>
    <cellStyle name="Link Units (0) 6" xfId="2695"/>
    <cellStyle name="Link Units (0) 7" xfId="2696"/>
    <cellStyle name="Link Units (0) 8" xfId="2697"/>
    <cellStyle name="Link Units (0) 9" xfId="2698"/>
    <cellStyle name="Link Units (1)" xfId="2699"/>
    <cellStyle name="Link Units (1) 10" xfId="2700"/>
    <cellStyle name="Link Units (1) 11" xfId="2701"/>
    <cellStyle name="Link Units (1) 12" xfId="2702"/>
    <cellStyle name="Link Units (1) 13" xfId="2703"/>
    <cellStyle name="Link Units (1) 14" xfId="2704"/>
    <cellStyle name="Link Units (1) 15" xfId="2705"/>
    <cellStyle name="Link Units (1) 16" xfId="2706"/>
    <cellStyle name="Link Units (1) 2" xfId="2707"/>
    <cellStyle name="Link Units (1) 3" xfId="2708"/>
    <cellStyle name="Link Units (1) 4" xfId="2709"/>
    <cellStyle name="Link Units (1) 5" xfId="2710"/>
    <cellStyle name="Link Units (1) 6" xfId="2711"/>
    <cellStyle name="Link Units (1) 7" xfId="2712"/>
    <cellStyle name="Link Units (1) 8" xfId="2713"/>
    <cellStyle name="Link Units (1) 9" xfId="2714"/>
    <cellStyle name="Link Units (2)" xfId="2715"/>
    <cellStyle name="Link Units (2) 10" xfId="2716"/>
    <cellStyle name="Link Units (2) 11" xfId="2717"/>
    <cellStyle name="Link Units (2) 12" xfId="2718"/>
    <cellStyle name="Link Units (2) 13" xfId="2719"/>
    <cellStyle name="Link Units (2) 14" xfId="2720"/>
    <cellStyle name="Link Units (2) 15" xfId="2721"/>
    <cellStyle name="Link Units (2) 16" xfId="2722"/>
    <cellStyle name="Link Units (2) 2" xfId="2723"/>
    <cellStyle name="Link Units (2) 3" xfId="2724"/>
    <cellStyle name="Link Units (2) 4" xfId="2725"/>
    <cellStyle name="Link Units (2) 5" xfId="2726"/>
    <cellStyle name="Link Units (2) 6" xfId="2727"/>
    <cellStyle name="Link Units (2) 7" xfId="2728"/>
    <cellStyle name="Link Units (2) 8" xfId="2729"/>
    <cellStyle name="Link Units (2) 9" xfId="2730"/>
    <cellStyle name="Linked Cell 2" xfId="2731"/>
    <cellStyle name="Loai CBDT" xfId="2732"/>
    <cellStyle name="Loai CT" xfId="2733"/>
    <cellStyle name="Loai GD" xfId="2734"/>
    <cellStyle name="MAU" xfId="2735"/>
    <cellStyle name="MAU 2" xfId="2736"/>
    <cellStyle name="Migliaia (0)_CALPREZZ" xfId="2737"/>
    <cellStyle name="Migliaia_ PESO ELETTR." xfId="2738"/>
    <cellStyle name="Millares [0]_Well Timing" xfId="2739"/>
    <cellStyle name="Millares_Well Timing" xfId="2740"/>
    <cellStyle name="Milliers [0]_      " xfId="2741"/>
    <cellStyle name="Milliers_      " xfId="2742"/>
    <cellStyle name="Model" xfId="2743"/>
    <cellStyle name="Model 2" xfId="2744"/>
    <cellStyle name="moi" xfId="2745"/>
    <cellStyle name="moi 2" xfId="2746"/>
    <cellStyle name="moi 3" xfId="2747"/>
    <cellStyle name="Moneda [0]_Well Timing" xfId="2748"/>
    <cellStyle name="Moneda_Well Timing" xfId="2749"/>
    <cellStyle name="Monétaire [0]_      " xfId="2750"/>
    <cellStyle name="Monétaire_      " xfId="2751"/>
    <cellStyle name="n" xfId="2752"/>
    <cellStyle name="n_Book1_Bieu du thao QD von ho tro co MT 3 2" xfId="2753"/>
    <cellStyle name="Neutral 2" xfId="2754"/>
    <cellStyle name="New" xfId="2755"/>
    <cellStyle name="New Times Roman" xfId="2756"/>
    <cellStyle name="nga" xfId="2757"/>
    <cellStyle name="no dec" xfId="2758"/>
    <cellStyle name="no dec 2" xfId="2759"/>
    <cellStyle name="no dec 2 2" xfId="2760"/>
    <cellStyle name="ÑONVÒ" xfId="2761"/>
    <cellStyle name="ÑONVÒ 2" xfId="2762"/>
    <cellStyle name="Normal" xfId="0" builtinId="0"/>
    <cellStyle name="Normal - Style1" xfId="2763"/>
    <cellStyle name="Normal - Style1 2" xfId="2764"/>
    <cellStyle name="Normal - Style1 2 2" xfId="2765"/>
    <cellStyle name="Normal - Style1 3" xfId="2766"/>
    <cellStyle name="Normal - Style1_KH TPCP 2016-2020 (tong hop)" xfId="2767"/>
    <cellStyle name="Normal - 유형1" xfId="2768"/>
    <cellStyle name="Normal 10" xfId="2769"/>
    <cellStyle name="Normal 10 2" xfId="2770"/>
    <cellStyle name="Normal 10 2 2" xfId="2771"/>
    <cellStyle name="Normal 10 2 24" xfId="2772"/>
    <cellStyle name="Normal 10 2 28" xfId="2773"/>
    <cellStyle name="Normal 10 2 4" xfId="2774"/>
    <cellStyle name="Normal 10 3" xfId="2775"/>
    <cellStyle name="Normal 10 3 2" xfId="2776"/>
    <cellStyle name="Normal 10 3 3" xfId="2777"/>
    <cellStyle name="Normal 10 3 3 2" xfId="2778"/>
    <cellStyle name="Normal 10 4" xfId="2779"/>
    <cellStyle name="Normal 10 5" xfId="2780"/>
    <cellStyle name="Normal 10 6" xfId="2781"/>
    <cellStyle name="Normal 10 7" xfId="2782"/>
    <cellStyle name="Normal 10 7 2" xfId="2783"/>
    <cellStyle name="Normal 10 7 3" xfId="2784"/>
    <cellStyle name="Normal 10 7 3 2" xfId="2785"/>
    <cellStyle name="Normal 10 7 3 2 2" xfId="2786"/>
    <cellStyle name="Normal 10 7 3 3" xfId="2787"/>
    <cellStyle name="Normal 10 7 4" xfId="2788"/>
    <cellStyle name="Normal 10 7 4 2" xfId="2789"/>
    <cellStyle name="Normal 10 8" xfId="2790"/>
    <cellStyle name="Normal 10 9" xfId="2791"/>
    <cellStyle name="Normal 10_05-12  KH trung han 2016-2020 - Liem Thinh edited" xfId="2792"/>
    <cellStyle name="Normal 100" xfId="2793"/>
    <cellStyle name="Normal 11" xfId="2794"/>
    <cellStyle name="Normal 11 2" xfId="2795"/>
    <cellStyle name="Normal 11 2 2" xfId="2796"/>
    <cellStyle name="Normal 11 3" xfId="2797"/>
    <cellStyle name="Normal 11 3 2" xfId="2798"/>
    <cellStyle name="Normal 11 3 2 2" xfId="2799"/>
    <cellStyle name="Normal 11 3 2 2 2" xfId="2800"/>
    <cellStyle name="Normal 11 3 2 3" xfId="2801"/>
    <cellStyle name="Normal 11 3 3" xfId="2802"/>
    <cellStyle name="Normal 11 3 3 2" xfId="2803"/>
    <cellStyle name="Normal 11 3 3 2 2" xfId="2804"/>
    <cellStyle name="Normal 11 3 3 2 2 2" xfId="2805"/>
    <cellStyle name="Normal 11 3 3 2 3" xfId="2806"/>
    <cellStyle name="Normal 11 3 3 3" xfId="2807"/>
    <cellStyle name="Normal 11 3 3 3 2" xfId="2808"/>
    <cellStyle name="Normal 11 3 3 4" xfId="2809"/>
    <cellStyle name="Normal 11 3 4" xfId="2810"/>
    <cellStyle name="Normal 11 3 4 2" xfId="2811"/>
    <cellStyle name="Normal 11 3 4 2 2" xfId="2812"/>
    <cellStyle name="Normal 11 3 4 2 2 2" xfId="2813"/>
    <cellStyle name="Normal 11 3 4 2 2 2 2" xfId="2814"/>
    <cellStyle name="Normal 11 3 4 2 2 2 2 2" xfId="2815"/>
    <cellStyle name="Normal 11 3 4 2 2 2 3" xfId="2816"/>
    <cellStyle name="Normal 11 3 4 2 2 3" xfId="2817"/>
    <cellStyle name="Normal 11 3 4 2 2 3 2" xfId="2818"/>
    <cellStyle name="Normal 11 3 4 2 2 4" xfId="2819"/>
    <cellStyle name="Normal 11 3 4 2 3" xfId="2820"/>
    <cellStyle name="Normal 11 3 4 2 3 2" xfId="2821"/>
    <cellStyle name="Normal 11 3 4 2 3 2 2" xfId="2822"/>
    <cellStyle name="Normal 11 3 4 2 3 3" xfId="2823"/>
    <cellStyle name="Normal 11 3 4 2 4" xfId="2824"/>
    <cellStyle name="Normal 11 3 4 2 4 2" xfId="2825"/>
    <cellStyle name="Normal 11 3 4 2 5" xfId="2826"/>
    <cellStyle name="Normal 11 3 4 3" xfId="2827"/>
    <cellStyle name="Normal 11 3 4 3 2" xfId="2828"/>
    <cellStyle name="Normal 11 3 4 3 2 2" xfId="2829"/>
    <cellStyle name="Normal 11 3 4 3 2 2 2" xfId="2830"/>
    <cellStyle name="Normal 11 3 4 3 2 2 2 2" xfId="2831"/>
    <cellStyle name="Normal 11 3 4 3 2 2 3" xfId="2832"/>
    <cellStyle name="Normal 11 3 4 3 2 3" xfId="2833"/>
    <cellStyle name="Normal 11 3 4 3 2 3 2" xfId="2834"/>
    <cellStyle name="Normal 11 3 4 3 2 4" xfId="2835"/>
    <cellStyle name="Normal 11 3 4 3 3" xfId="2836"/>
    <cellStyle name="Normal 11 3 4 3 3 2" xfId="2837"/>
    <cellStyle name="Normal 11 3 4 3 3 2 2" xfId="2838"/>
    <cellStyle name="Normal 11 3 4 3 3 3" xfId="2839"/>
    <cellStyle name="Normal 11 3 4 3 4" xfId="2840"/>
    <cellStyle name="Normal 11 3 4 3 4 2" xfId="2841"/>
    <cellStyle name="Normal 11 3 4 3 5" xfId="2842"/>
    <cellStyle name="Normal 11 3 4 4" xfId="2843"/>
    <cellStyle name="Normal 11 3 4 4 2" xfId="2844"/>
    <cellStyle name="Normal 11 3 4 4 2 2" xfId="2845"/>
    <cellStyle name="Normal 11 3 4 4 3" xfId="2846"/>
    <cellStyle name="Normal 11 3 4 5" xfId="2847"/>
    <cellStyle name="Normal 11 3 4 5 2" xfId="2848"/>
    <cellStyle name="Normal 11 3 4 6" xfId="2849"/>
    <cellStyle name="Normal 11 3 4 6 2" xfId="2850"/>
    <cellStyle name="Normal 11 3 4 7" xfId="2851"/>
    <cellStyle name="Normal 11 3 5" xfId="2852"/>
    <cellStyle name="Normal 11 3 5 2" xfId="2853"/>
    <cellStyle name="Normal 11 3 6" xfId="2854"/>
    <cellStyle name="Normal 11 4" xfId="2855"/>
    <cellStyle name="Normal 12" xfId="2856"/>
    <cellStyle name="Normal 12 2" xfId="2857"/>
    <cellStyle name="Normal 12 3" xfId="2858"/>
    <cellStyle name="Normal 13" xfId="2859"/>
    <cellStyle name="Normal 13 2" xfId="2860"/>
    <cellStyle name="Normal 13 3" xfId="2861"/>
    <cellStyle name="Normal 14" xfId="2862"/>
    <cellStyle name="Normal 14 2" xfId="2863"/>
    <cellStyle name="Normal 14 3" xfId="2864"/>
    <cellStyle name="Normal 15" xfId="2865"/>
    <cellStyle name="Normal 15 2" xfId="2866"/>
    <cellStyle name="Normal 15 3" xfId="2867"/>
    <cellStyle name="Normal 15 4" xfId="2868"/>
    <cellStyle name="Normal 16" xfId="2869"/>
    <cellStyle name="Normal 16 2" xfId="2870"/>
    <cellStyle name="Normal 16 2 2" xfId="2871"/>
    <cellStyle name="Normal 16 2 2 2" xfId="2872"/>
    <cellStyle name="Normal 16 2 2 2 2" xfId="2873"/>
    <cellStyle name="Normal 16 2 2 2 2 2" xfId="2874"/>
    <cellStyle name="Normal 16 2 2 2 3" xfId="2875"/>
    <cellStyle name="Normal 16 2 2 3" xfId="2876"/>
    <cellStyle name="Normal 16 2 2 4" xfId="2877"/>
    <cellStyle name="Normal 16 2 2 4 2" xfId="2878"/>
    <cellStyle name="Normal 16 2 2 5" xfId="2879"/>
    <cellStyle name="Normal 16 2 3" xfId="2880"/>
    <cellStyle name="Normal 16 2 3 2" xfId="2881"/>
    <cellStyle name="Normal 16 2 3 2 2" xfId="2882"/>
    <cellStyle name="Normal 16 2 3 2 2 2" xfId="2883"/>
    <cellStyle name="Normal 16 2 3 2 3" xfId="2884"/>
    <cellStyle name="Normal 16 2 3 3" xfId="2885"/>
    <cellStyle name="Normal 16 2 3 3 2" xfId="2886"/>
    <cellStyle name="Normal 16 2 3 4" xfId="2887"/>
    <cellStyle name="Normal 16 2 4" xfId="2888"/>
    <cellStyle name="Normal 16 3" xfId="2889"/>
    <cellStyle name="Normal 16 4" xfId="2890"/>
    <cellStyle name="Normal 16 4 2" xfId="2891"/>
    <cellStyle name="Normal 16 4 2 2" xfId="2892"/>
    <cellStyle name="Normal 16 4 2 2 2" xfId="2893"/>
    <cellStyle name="Normal 16 4 2 3" xfId="2894"/>
    <cellStyle name="Normal 16 4 3" xfId="2895"/>
    <cellStyle name="Normal 16 4 3 2" xfId="2896"/>
    <cellStyle name="Normal 16 4 4" xfId="2897"/>
    <cellStyle name="Normal 16 5" xfId="2898"/>
    <cellStyle name="Normal 16 5 2" xfId="2899"/>
    <cellStyle name="Normal 16 5 2 2" xfId="2900"/>
    <cellStyle name="Normal 16 5 2 2 2" xfId="2901"/>
    <cellStyle name="Normal 16 5 2 3" xfId="2902"/>
    <cellStyle name="Normal 16 5 3" xfId="2903"/>
    <cellStyle name="Normal 16 5 3 2" xfId="2904"/>
    <cellStyle name="Normal 16 5 4" xfId="2905"/>
    <cellStyle name="Normal 17" xfId="2906"/>
    <cellStyle name="Normal 17 2" xfId="2907"/>
    <cellStyle name="Normal 17 3 2" xfId="2908"/>
    <cellStyle name="Normal 17 3 2 2" xfId="2909"/>
    <cellStyle name="Normal 17 3 2 2 2" xfId="2910"/>
    <cellStyle name="Normal 17 3 2 2 2 2" xfId="2911"/>
    <cellStyle name="Normal 17 3 2 2 2 2 2" xfId="2912"/>
    <cellStyle name="Normal 17 3 2 2 2 3" xfId="2913"/>
    <cellStyle name="Normal 17 3 2 2 3" xfId="2914"/>
    <cellStyle name="Normal 17 3 2 2 3 2" xfId="2915"/>
    <cellStyle name="Normal 17 3 2 2 4" xfId="2916"/>
    <cellStyle name="Normal 17 3 2 3" xfId="2917"/>
    <cellStyle name="Normal 17 3 2 3 2" xfId="2918"/>
    <cellStyle name="Normal 17 3 2 3 2 2" xfId="2919"/>
    <cellStyle name="Normal 17 3 2 3 2 2 2" xfId="2920"/>
    <cellStyle name="Normal 17 3 2 3 2 3" xfId="2921"/>
    <cellStyle name="Normal 17 3 2 3 3" xfId="2922"/>
    <cellStyle name="Normal 17 3 2 3 3 2" xfId="2923"/>
    <cellStyle name="Normal 17 3 2 3 4" xfId="2924"/>
    <cellStyle name="Normal 17 3 2 4" xfId="2925"/>
    <cellStyle name="Normal 17 3 2 4 2" xfId="2926"/>
    <cellStyle name="Normal 17 3 2 4 2 2" xfId="2927"/>
    <cellStyle name="Normal 17 3 2 4 3" xfId="2928"/>
    <cellStyle name="Normal 17 3 2 5" xfId="2929"/>
    <cellStyle name="Normal 17 3 2 5 2" xfId="2930"/>
    <cellStyle name="Normal 17 3 2 6" xfId="2931"/>
    <cellStyle name="Normal 18" xfId="2932"/>
    <cellStyle name="Normal 18 2" xfId="2933"/>
    <cellStyle name="Normal 18 2 2" xfId="2934"/>
    <cellStyle name="Normal 18 3" xfId="2935"/>
    <cellStyle name="Normal 18_05-12  KH trung han 2016-2020 - Liem Thinh edited" xfId="2936"/>
    <cellStyle name="Normal 19" xfId="2937"/>
    <cellStyle name="Normal 19 2" xfId="2938"/>
    <cellStyle name="Normal 19 3" xfId="2939"/>
    <cellStyle name="Normal 2" xfId="5250"/>
    <cellStyle name="Normal 2 10" xfId="2940"/>
    <cellStyle name="Normal 2 10 2" xfId="2941"/>
    <cellStyle name="Normal 2 10 2 2" xfId="5264"/>
    <cellStyle name="Normal 2 11" xfId="2942"/>
    <cellStyle name="Normal 2 11 2" xfId="2943"/>
    <cellStyle name="Normal 2 12" xfId="2944"/>
    <cellStyle name="Normal 2 12 2" xfId="2945"/>
    <cellStyle name="Normal 2 13" xfId="2946"/>
    <cellStyle name="Normal 2 13 2" xfId="2947"/>
    <cellStyle name="Normal 2 14" xfId="2948"/>
    <cellStyle name="Normal 2 14 2" xfId="2949"/>
    <cellStyle name="Normal 2 15" xfId="2950"/>
    <cellStyle name="Normal 2 16" xfId="2951"/>
    <cellStyle name="Normal 2 17" xfId="2952"/>
    <cellStyle name="Normal 2 18" xfId="2953"/>
    <cellStyle name="Normal 2 19" xfId="2954"/>
    <cellStyle name="Normal 2 2" xfId="2955"/>
    <cellStyle name="Normal 2 2 10" xfId="2956"/>
    <cellStyle name="Normal 2 2 10 2" xfId="2957"/>
    <cellStyle name="Normal 2 2 11" xfId="2958"/>
    <cellStyle name="Normal 2 2 12" xfId="2959"/>
    <cellStyle name="Normal 2 2 13" xfId="2960"/>
    <cellStyle name="Normal 2 2 14" xfId="2961"/>
    <cellStyle name="Normal 2 2 15" xfId="2962"/>
    <cellStyle name="Normal 2 2 16" xfId="2963"/>
    <cellStyle name="Normal 2 2 17" xfId="2964"/>
    <cellStyle name="Normal 2 2 18" xfId="2965"/>
    <cellStyle name="Normal 2 2 19" xfId="5263"/>
    <cellStyle name="Normal 2 2 2" xfId="2966"/>
    <cellStyle name="Normal 2 2 2 2" xfId="2967"/>
    <cellStyle name="Normal 2 2 2 2 2" xfId="2968"/>
    <cellStyle name="Normal 2 2 2 3" xfId="2969"/>
    <cellStyle name="Normal 2 2 2 4" xfId="2970"/>
    <cellStyle name="Normal 2 2 2 5" xfId="2971"/>
    <cellStyle name="Normal 2 2 2 6" xfId="5265"/>
    <cellStyle name="Normal 2 2 3" xfId="2972"/>
    <cellStyle name="Normal 2 2 33 4" xfId="2973"/>
    <cellStyle name="Normal 2 2 33 4 2" xfId="2974"/>
    <cellStyle name="Normal 2 2 33 4 2 2" xfId="2975"/>
    <cellStyle name="Normal 2 2 33 4 2 2 2" xfId="2976"/>
    <cellStyle name="Normal 2 2 33 4 2 2 2 2" xfId="2977"/>
    <cellStyle name="Normal 2 2 33 4 2 2 3" xfId="2978"/>
    <cellStyle name="Normal 2 2 33 4 2 3" xfId="2979"/>
    <cellStyle name="Normal 2 2 33 4 2 3 2" xfId="2980"/>
    <cellStyle name="Normal 2 2 33 4 2 4" xfId="2981"/>
    <cellStyle name="Normal 2 2 33 4 3" xfId="2982"/>
    <cellStyle name="Normal 2 2 33 4 3 2" xfId="2983"/>
    <cellStyle name="Normal 2 2 33 4 3 2 2" xfId="2984"/>
    <cellStyle name="Normal 2 2 33 4 3 3" xfId="2985"/>
    <cellStyle name="Normal 2 2 33 4 4" xfId="2986"/>
    <cellStyle name="Normal 2 2 33 4 4 2" xfId="2987"/>
    <cellStyle name="Normal 2 2 33 4 5" xfId="2988"/>
    <cellStyle name="Normal 2 2 4" xfId="2989"/>
    <cellStyle name="Normal 2 2 4 2" xfId="2990"/>
    <cellStyle name="Normal 2 2 4 3" xfId="2991"/>
    <cellStyle name="Normal 2 2 5" xfId="2992"/>
    <cellStyle name="Normal 2 2 6" xfId="2993"/>
    <cellStyle name="Normal 2 2 7" xfId="2994"/>
    <cellStyle name="Normal 2 2 8" xfId="2995"/>
    <cellStyle name="Normal 2 2 9" xfId="2996"/>
    <cellStyle name="Normal 2 2_Biểu 17 - Ứng trước NSTW chưa thu hồi" xfId="2997"/>
    <cellStyle name="Normal 2 20" xfId="2998"/>
    <cellStyle name="Normal 2 21" xfId="2999"/>
    <cellStyle name="Normal 2 22" xfId="3000"/>
    <cellStyle name="Normal 2 23" xfId="3001"/>
    <cellStyle name="Normal 2 24" xfId="3002"/>
    <cellStyle name="Normal 2 25" xfId="3003"/>
    <cellStyle name="Normal 2 26" xfId="3004"/>
    <cellStyle name="Normal 2 26 2" xfId="3005"/>
    <cellStyle name="Normal 2 27" xfId="3006"/>
    <cellStyle name="Normal 2 28" xfId="3007"/>
    <cellStyle name="Normal 2 28 2" xfId="3008"/>
    <cellStyle name="Normal 2 28 2 2" xfId="3009"/>
    <cellStyle name="Normal 2 28 2 2 2" xfId="3010"/>
    <cellStyle name="Normal 2 28 2 3" xfId="3011"/>
    <cellStyle name="Normal 2 28 3" xfId="3012"/>
    <cellStyle name="Normal 2 28 3 2" xfId="3013"/>
    <cellStyle name="Normal 2 28 4" xfId="3014"/>
    <cellStyle name="Normal 2 28 5" xfId="5266"/>
    <cellStyle name="Normal 2 29" xfId="3015"/>
    <cellStyle name="Normal 2 29 2" xfId="3016"/>
    <cellStyle name="Normal 2 29 2 2" xfId="3017"/>
    <cellStyle name="Normal 2 29 3" xfId="3018"/>
    <cellStyle name="Normal 2 3" xfId="3019"/>
    <cellStyle name="Normal 2 3 2" xfId="3020"/>
    <cellStyle name="Normal 2 3 2 2" xfId="3021"/>
    <cellStyle name="Normal 2 3 3" xfId="3022"/>
    <cellStyle name="Normal 2 3_12-09-2014 thinh (luat dau tu  cong) bao cao von CTMT  Bieu Mau THien KH 2011-2015 va XDung KH DTu Cong Trung han 2016-2020" xfId="3023"/>
    <cellStyle name="Normal 2 30" xfId="3024"/>
    <cellStyle name="Normal 2 31" xfId="3025"/>
    <cellStyle name="Normal 2 32" xfId="3026"/>
    <cellStyle name="Normal 2 33" xfId="3027"/>
    <cellStyle name="Normal 2 34" xfId="3028"/>
    <cellStyle name="Normal 2 35" xfId="3029"/>
    <cellStyle name="Normal 2 35 2" xfId="3030"/>
    <cellStyle name="Normal 2 36" xfId="5257"/>
    <cellStyle name="Normal 2 37" xfId="5260"/>
    <cellStyle name="Normal 2 38" xfId="5269"/>
    <cellStyle name="Normal 2 4" xfId="3031"/>
    <cellStyle name="Normal 2 4 2" xfId="3032"/>
    <cellStyle name="Normal 2 4 2 2" xfId="3033"/>
    <cellStyle name="Normal 2 4 2 3" xfId="3034"/>
    <cellStyle name="Normal 2 4 3" xfId="3035"/>
    <cellStyle name="Normal 2 4 3 2" xfId="3036"/>
    <cellStyle name="Normal 2 4 4" xfId="3037"/>
    <cellStyle name="Normal 2 4 5" xfId="3038"/>
    <cellStyle name="Normal 2 5" xfId="3039"/>
    <cellStyle name="Normal 2 5 2" xfId="3040"/>
    <cellStyle name="Normal 2 5 2 2" xfId="3041"/>
    <cellStyle name="Normal 2 6" xfId="3042"/>
    <cellStyle name="Normal 2 6 2" xfId="3043"/>
    <cellStyle name="Normal 2 6 2 2" xfId="3044"/>
    <cellStyle name="Normal 2 7" xfId="3045"/>
    <cellStyle name="Normal 2 7 2" xfId="3046"/>
    <cellStyle name="Normal 2 7 2 2" xfId="3047"/>
    <cellStyle name="Normal 2 8" xfId="3048"/>
    <cellStyle name="Normal 2 8 2" xfId="3049"/>
    <cellStyle name="Normal 2 8 2 2" xfId="3050"/>
    <cellStyle name="Normal 2 9" xfId="3051"/>
    <cellStyle name="Normal 2 9 2" xfId="3052"/>
    <cellStyle name="Normal 20" xfId="3053"/>
    <cellStyle name="Normal 20 2" xfId="3054"/>
    <cellStyle name="Normal 20 3" xfId="3055"/>
    <cellStyle name="Normal 21" xfId="3056"/>
    <cellStyle name="Normal 21 2" xfId="3057"/>
    <cellStyle name="Normal 22" xfId="3058"/>
    <cellStyle name="Normal 22 2" xfId="3059"/>
    <cellStyle name="Normal 23" xfId="3060"/>
    <cellStyle name="Normal 23 2" xfId="3061"/>
    <cellStyle name="Normal 23 3" xfId="3062"/>
    <cellStyle name="Normal 24" xfId="3063"/>
    <cellStyle name="Normal 24 2" xfId="3064"/>
    <cellStyle name="Normal 24 2 2" xfId="3065"/>
    <cellStyle name="Normal 25" xfId="3066"/>
    <cellStyle name="Normal 25 2" xfId="3067"/>
    <cellStyle name="Normal 25 3" xfId="3068"/>
    <cellStyle name="Normal 26" xfId="3069"/>
    <cellStyle name="Normal 26 2" xfId="3070"/>
    <cellStyle name="Normal 27" xfId="3071"/>
    <cellStyle name="Normal 27 2" xfId="3072"/>
    <cellStyle name="Normal 28" xfId="3073"/>
    <cellStyle name="Normal 28 2" xfId="3074"/>
    <cellStyle name="Normal 29" xfId="3075"/>
    <cellStyle name="Normal 29 2" xfId="3076"/>
    <cellStyle name="Normal 3" xfId="5252"/>
    <cellStyle name="Normal 3 10" xfId="3077"/>
    <cellStyle name="Normal 3 11" xfId="3078"/>
    <cellStyle name="Normal 3 12" xfId="3079"/>
    <cellStyle name="Normal 3 13" xfId="3080"/>
    <cellStyle name="Normal 3 14" xfId="3081"/>
    <cellStyle name="Normal 3 15" xfId="3082"/>
    <cellStyle name="Normal 3 16" xfId="3083"/>
    <cellStyle name="Normal 3 17" xfId="3084"/>
    <cellStyle name="Normal 3 18" xfId="3085"/>
    <cellStyle name="Normal 3 19" xfId="3086"/>
    <cellStyle name="Normal 3 2" xfId="3087"/>
    <cellStyle name="Normal 3 2 10" xfId="3088"/>
    <cellStyle name="Normal 3 2 11" xfId="3089"/>
    <cellStyle name="Normal 3 2 12" xfId="3090"/>
    <cellStyle name="Normal 3 2 2" xfId="3091"/>
    <cellStyle name="Normal 3 2 2 2" xfId="3092"/>
    <cellStyle name="Normal 3 2 2 2 2" xfId="3093"/>
    <cellStyle name="Normal 3 2 2 2 3" xfId="3094"/>
    <cellStyle name="Normal 3 2 2 2 4" xfId="3095"/>
    <cellStyle name="Normal 3 2 2 3" xfId="3096"/>
    <cellStyle name="Normal 3 2 2 4" xfId="3097"/>
    <cellStyle name="Normal 3 2 3" xfId="3098"/>
    <cellStyle name="Normal 3 2 3 2" xfId="3099"/>
    <cellStyle name="Normal 3 2 4" xfId="3100"/>
    <cellStyle name="Normal 3 2 5" xfId="3101"/>
    <cellStyle name="Normal 3 2 5 2" xfId="3102"/>
    <cellStyle name="Normal 3 2 5 2 2" xfId="3103"/>
    <cellStyle name="Normal 3 2 5 2 2 2" xfId="3104"/>
    <cellStyle name="Normal 3 2 5 2 3" xfId="3105"/>
    <cellStyle name="Normal 3 2 5 3" xfId="3106"/>
    <cellStyle name="Normal 3 2 5 3 2" xfId="3107"/>
    <cellStyle name="Normal 3 2 5 4" xfId="3108"/>
    <cellStyle name="Normal 3 2 6" xfId="3109"/>
    <cellStyle name="Normal 3 2 6 2" xfId="3110"/>
    <cellStyle name="Normal 3 2 6 2 2" xfId="3111"/>
    <cellStyle name="Normal 3 2 6 2 2 2" xfId="3112"/>
    <cellStyle name="Normal 3 2 6 2 3" xfId="3113"/>
    <cellStyle name="Normal 3 2 6 3" xfId="3114"/>
    <cellStyle name="Normal 3 2 6 3 2" xfId="3115"/>
    <cellStyle name="Normal 3 2 6 4" xfId="3116"/>
    <cellStyle name="Normal 3 2 7" xfId="3117"/>
    <cellStyle name="Normal 3 2 7 2" xfId="3118"/>
    <cellStyle name="Normal 3 2 7 2 2" xfId="3119"/>
    <cellStyle name="Normal 3 2 7 3" xfId="3120"/>
    <cellStyle name="Normal 3 2 8" xfId="3121"/>
    <cellStyle name="Normal 3 2 8 2" xfId="3122"/>
    <cellStyle name="Normal 3 2 8 2 2" xfId="3123"/>
    <cellStyle name="Normal 3 2 8 3" xfId="3124"/>
    <cellStyle name="Normal 3 2 9" xfId="3125"/>
    <cellStyle name="Normal 3 2 9 2" xfId="3126"/>
    <cellStyle name="Normal 3 20" xfId="3127"/>
    <cellStyle name="Normal 3 3" xfId="3128"/>
    <cellStyle name="Normal 3 3 2" xfId="3129"/>
    <cellStyle name="Normal 3 4" xfId="3130"/>
    <cellStyle name="Normal 3 4 2" xfId="3131"/>
    <cellStyle name="Normal 3 5" xfId="3132"/>
    <cellStyle name="Normal 3 6" xfId="3133"/>
    <cellStyle name="Normal 3 7" xfId="3134"/>
    <cellStyle name="Normal 3 8" xfId="3135"/>
    <cellStyle name="Normal 3 9" xfId="3136"/>
    <cellStyle name="Normal 30" xfId="3137"/>
    <cellStyle name="Normal 30 2" xfId="3138"/>
    <cellStyle name="Normal 30 2 2" xfId="3139"/>
    <cellStyle name="Normal 30 2 2 2" xfId="3140"/>
    <cellStyle name="Normal 30 2 2 2 2" xfId="3141"/>
    <cellStyle name="Normal 30 2 2 3" xfId="3142"/>
    <cellStyle name="Normal 30 2 3" xfId="3143"/>
    <cellStyle name="Normal 30 2 3 2" xfId="3144"/>
    <cellStyle name="Normal 30 2 4" xfId="3145"/>
    <cellStyle name="Normal 30 3" xfId="3146"/>
    <cellStyle name="Normal 30 3 2" xfId="3147"/>
    <cellStyle name="Normal 30 3 2 2" xfId="3148"/>
    <cellStyle name="Normal 30 3 2 2 2" xfId="3149"/>
    <cellStyle name="Normal 30 3 2 3" xfId="3150"/>
    <cellStyle name="Normal 30 3 3" xfId="3151"/>
    <cellStyle name="Normal 30 3 3 2" xfId="3152"/>
    <cellStyle name="Normal 30 3 4" xfId="3153"/>
    <cellStyle name="Normal 30 4" xfId="3154"/>
    <cellStyle name="Normal 30 4 2" xfId="3155"/>
    <cellStyle name="Normal 30 4 2 2" xfId="3156"/>
    <cellStyle name="Normal 30 4 3" xfId="3157"/>
    <cellStyle name="Normal 30 5" xfId="3158"/>
    <cellStyle name="Normal 30 5 2" xfId="3159"/>
    <cellStyle name="Normal 30 6" xfId="3160"/>
    <cellStyle name="Normal 30 6 2" xfId="3161"/>
    <cellStyle name="Normal 30 7" xfId="3162"/>
    <cellStyle name="Normal 31" xfId="3163"/>
    <cellStyle name="Normal 31 2" xfId="3164"/>
    <cellStyle name="Normal 31 2 2" xfId="3165"/>
    <cellStyle name="Normal 31 2 2 2" xfId="3166"/>
    <cellStyle name="Normal 31 2 2 2 2" xfId="3167"/>
    <cellStyle name="Normal 31 2 2 3" xfId="3168"/>
    <cellStyle name="Normal 31 2 3" xfId="3169"/>
    <cellStyle name="Normal 31 2 3 2" xfId="3170"/>
    <cellStyle name="Normal 31 2 3 2 2" xfId="3171"/>
    <cellStyle name="Normal 31 2 3 3" xfId="3172"/>
    <cellStyle name="Normal 31 2 3 3 2" xfId="3173"/>
    <cellStyle name="Normal 31 2 4" xfId="3174"/>
    <cellStyle name="Normal 31 3" xfId="3175"/>
    <cellStyle name="Normal 31 3 2" xfId="3176"/>
    <cellStyle name="Normal 31 3 2 2" xfId="3177"/>
    <cellStyle name="Normal 31 3 2 2 2" xfId="3178"/>
    <cellStyle name="Normal 31 3 2 3" xfId="3179"/>
    <cellStyle name="Normal 31 3 3" xfId="3180"/>
    <cellStyle name="Normal 31 3 3 2" xfId="3181"/>
    <cellStyle name="Normal 31 3 4" xfId="3182"/>
    <cellStyle name="Normal 31 4" xfId="3183"/>
    <cellStyle name="Normal 31 4 2" xfId="3184"/>
    <cellStyle name="Normal 31 4 2 2" xfId="3185"/>
    <cellStyle name="Normal 31 4 3" xfId="3186"/>
    <cellStyle name="Normal 31 5" xfId="3187"/>
    <cellStyle name="Normal 31 5 2" xfId="3188"/>
    <cellStyle name="Normal 31 6" xfId="3189"/>
    <cellStyle name="Normal 32" xfId="3190"/>
    <cellStyle name="Normal 32 2" xfId="3191"/>
    <cellStyle name="Normal 32 2 2" xfId="3192"/>
    <cellStyle name="Normal 32 2 2 2" xfId="3193"/>
    <cellStyle name="Normal 32 2 2 2 2" xfId="3194"/>
    <cellStyle name="Normal 32 2 2 3" xfId="3195"/>
    <cellStyle name="Normal 32 2 3" xfId="3196"/>
    <cellStyle name="Normal 32 2 3 2" xfId="3197"/>
    <cellStyle name="Normal 32 2 4" xfId="3198"/>
    <cellStyle name="Normal 33" xfId="3199"/>
    <cellStyle name="Normal 33 2" xfId="3200"/>
    <cellStyle name="Normal 34" xfId="3201"/>
    <cellStyle name="Normal 35" xfId="3202"/>
    <cellStyle name="Normal 36" xfId="3203"/>
    <cellStyle name="Normal 37" xfId="3204"/>
    <cellStyle name="Normal 37 2" xfId="3205"/>
    <cellStyle name="Normal 37 2 2" xfId="3206"/>
    <cellStyle name="Normal 37 2 3" xfId="3207"/>
    <cellStyle name="Normal 37 3" xfId="3208"/>
    <cellStyle name="Normal 37 3 2" xfId="3209"/>
    <cellStyle name="Normal 37 4" xfId="3210"/>
    <cellStyle name="Normal 38" xfId="3211"/>
    <cellStyle name="Normal 38 2" xfId="3212"/>
    <cellStyle name="Normal 38 2 2" xfId="3213"/>
    <cellStyle name="Normal 39" xfId="3214"/>
    <cellStyle name="Normal 39 2" xfId="3215"/>
    <cellStyle name="Normal 39 2 2" xfId="3216"/>
    <cellStyle name="Normal 39 2 2 2" xfId="3217"/>
    <cellStyle name="Normal 39 2 2 2 2" xfId="3218"/>
    <cellStyle name="Normal 39 2 2 3" xfId="3219"/>
    <cellStyle name="Normal 39 2 3" xfId="3220"/>
    <cellStyle name="Normal 39 2 3 2" xfId="3221"/>
    <cellStyle name="Normal 39 2 4" xfId="3222"/>
    <cellStyle name="Normal 39 3" xfId="3223"/>
    <cellStyle name="Normal 39 3 2" xfId="3224"/>
    <cellStyle name="Normal 39 3 2 2" xfId="3225"/>
    <cellStyle name="Normal 39 3 2 2 2" xfId="3226"/>
    <cellStyle name="Normal 39 3 2 3" xfId="3227"/>
    <cellStyle name="Normal 39 3 3" xfId="3228"/>
    <cellStyle name="Normal 39 3 3 2" xfId="3229"/>
    <cellStyle name="Normal 39 3 4" xfId="3230"/>
    <cellStyle name="Normal 4 10" xfId="3231"/>
    <cellStyle name="Normal 4 11" xfId="3232"/>
    <cellStyle name="Normal 4 12" xfId="3233"/>
    <cellStyle name="Normal 4 13" xfId="3234"/>
    <cellStyle name="Normal 4 14" xfId="3235"/>
    <cellStyle name="Normal 4 15" xfId="3236"/>
    <cellStyle name="Normal 4 16" xfId="3237"/>
    <cellStyle name="Normal 4 17" xfId="3238"/>
    <cellStyle name="Normal 4 18" xfId="3239"/>
    <cellStyle name="Normal 4 19" xfId="3240"/>
    <cellStyle name="Normal 4 2" xfId="3241"/>
    <cellStyle name="Normal 4 2 2" xfId="3242"/>
    <cellStyle name="Normal 4 2 2 2" xfId="3243"/>
    <cellStyle name="Normal 4 3" xfId="3244"/>
    <cellStyle name="Normal 4 4" xfId="3245"/>
    <cellStyle name="Normal 4 5" xfId="3246"/>
    <cellStyle name="Normal 4 6" xfId="3247"/>
    <cellStyle name="Normal 4 7" xfId="3248"/>
    <cellStyle name="Normal 4 8" xfId="3249"/>
    <cellStyle name="Normal 4 9" xfId="3250"/>
    <cellStyle name="Normal 40" xfId="3251"/>
    <cellStyle name="Normal 41" xfId="3252"/>
    <cellStyle name="Normal 42" xfId="3253"/>
    <cellStyle name="Normal 43" xfId="3254"/>
    <cellStyle name="Normal 44" xfId="3255"/>
    <cellStyle name="Normal 45" xfId="3256"/>
    <cellStyle name="Normal 46" xfId="3257"/>
    <cellStyle name="Normal 46 2" xfId="3258"/>
    <cellStyle name="Normal 46 2 2" xfId="3259"/>
    <cellStyle name="Normal 46 2 2 2" xfId="3260"/>
    <cellStyle name="Normal 46 2 3" xfId="3261"/>
    <cellStyle name="Normal 46 3" xfId="3262"/>
    <cellStyle name="Normal 46 3 2" xfId="3263"/>
    <cellStyle name="Normal 46 4" xfId="3264"/>
    <cellStyle name="Normal 47" xfId="3265"/>
    <cellStyle name="Normal 48" xfId="3266"/>
    <cellStyle name="Normal 49" xfId="3267"/>
    <cellStyle name="Normal 5 2" xfId="3268"/>
    <cellStyle name="Normal 5 2 2" xfId="3269"/>
    <cellStyle name="Normal 5 3" xfId="3270"/>
    <cellStyle name="Normal 5 3 2" xfId="3271"/>
    <cellStyle name="Normal 5 4" xfId="3272"/>
    <cellStyle name="Normal 5 5" xfId="3273"/>
    <cellStyle name="Normal 50" xfId="3274"/>
    <cellStyle name="Normal 51" xfId="3275"/>
    <cellStyle name="Normal 52" xfId="3276"/>
    <cellStyle name="Normal 52 2" xfId="3277"/>
    <cellStyle name="Normal 52 2 2" xfId="3278"/>
    <cellStyle name="Normal 52 2 3" xfId="3279"/>
    <cellStyle name="Normal 52 2 3 2" xfId="3280"/>
    <cellStyle name="Normal 52 3" xfId="3281"/>
    <cellStyle name="Normal 52 5 2 2 2" xfId="3282"/>
    <cellStyle name="Normal 52 5 2 2 2 2" xfId="3283"/>
    <cellStyle name="Normal 53" xfId="3284"/>
    <cellStyle name="Normal 53 2" xfId="3285"/>
    <cellStyle name="Normal 53 2 2" xfId="3286"/>
    <cellStyle name="Normal 53 3" xfId="3287"/>
    <cellStyle name="Normal 54" xfId="3288"/>
    <cellStyle name="Normal 54 2" xfId="3289"/>
    <cellStyle name="Normal 54 2 2" xfId="3290"/>
    <cellStyle name="Normal 54 3" xfId="3291"/>
    <cellStyle name="Normal 54 4" xfId="3292"/>
    <cellStyle name="Normal 55" xfId="3293"/>
    <cellStyle name="Normal 55 2" xfId="3294"/>
    <cellStyle name="Normal 55 2 2" xfId="3295"/>
    <cellStyle name="Normal 55 2 2 2" xfId="3296"/>
    <cellStyle name="Normal 55 2 3" xfId="3297"/>
    <cellStyle name="Normal 55 3" xfId="3298"/>
    <cellStyle name="Normal 55 3 2" xfId="3299"/>
    <cellStyle name="Normal 55 4" xfId="3300"/>
    <cellStyle name="Normal 56" xfId="3301"/>
    <cellStyle name="Normal 56 2" xfId="3302"/>
    <cellStyle name="Normal 56 2 2" xfId="3303"/>
    <cellStyle name="Normal 56 2 2 2" xfId="3304"/>
    <cellStyle name="Normal 56 2 2 2 2" xfId="3305"/>
    <cellStyle name="Normal 56 2 2 3" xfId="3306"/>
    <cellStyle name="Normal 56 2 3" xfId="3307"/>
    <cellStyle name="Normal 56 2 3 2" xfId="3308"/>
    <cellStyle name="Normal 56 2 4" xfId="3309"/>
    <cellStyle name="Normal 56 3" xfId="3310"/>
    <cellStyle name="Normal 56 3 2" xfId="3311"/>
    <cellStyle name="Normal 56 3 2 2" xfId="3312"/>
    <cellStyle name="Normal 56 3 3" xfId="3313"/>
    <cellStyle name="Normal 56 4" xfId="3314"/>
    <cellStyle name="Normal 56 4 2" xfId="3315"/>
    <cellStyle name="Normal 56 5" xfId="3316"/>
    <cellStyle name="Normal 57" xfId="3317"/>
    <cellStyle name="Normal 57 2" xfId="3318"/>
    <cellStyle name="Normal 57 2 2" xfId="3319"/>
    <cellStyle name="Normal 57 3" xfId="3320"/>
    <cellStyle name="Normal 58" xfId="3321"/>
    <cellStyle name="Normal 58 2" xfId="3322"/>
    <cellStyle name="Normal 59" xfId="3323"/>
    <cellStyle name="Normal 6" xfId="3324"/>
    <cellStyle name="Normal 6 10" xfId="3325"/>
    <cellStyle name="Normal 6 11" xfId="3326"/>
    <cellStyle name="Normal 6 12" xfId="3327"/>
    <cellStyle name="Normal 6 13" xfId="3328"/>
    <cellStyle name="Normal 6 14" xfId="3329"/>
    <cellStyle name="Normal 6 15" xfId="3330"/>
    <cellStyle name="Normal 6 16" xfId="3331"/>
    <cellStyle name="Normal 6 2" xfId="3332"/>
    <cellStyle name="Normal 6 2 2" xfId="3333"/>
    <cellStyle name="Normal 6 3" xfId="3334"/>
    <cellStyle name="Normal 6 4" xfId="3335"/>
    <cellStyle name="Normal 6 4 2" xfId="3336"/>
    <cellStyle name="Normal 6 5" xfId="3337"/>
    <cellStyle name="Normal 6 6" xfId="3338"/>
    <cellStyle name="Normal 6 7" xfId="3339"/>
    <cellStyle name="Normal 6 8" xfId="3340"/>
    <cellStyle name="Normal 6 9" xfId="3341"/>
    <cellStyle name="Normal 6_TPCP trinh UBND ngay 27-12" xfId="3342"/>
    <cellStyle name="Normal 60" xfId="3343"/>
    <cellStyle name="Normal 60 2" xfId="3344"/>
    <cellStyle name="Normal 61" xfId="3345"/>
    <cellStyle name="Normal 62" xfId="3346"/>
    <cellStyle name="Normal 63" xfId="3347"/>
    <cellStyle name="Normal 63 2" xfId="3348"/>
    <cellStyle name="Normal 63 3" xfId="3349"/>
    <cellStyle name="Normal 67" xfId="5243"/>
    <cellStyle name="Normal 68" xfId="5244"/>
    <cellStyle name="Normal 7" xfId="3350"/>
    <cellStyle name="Normal 7 2" xfId="3351"/>
    <cellStyle name="Normal 7 2 3" xfId="3352"/>
    <cellStyle name="Normal 7 3" xfId="3353"/>
    <cellStyle name="Normal 7 3 2" xfId="3354"/>
    <cellStyle name="Normal 7 3 2 2" xfId="3355"/>
    <cellStyle name="Normal 7 3 3" xfId="3356"/>
    <cellStyle name="Normal 7_!1 1 bao cao giao KH ve HTCMT vung TNB   12-12-2011" xfId="3357"/>
    <cellStyle name="Normal 72" xfId="5245"/>
    <cellStyle name="Normal 73" xfId="5246"/>
    <cellStyle name="Normal 76" xfId="5247"/>
    <cellStyle name="Normal 79" xfId="3358"/>
    <cellStyle name="Normal 79 2" xfId="3359"/>
    <cellStyle name="Normal 79 2 2" xfId="3360"/>
    <cellStyle name="Normal 79 2 2 2" xfId="3361"/>
    <cellStyle name="Normal 79 2 2 2 2" xfId="3362"/>
    <cellStyle name="Normal 79 2 2 3" xfId="3363"/>
    <cellStyle name="Normal 79 2 3" xfId="3364"/>
    <cellStyle name="Normal 79 2 3 2" xfId="3365"/>
    <cellStyle name="Normal 79 2 4" xfId="3366"/>
    <cellStyle name="Normal 79 3" xfId="3367"/>
    <cellStyle name="Normal 79 3 2" xfId="3368"/>
    <cellStyle name="Normal 79 3 2 2" xfId="3369"/>
    <cellStyle name="Normal 79 3 3" xfId="3370"/>
    <cellStyle name="Normal 79 4" xfId="3371"/>
    <cellStyle name="Normal 79 4 2" xfId="3372"/>
    <cellStyle name="Normal 79 5" xfId="3373"/>
    <cellStyle name="Normal 8" xfId="3374"/>
    <cellStyle name="Normal 8 2" xfId="3375"/>
    <cellStyle name="Normal 8 2 2" xfId="3376"/>
    <cellStyle name="Normal 8 2 2 2" xfId="3377"/>
    <cellStyle name="Normal 8 2 3" xfId="3378"/>
    <cellStyle name="Normal 8 3" xfId="3379"/>
    <cellStyle name="Normal 8_21.3.2012Tong hop von ung nam 2012(banBCa.Hong)" xfId="3380"/>
    <cellStyle name="Normal 821" xfId="3381"/>
    <cellStyle name="Normal 9" xfId="3382"/>
    <cellStyle name="Normal 9 2" xfId="3383"/>
    <cellStyle name="Normal 9 3" xfId="3384"/>
    <cellStyle name="Normal 9 4" xfId="3385"/>
    <cellStyle name="Normal 9 4 2" xfId="3386"/>
    <cellStyle name="Normal 9_Bieu KH trung han BKH TW" xfId="3387"/>
    <cellStyle name="Normal 95" xfId="3388"/>
    <cellStyle name="Normal_Bieu mau (CV )" xfId="5253"/>
    <cellStyle name="Normal_Bieu nhu cau bo tri  TPCP- 2010 -TH" xfId="5254"/>
    <cellStyle name="Normal1" xfId="3389"/>
    <cellStyle name="Normal8" xfId="3390"/>
    <cellStyle name="Normale_ PESO ELETTR." xfId="3391"/>
    <cellStyle name="Normalny_Cennik obowiazuje od 06-08-2001 r (1)" xfId="3392"/>
    <cellStyle name="Note 2" xfId="3393"/>
    <cellStyle name="Note 2 2" xfId="3394"/>
    <cellStyle name="Note 2 2 2" xfId="3395"/>
    <cellStyle name="Note 2 3" xfId="3396"/>
    <cellStyle name="Note 3" xfId="3397"/>
    <cellStyle name="Note 3 2" xfId="3398"/>
    <cellStyle name="Note 3 2 2" xfId="3399"/>
    <cellStyle name="Note 3 3" xfId="3400"/>
    <cellStyle name="Note 4" xfId="3401"/>
    <cellStyle name="Note 4 2" xfId="3402"/>
    <cellStyle name="Note 4 2 2" xfId="3403"/>
    <cellStyle name="Note 4 3" xfId="3404"/>
    <cellStyle name="Note 5" xfId="3405"/>
    <cellStyle name="Note 5 2" xfId="3406"/>
    <cellStyle name="Note 6" xfId="3407"/>
    <cellStyle name="Note 6 2" xfId="3408"/>
    <cellStyle name="NWM" xfId="3409"/>
    <cellStyle name="Ò_x000d_Normal_123569" xfId="3410"/>
    <cellStyle name="Ò_x005f_x000d_Normal_123569" xfId="3411"/>
    <cellStyle name="Ò_x005f_x005f_x005f_x000d_Normal_123569" xfId="3412"/>
    <cellStyle name="Œ…‹æØ‚è [0.00]_ÆÂ¹²" xfId="3413"/>
    <cellStyle name="Œ…‹æØ‚è_laroux" xfId="3414"/>
    <cellStyle name="oft Excel]_x000a__x000a_Comment=open=/f ‚ðw’è‚·‚é‚ÆAƒ†[ƒU[’è‹`ŠÖ”‚ðŠÖ”“\‚è•t‚¯‚Ìˆê——‚É“o˜^‚·‚é‚±‚Æ‚ª‚Å‚«‚Ü‚·B_x000a__x000a_Maximized" xfId="3415"/>
    <cellStyle name="oft Excel]_x000a__x000a_Comment=The open=/f lines load custom functions into the Paste Function list._x000a__x000a_Maximized=2_x000a__x000a_Basics=1_x000a__x000a_A" xfId="3416"/>
    <cellStyle name="oft Excel]_x000a__x000a_Comment=The open=/f lines load custom functions into the Paste Function list._x000a__x000a_Maximized=3_x000a__x000a_Basics=1_x000a__x000a_A" xfId="3417"/>
    <cellStyle name="oft Excel]_x000d__x000a_Comment=open=/f ‚ðw’è‚·‚é‚ÆAƒ†[ƒU[’è‹`ŠÖ”‚ðŠÖ”“\‚è•t‚¯‚Ìˆê——‚É“o˜^‚·‚é‚±‚Æ‚ª‚Å‚«‚Ü‚·B_x000d__x000a_Maximized" xfId="3418"/>
    <cellStyle name="oft Excel]_x000d__x000a_Comment=open=/f ‚ðŽw’è‚·‚é‚ÆAƒ†[ƒU[’è‹`ŠÖ”‚ðŠÖ”“\‚è•t‚¯‚Ìˆê——‚É“o˜^‚·‚é‚±‚Æ‚ª‚Å‚«‚Ü‚·B_x000d__x000a_Maximized" xfId="3419"/>
    <cellStyle name="oft Excel]_x000d__x000a_Comment=The open=/f lines load custom functions into the Paste Function list._x000d__x000a_Maximized=2_x000d__x000a_Basics=1_x000d__x000a_A" xfId="3420"/>
    <cellStyle name="oft Excel]_x000d__x000a_Comment=The open=/f lines load custom functions into the Paste Function list._x000d__x000a_Maximized=3_x000d__x000a_Basics=1_x000d__x000a_A" xfId="3421"/>
    <cellStyle name="oft Excel]_x005f_x000d__x005f_x000a_Comment=open=/f ‚ðw’è‚·‚é‚ÆAƒ†[ƒU[’è‹`ŠÖ”‚ðŠÖ”“\‚è•t‚¯‚Ìˆê——‚É“o˜^‚·‚é‚±‚Æ‚ª‚Å‚«‚Ü‚·B_x005f_x000d__x005f_x000a_Maximized" xfId="3422"/>
    <cellStyle name="omma [0]_Mktg Prog" xfId="3423"/>
    <cellStyle name="ormal_Sheet1_1" xfId="3424"/>
    <cellStyle name="Output 2" xfId="3425"/>
    <cellStyle name="Output 2 2" xfId="3426"/>
    <cellStyle name="Output 2 3" xfId="3427"/>
    <cellStyle name="p" xfId="3428"/>
    <cellStyle name="paint" xfId="3429"/>
    <cellStyle name="paint 2" xfId="3430"/>
    <cellStyle name="paint 2 2" xfId="3431"/>
    <cellStyle name="paint_05-12  KH trung han 2016-2020 - Liem Thinh edited" xfId="3432"/>
    <cellStyle name="Pattern" xfId="3433"/>
    <cellStyle name="Pattern 10" xfId="3434"/>
    <cellStyle name="Pattern 11" xfId="3435"/>
    <cellStyle name="Pattern 12" xfId="3436"/>
    <cellStyle name="Pattern 13" xfId="3437"/>
    <cellStyle name="Pattern 14" xfId="3438"/>
    <cellStyle name="Pattern 15" xfId="3439"/>
    <cellStyle name="Pattern 16" xfId="3440"/>
    <cellStyle name="Pattern 2" xfId="3441"/>
    <cellStyle name="Pattern 3" xfId="3442"/>
    <cellStyle name="Pattern 4" xfId="3443"/>
    <cellStyle name="Pattern 5" xfId="3444"/>
    <cellStyle name="Pattern 6" xfId="3445"/>
    <cellStyle name="Pattern 7" xfId="3446"/>
    <cellStyle name="Pattern 8" xfId="3447"/>
    <cellStyle name="Pattern 9" xfId="3448"/>
    <cellStyle name="per.style" xfId="3449"/>
    <cellStyle name="per.style 2" xfId="3450"/>
    <cellStyle name="Percent %" xfId="3451"/>
    <cellStyle name="Percent % Long Underline" xfId="3452"/>
    <cellStyle name="Percent %_Worksheet in  US Financial Statements Ref. Workbook - Single Co" xfId="3453"/>
    <cellStyle name="Percent (0)" xfId="3454"/>
    <cellStyle name="Percent (0) 10" xfId="3455"/>
    <cellStyle name="Percent (0) 11" xfId="3456"/>
    <cellStyle name="Percent (0) 12" xfId="3457"/>
    <cellStyle name="Percent (0) 13" xfId="3458"/>
    <cellStyle name="Percent (0) 14" xfId="3459"/>
    <cellStyle name="Percent (0) 15" xfId="3460"/>
    <cellStyle name="Percent (0) 2" xfId="3461"/>
    <cellStyle name="Percent (0) 3" xfId="3462"/>
    <cellStyle name="Percent (0) 4" xfId="3463"/>
    <cellStyle name="Percent (0) 5" xfId="3464"/>
    <cellStyle name="Percent (0) 6" xfId="3465"/>
    <cellStyle name="Percent (0) 7" xfId="3466"/>
    <cellStyle name="Percent (0) 8" xfId="3467"/>
    <cellStyle name="Percent (0) 9" xfId="3468"/>
    <cellStyle name="Percent [0]" xfId="3469"/>
    <cellStyle name="Percent [0] 10" xfId="3470"/>
    <cellStyle name="Percent [0] 11" xfId="3471"/>
    <cellStyle name="Percent [0] 12" xfId="3472"/>
    <cellStyle name="Percent [0] 13" xfId="3473"/>
    <cellStyle name="Percent [0] 14" xfId="3474"/>
    <cellStyle name="Percent [0] 15" xfId="3475"/>
    <cellStyle name="Percent [0] 16" xfId="3476"/>
    <cellStyle name="Percent [0] 2" xfId="3477"/>
    <cellStyle name="Percent [0] 3" xfId="3478"/>
    <cellStyle name="Percent [0] 4" xfId="3479"/>
    <cellStyle name="Percent [0] 5" xfId="3480"/>
    <cellStyle name="Percent [0] 6" xfId="3481"/>
    <cellStyle name="Percent [0] 7" xfId="3482"/>
    <cellStyle name="Percent [0] 8" xfId="3483"/>
    <cellStyle name="Percent [0] 9" xfId="3484"/>
    <cellStyle name="Percent [00]" xfId="3485"/>
    <cellStyle name="Percent [00] 10" xfId="3486"/>
    <cellStyle name="Percent [00] 11" xfId="3487"/>
    <cellStyle name="Percent [00] 12" xfId="3488"/>
    <cellStyle name="Percent [00] 13" xfId="3489"/>
    <cellStyle name="Percent [00] 14" xfId="3490"/>
    <cellStyle name="Percent [00] 15" xfId="3491"/>
    <cellStyle name="Percent [00] 16" xfId="3492"/>
    <cellStyle name="Percent [00] 2" xfId="3493"/>
    <cellStyle name="Percent [00] 3" xfId="3494"/>
    <cellStyle name="Percent [00] 4" xfId="3495"/>
    <cellStyle name="Percent [00] 5" xfId="3496"/>
    <cellStyle name="Percent [00] 6" xfId="3497"/>
    <cellStyle name="Percent [00] 7" xfId="3498"/>
    <cellStyle name="Percent [00] 8" xfId="3499"/>
    <cellStyle name="Percent [00] 9" xfId="3500"/>
    <cellStyle name="Percent [2]" xfId="3501"/>
    <cellStyle name="Percent [2] 10" xfId="3502"/>
    <cellStyle name="Percent [2] 11" xfId="3503"/>
    <cellStyle name="Percent [2] 12" xfId="3504"/>
    <cellStyle name="Percent [2] 13" xfId="3505"/>
    <cellStyle name="Percent [2] 14" xfId="3506"/>
    <cellStyle name="Percent [2] 15" xfId="3507"/>
    <cellStyle name="Percent [2] 16" xfId="3508"/>
    <cellStyle name="Percent [2] 2" xfId="3509"/>
    <cellStyle name="Percent [2] 2 2" xfId="3510"/>
    <cellStyle name="Percent [2] 3" xfId="3511"/>
    <cellStyle name="Percent [2] 4" xfId="3512"/>
    <cellStyle name="Percent [2] 5" xfId="3513"/>
    <cellStyle name="Percent [2] 6" xfId="3514"/>
    <cellStyle name="Percent [2] 7" xfId="3515"/>
    <cellStyle name="Percent [2] 8" xfId="3516"/>
    <cellStyle name="Percent [2] 9" xfId="3517"/>
    <cellStyle name="Percent 0.0%" xfId="3518"/>
    <cellStyle name="Percent 0.0% Long Underline" xfId="3519"/>
    <cellStyle name="Percent 0.00%" xfId="3520"/>
    <cellStyle name="Percent 0.00% Long Underline" xfId="3521"/>
    <cellStyle name="Percent 0.000%" xfId="3522"/>
    <cellStyle name="Percent 0.000% Long Underline" xfId="3523"/>
    <cellStyle name="Percent 10" xfId="3524"/>
    <cellStyle name="Percent 10 2" xfId="3525"/>
    <cellStyle name="Percent 11" xfId="3526"/>
    <cellStyle name="Percent 11 2" xfId="3527"/>
    <cellStyle name="Percent 12" xfId="3528"/>
    <cellStyle name="Percent 12 2" xfId="3529"/>
    <cellStyle name="Percent 13" xfId="3530"/>
    <cellStyle name="Percent 13 2" xfId="3531"/>
    <cellStyle name="Percent 14" xfId="3532"/>
    <cellStyle name="Percent 14 2" xfId="3533"/>
    <cellStyle name="Percent 15" xfId="3534"/>
    <cellStyle name="Percent 16" xfId="3535"/>
    <cellStyle name="Percent 17" xfId="3536"/>
    <cellStyle name="Percent 18" xfId="3537"/>
    <cellStyle name="Percent 19" xfId="3538"/>
    <cellStyle name="Percent 19 2" xfId="3539"/>
    <cellStyle name="Percent 2" xfId="3540"/>
    <cellStyle name="Percent 2 2" xfId="3541"/>
    <cellStyle name="Percent 2 2 2" xfId="3542"/>
    <cellStyle name="Percent 2 2 3" xfId="3543"/>
    <cellStyle name="Percent 2 3" xfId="3544"/>
    <cellStyle name="Percent 2 4" xfId="3545"/>
    <cellStyle name="Percent 20" xfId="3546"/>
    <cellStyle name="Percent 20 2" xfId="3547"/>
    <cellStyle name="Percent 21" xfId="3548"/>
    <cellStyle name="Percent 22" xfId="3549"/>
    <cellStyle name="Percent 23" xfId="3550"/>
    <cellStyle name="Percent 24" xfId="3551"/>
    <cellStyle name="Percent 24 2" xfId="3552"/>
    <cellStyle name="Percent 25" xfId="3553"/>
    <cellStyle name="Percent 3" xfId="3554"/>
    <cellStyle name="Percent 3 2" xfId="3555"/>
    <cellStyle name="Percent 3 3" xfId="3556"/>
    <cellStyle name="Percent 3 3 2" xfId="3557"/>
    <cellStyle name="Percent 4" xfId="3558"/>
    <cellStyle name="Percent 5" xfId="3559"/>
    <cellStyle name="Percent 5 2" xfId="3560"/>
    <cellStyle name="Percent 6" xfId="3561"/>
    <cellStyle name="Percent 6 2" xfId="3562"/>
    <cellStyle name="Percent 7" xfId="3563"/>
    <cellStyle name="Percent 7 2" xfId="3564"/>
    <cellStyle name="Percent 8" xfId="3565"/>
    <cellStyle name="Percent 8 2" xfId="3566"/>
    <cellStyle name="Percent 9" xfId="3567"/>
    <cellStyle name="Percent 9 2" xfId="3568"/>
    <cellStyle name="PERCENTAGE" xfId="3569"/>
    <cellStyle name="PERCENTAGE 2" xfId="3570"/>
    <cellStyle name="PrePop Currency (0)" xfId="3571"/>
    <cellStyle name="PrePop Currency (0) 10" xfId="3572"/>
    <cellStyle name="PrePop Currency (0) 11" xfId="3573"/>
    <cellStyle name="PrePop Currency (0) 12" xfId="3574"/>
    <cellStyle name="PrePop Currency (0) 13" xfId="3575"/>
    <cellStyle name="PrePop Currency (0) 14" xfId="3576"/>
    <cellStyle name="PrePop Currency (0) 15" xfId="3577"/>
    <cellStyle name="PrePop Currency (0) 16" xfId="3578"/>
    <cellStyle name="PrePop Currency (0) 2" xfId="3579"/>
    <cellStyle name="PrePop Currency (0) 3" xfId="3580"/>
    <cellStyle name="PrePop Currency (0) 4" xfId="3581"/>
    <cellStyle name="PrePop Currency (0) 5" xfId="3582"/>
    <cellStyle name="PrePop Currency (0) 6" xfId="3583"/>
    <cellStyle name="PrePop Currency (0) 7" xfId="3584"/>
    <cellStyle name="PrePop Currency (0) 8" xfId="3585"/>
    <cellStyle name="PrePop Currency (0) 9" xfId="3586"/>
    <cellStyle name="PrePop Currency (2)" xfId="3587"/>
    <cellStyle name="PrePop Currency (2) 10" xfId="3588"/>
    <cellStyle name="PrePop Currency (2) 11" xfId="3589"/>
    <cellStyle name="PrePop Currency (2) 12" xfId="3590"/>
    <cellStyle name="PrePop Currency (2) 13" xfId="3591"/>
    <cellStyle name="PrePop Currency (2) 14" xfId="3592"/>
    <cellStyle name="PrePop Currency (2) 15" xfId="3593"/>
    <cellStyle name="PrePop Currency (2) 16" xfId="3594"/>
    <cellStyle name="PrePop Currency (2) 2" xfId="3595"/>
    <cellStyle name="PrePop Currency (2) 3" xfId="3596"/>
    <cellStyle name="PrePop Currency (2) 4" xfId="3597"/>
    <cellStyle name="PrePop Currency (2) 5" xfId="3598"/>
    <cellStyle name="PrePop Currency (2) 6" xfId="3599"/>
    <cellStyle name="PrePop Currency (2) 7" xfId="3600"/>
    <cellStyle name="PrePop Currency (2) 8" xfId="3601"/>
    <cellStyle name="PrePop Currency (2) 9" xfId="3602"/>
    <cellStyle name="PrePop Units (0)" xfId="3603"/>
    <cellStyle name="PrePop Units (0) 10" xfId="3604"/>
    <cellStyle name="PrePop Units (0) 11" xfId="3605"/>
    <cellStyle name="PrePop Units (0) 12" xfId="3606"/>
    <cellStyle name="PrePop Units (0) 13" xfId="3607"/>
    <cellStyle name="PrePop Units (0) 14" xfId="3608"/>
    <cellStyle name="PrePop Units (0) 15" xfId="3609"/>
    <cellStyle name="PrePop Units (0) 16" xfId="3610"/>
    <cellStyle name="PrePop Units (0) 2" xfId="3611"/>
    <cellStyle name="PrePop Units (0) 3" xfId="3612"/>
    <cellStyle name="PrePop Units (0) 4" xfId="3613"/>
    <cellStyle name="PrePop Units (0) 5" xfId="3614"/>
    <cellStyle name="PrePop Units (0) 6" xfId="3615"/>
    <cellStyle name="PrePop Units (0) 7" xfId="3616"/>
    <cellStyle name="PrePop Units (0) 8" xfId="3617"/>
    <cellStyle name="PrePop Units (0) 9" xfId="3618"/>
    <cellStyle name="PrePop Units (1)" xfId="3619"/>
    <cellStyle name="PrePop Units (1) 10" xfId="3620"/>
    <cellStyle name="PrePop Units (1) 11" xfId="3621"/>
    <cellStyle name="PrePop Units (1) 12" xfId="3622"/>
    <cellStyle name="PrePop Units (1) 13" xfId="3623"/>
    <cellStyle name="PrePop Units (1) 14" xfId="3624"/>
    <cellStyle name="PrePop Units (1) 15" xfId="3625"/>
    <cellStyle name="PrePop Units (1) 16" xfId="3626"/>
    <cellStyle name="PrePop Units (1) 2" xfId="3627"/>
    <cellStyle name="PrePop Units (1) 3" xfId="3628"/>
    <cellStyle name="PrePop Units (1) 4" xfId="3629"/>
    <cellStyle name="PrePop Units (1) 5" xfId="3630"/>
    <cellStyle name="PrePop Units (1) 6" xfId="3631"/>
    <cellStyle name="PrePop Units (1) 7" xfId="3632"/>
    <cellStyle name="PrePop Units (1) 8" xfId="3633"/>
    <cellStyle name="PrePop Units (1) 9" xfId="3634"/>
    <cellStyle name="PrePop Units (2)" xfId="3635"/>
    <cellStyle name="PrePop Units (2) 10" xfId="3636"/>
    <cellStyle name="PrePop Units (2) 11" xfId="3637"/>
    <cellStyle name="PrePop Units (2) 12" xfId="3638"/>
    <cellStyle name="PrePop Units (2) 13" xfId="3639"/>
    <cellStyle name="PrePop Units (2) 14" xfId="3640"/>
    <cellStyle name="PrePop Units (2) 15" xfId="3641"/>
    <cellStyle name="PrePop Units (2) 16" xfId="3642"/>
    <cellStyle name="PrePop Units (2) 2" xfId="3643"/>
    <cellStyle name="PrePop Units (2) 3" xfId="3644"/>
    <cellStyle name="PrePop Units (2) 4" xfId="3645"/>
    <cellStyle name="PrePop Units (2) 5" xfId="3646"/>
    <cellStyle name="PrePop Units (2) 6" xfId="3647"/>
    <cellStyle name="PrePop Units (2) 7" xfId="3648"/>
    <cellStyle name="PrePop Units (2) 8" xfId="3649"/>
    <cellStyle name="PrePop Units (2) 9" xfId="3650"/>
    <cellStyle name="pricing" xfId="3651"/>
    <cellStyle name="pricing 2" xfId="3652"/>
    <cellStyle name="PSChar" xfId="3653"/>
    <cellStyle name="PSHeading" xfId="3654"/>
    <cellStyle name="Quantity" xfId="3655"/>
    <cellStyle name="regstoresfromspecstores" xfId="3656"/>
    <cellStyle name="regstoresfromspecstores 2" xfId="3657"/>
    <cellStyle name="RevList" xfId="3658"/>
    <cellStyle name="rlink_tiªn l­în_x005f_x001b_Hyperlink_TONG HOP KINH PHI" xfId="3659"/>
    <cellStyle name="rmal_ADAdot" xfId="3660"/>
    <cellStyle name="S—_x0008_" xfId="3661"/>
    <cellStyle name="S—_x0008_ 2" xfId="3662"/>
    <cellStyle name="s]_x000a__x000a_spooler=yes_x000a__x000a_load=_x000a__x000a_Beep=yes_x000a__x000a_NullPort=None_x000a__x000a_BorderWidth=3_x000a__x000a_CursorBlinkRate=1200_x000a__x000a_DoubleClickSpeed=452_x000a__x000a_Programs=co" xfId="3663"/>
    <cellStyle name="s]_x000d__x000a_spooler=yes_x000d__x000a_load=_x000d__x000a_Beep=yes_x000d__x000a_NullPort=None_x000d__x000a_BorderWidth=3_x000d__x000a_CursorBlinkRate=1200_x000d__x000a_DoubleClickSpeed=452_x000d__x000a_Programs=co" xfId="366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665"/>
    <cellStyle name="S—_x0008__KH TPCP vung TNB (03-1-2012)" xfId="3666"/>
    <cellStyle name="S—_x005f_x0008_" xfId="3667"/>
    <cellStyle name="SAPBEXaggData" xfId="3668"/>
    <cellStyle name="SAPBEXaggData 2" xfId="3669"/>
    <cellStyle name="SAPBEXaggData 2 2" xfId="3670"/>
    <cellStyle name="SAPBEXaggData 3" xfId="3671"/>
    <cellStyle name="SAPBEXaggDataEmph" xfId="3672"/>
    <cellStyle name="SAPBEXaggDataEmph 2" xfId="3673"/>
    <cellStyle name="SAPBEXaggDataEmph 2 2" xfId="3674"/>
    <cellStyle name="SAPBEXaggDataEmph 3" xfId="3675"/>
    <cellStyle name="SAPBEXaggItem" xfId="3676"/>
    <cellStyle name="SAPBEXaggItem 2" xfId="3677"/>
    <cellStyle name="SAPBEXaggItem 2 2" xfId="3678"/>
    <cellStyle name="SAPBEXaggItem 3" xfId="3679"/>
    <cellStyle name="SAPBEXchaText" xfId="3680"/>
    <cellStyle name="SAPBEXchaText 2" xfId="3681"/>
    <cellStyle name="SAPBEXexcBad7" xfId="3682"/>
    <cellStyle name="SAPBEXexcBad7 2" xfId="3683"/>
    <cellStyle name="SAPBEXexcBad7 2 2" xfId="3684"/>
    <cellStyle name="SAPBEXexcBad7 3" xfId="3685"/>
    <cellStyle name="SAPBEXexcBad8" xfId="3686"/>
    <cellStyle name="SAPBEXexcBad8 2" xfId="3687"/>
    <cellStyle name="SAPBEXexcBad8 2 2" xfId="3688"/>
    <cellStyle name="SAPBEXexcBad8 3" xfId="3689"/>
    <cellStyle name="SAPBEXexcBad9" xfId="3690"/>
    <cellStyle name="SAPBEXexcBad9 2" xfId="3691"/>
    <cellStyle name="SAPBEXexcBad9 2 2" xfId="3692"/>
    <cellStyle name="SAPBEXexcBad9 3" xfId="3693"/>
    <cellStyle name="SAPBEXexcCritical4" xfId="3694"/>
    <cellStyle name="SAPBEXexcCritical4 2" xfId="3695"/>
    <cellStyle name="SAPBEXexcCritical4 2 2" xfId="3696"/>
    <cellStyle name="SAPBEXexcCritical4 3" xfId="3697"/>
    <cellStyle name="SAPBEXexcCritical5" xfId="3698"/>
    <cellStyle name="SAPBEXexcCritical5 2" xfId="3699"/>
    <cellStyle name="SAPBEXexcCritical5 2 2" xfId="3700"/>
    <cellStyle name="SAPBEXexcCritical5 3" xfId="3701"/>
    <cellStyle name="SAPBEXexcCritical6" xfId="3702"/>
    <cellStyle name="SAPBEXexcCritical6 2" xfId="3703"/>
    <cellStyle name="SAPBEXexcCritical6 2 2" xfId="3704"/>
    <cellStyle name="SAPBEXexcCritical6 3" xfId="3705"/>
    <cellStyle name="SAPBEXexcGood1" xfId="3706"/>
    <cellStyle name="SAPBEXexcGood1 2" xfId="3707"/>
    <cellStyle name="SAPBEXexcGood1 2 2" xfId="3708"/>
    <cellStyle name="SAPBEXexcGood1 3" xfId="3709"/>
    <cellStyle name="SAPBEXexcGood2" xfId="3710"/>
    <cellStyle name="SAPBEXexcGood2 2" xfId="3711"/>
    <cellStyle name="SAPBEXexcGood2 2 2" xfId="3712"/>
    <cellStyle name="SAPBEXexcGood2 3" xfId="3713"/>
    <cellStyle name="SAPBEXexcGood3" xfId="3714"/>
    <cellStyle name="SAPBEXexcGood3 2" xfId="3715"/>
    <cellStyle name="SAPBEXexcGood3 2 2" xfId="3716"/>
    <cellStyle name="SAPBEXexcGood3 3" xfId="3717"/>
    <cellStyle name="SAPBEXfilterDrill" xfId="3718"/>
    <cellStyle name="SAPBEXfilterDrill 2" xfId="3719"/>
    <cellStyle name="SAPBEXfilterItem" xfId="3720"/>
    <cellStyle name="SAPBEXfilterItem 2" xfId="3721"/>
    <cellStyle name="SAPBEXfilterText" xfId="3722"/>
    <cellStyle name="SAPBEXfilterText 2" xfId="3723"/>
    <cellStyle name="SAPBEXformats" xfId="3724"/>
    <cellStyle name="SAPBEXformats 2" xfId="3725"/>
    <cellStyle name="SAPBEXformats 2 2" xfId="3726"/>
    <cellStyle name="SAPBEXformats 3" xfId="3727"/>
    <cellStyle name="SAPBEXheaderItem" xfId="3728"/>
    <cellStyle name="SAPBEXheaderItem 2" xfId="3729"/>
    <cellStyle name="SAPBEXheaderText" xfId="3730"/>
    <cellStyle name="SAPBEXheaderText 2" xfId="3731"/>
    <cellStyle name="SAPBEXresData" xfId="3732"/>
    <cellStyle name="SAPBEXresData 2" xfId="3733"/>
    <cellStyle name="SAPBEXresData 2 2" xfId="3734"/>
    <cellStyle name="SAPBEXresData 3" xfId="3735"/>
    <cellStyle name="SAPBEXresDataEmph" xfId="3736"/>
    <cellStyle name="SAPBEXresDataEmph 2" xfId="3737"/>
    <cellStyle name="SAPBEXresDataEmph 2 2" xfId="3738"/>
    <cellStyle name="SAPBEXresDataEmph 3" xfId="3739"/>
    <cellStyle name="SAPBEXresItem" xfId="3740"/>
    <cellStyle name="SAPBEXresItem 2" xfId="3741"/>
    <cellStyle name="SAPBEXresItem 2 2" xfId="3742"/>
    <cellStyle name="SAPBEXresItem 3" xfId="3743"/>
    <cellStyle name="SAPBEXstdData" xfId="3744"/>
    <cellStyle name="SAPBEXstdData 2" xfId="3745"/>
    <cellStyle name="SAPBEXstdData 2 2" xfId="3746"/>
    <cellStyle name="SAPBEXstdData 3" xfId="3747"/>
    <cellStyle name="SAPBEXstdDataEmph" xfId="3748"/>
    <cellStyle name="SAPBEXstdDataEmph 2" xfId="3749"/>
    <cellStyle name="SAPBEXstdDataEmph 2 2" xfId="3750"/>
    <cellStyle name="SAPBEXstdDataEmph 3" xfId="3751"/>
    <cellStyle name="SAPBEXstdItem" xfId="3752"/>
    <cellStyle name="SAPBEXstdItem 2" xfId="3753"/>
    <cellStyle name="SAPBEXstdItem 2 2" xfId="3754"/>
    <cellStyle name="SAPBEXstdItem 3" xfId="3755"/>
    <cellStyle name="SAPBEXtitle" xfId="3756"/>
    <cellStyle name="SAPBEXtitle 2" xfId="3757"/>
    <cellStyle name="SAPBEXtitle 2 2" xfId="3758"/>
    <cellStyle name="SAPBEXtitle 3" xfId="3759"/>
    <cellStyle name="SAPBEXundefined" xfId="3760"/>
    <cellStyle name="SAPBEXundefined 2" xfId="3761"/>
    <cellStyle name="SAPBEXundefined 2 2" xfId="3762"/>
    <cellStyle name="SAPBEXundefined 3" xfId="3763"/>
    <cellStyle name="serJet 1200 Series PCL 6" xfId="3764"/>
    <cellStyle name="SHADEDSTORES" xfId="3765"/>
    <cellStyle name="SHADEDSTORES 2" xfId="3766"/>
    <cellStyle name="SHADEDSTORES 2 2" xfId="3767"/>
    <cellStyle name="SHADEDSTORES 3" xfId="3768"/>
    <cellStyle name="songuyen" xfId="3769"/>
    <cellStyle name="specstores" xfId="3770"/>
    <cellStyle name="Standard_AAbgleich" xfId="3771"/>
    <cellStyle name="STTDG" xfId="3772"/>
    <cellStyle name="style" xfId="3773"/>
    <cellStyle name="Style 1" xfId="3774"/>
    <cellStyle name="Style 1 2" xfId="3775"/>
    <cellStyle name="Style 1 2 2" xfId="3776"/>
    <cellStyle name="Style 1 3" xfId="3777"/>
    <cellStyle name="Style 1 3 2" xfId="3778"/>
    <cellStyle name="Style 1 4" xfId="3779"/>
    <cellStyle name="Style 1 5" xfId="3780"/>
    <cellStyle name="Style 10" xfId="3781"/>
    <cellStyle name="Style 10 2" xfId="3782"/>
    <cellStyle name="Style 100" xfId="3783"/>
    <cellStyle name="Style 101" xfId="3784"/>
    <cellStyle name="Style 102" xfId="3785"/>
    <cellStyle name="Style 103" xfId="3786"/>
    <cellStyle name="Style 104" xfId="3787"/>
    <cellStyle name="Style 105" xfId="3788"/>
    <cellStyle name="Style 106" xfId="3789"/>
    <cellStyle name="Style 107" xfId="3790"/>
    <cellStyle name="Style 108" xfId="3791"/>
    <cellStyle name="Style 109" xfId="3792"/>
    <cellStyle name="Style 11" xfId="3793"/>
    <cellStyle name="Style 11 2" xfId="3794"/>
    <cellStyle name="Style 110" xfId="3795"/>
    <cellStyle name="Style 111" xfId="3796"/>
    <cellStyle name="Style 112" xfId="3797"/>
    <cellStyle name="Style 113" xfId="3798"/>
    <cellStyle name="Style 114" xfId="3799"/>
    <cellStyle name="Style 115" xfId="3800"/>
    <cellStyle name="Style 116" xfId="3801"/>
    <cellStyle name="Style 117" xfId="3802"/>
    <cellStyle name="Style 118" xfId="3803"/>
    <cellStyle name="Style 119" xfId="3804"/>
    <cellStyle name="Style 12" xfId="3805"/>
    <cellStyle name="Style 12 2" xfId="3806"/>
    <cellStyle name="Style 120" xfId="3807"/>
    <cellStyle name="Style 121" xfId="3808"/>
    <cellStyle name="Style 122" xfId="3809"/>
    <cellStyle name="Style 123" xfId="3810"/>
    <cellStyle name="Style 124" xfId="3811"/>
    <cellStyle name="Style 125" xfId="3812"/>
    <cellStyle name="Style 126" xfId="3813"/>
    <cellStyle name="Style 127" xfId="3814"/>
    <cellStyle name="Style 128" xfId="3815"/>
    <cellStyle name="Style 129" xfId="3816"/>
    <cellStyle name="Style 13" xfId="3817"/>
    <cellStyle name="Style 13 2" xfId="3818"/>
    <cellStyle name="Style 130" xfId="3819"/>
    <cellStyle name="Style 131" xfId="3820"/>
    <cellStyle name="Style 132" xfId="3821"/>
    <cellStyle name="Style 133" xfId="3822"/>
    <cellStyle name="Style 134" xfId="3823"/>
    <cellStyle name="Style 135" xfId="3824"/>
    <cellStyle name="Style 136" xfId="3825"/>
    <cellStyle name="Style 137" xfId="3826"/>
    <cellStyle name="Style 138" xfId="3827"/>
    <cellStyle name="Style 139" xfId="3828"/>
    <cellStyle name="Style 14" xfId="3829"/>
    <cellStyle name="Style 14 2" xfId="3830"/>
    <cellStyle name="Style 140" xfId="3831"/>
    <cellStyle name="Style 141" xfId="3832"/>
    <cellStyle name="Style 142" xfId="3833"/>
    <cellStyle name="Style 143" xfId="3834"/>
    <cellStyle name="Style 144" xfId="3835"/>
    <cellStyle name="Style 145" xfId="3836"/>
    <cellStyle name="Style 146" xfId="3837"/>
    <cellStyle name="Style 147" xfId="3838"/>
    <cellStyle name="Style 148" xfId="3839"/>
    <cellStyle name="Style 149" xfId="3840"/>
    <cellStyle name="Style 15" xfId="3841"/>
    <cellStyle name="Style 15 2" xfId="3842"/>
    <cellStyle name="Style 150" xfId="3843"/>
    <cellStyle name="Style 151" xfId="3844"/>
    <cellStyle name="Style 152" xfId="3845"/>
    <cellStyle name="Style 153" xfId="3846"/>
    <cellStyle name="Style 154" xfId="3847"/>
    <cellStyle name="Style 155" xfId="3848"/>
    <cellStyle name="Style 16" xfId="3849"/>
    <cellStyle name="Style 16 2" xfId="3850"/>
    <cellStyle name="Style 17" xfId="3851"/>
    <cellStyle name="Style 17 2" xfId="3852"/>
    <cellStyle name="Style 18" xfId="3853"/>
    <cellStyle name="Style 18 2" xfId="3854"/>
    <cellStyle name="Style 19" xfId="3855"/>
    <cellStyle name="Style 19 2" xfId="3856"/>
    <cellStyle name="Style 2" xfId="3857"/>
    <cellStyle name="Style 2 2" xfId="3858"/>
    <cellStyle name="Style 20" xfId="3859"/>
    <cellStyle name="Style 20 2" xfId="3860"/>
    <cellStyle name="Style 21" xfId="3861"/>
    <cellStyle name="Style 21 2" xfId="3862"/>
    <cellStyle name="Style 22" xfId="3863"/>
    <cellStyle name="Style 22 2" xfId="3864"/>
    <cellStyle name="Style 23" xfId="3865"/>
    <cellStyle name="Style 23 2" xfId="3866"/>
    <cellStyle name="Style 24" xfId="3867"/>
    <cellStyle name="Style 24 2" xfId="3868"/>
    <cellStyle name="Style 25" xfId="3869"/>
    <cellStyle name="Style 25 2" xfId="3870"/>
    <cellStyle name="Style 26" xfId="3871"/>
    <cellStyle name="Style 26 2" xfId="3872"/>
    <cellStyle name="Style 27" xfId="3873"/>
    <cellStyle name="Style 27 2" xfId="3874"/>
    <cellStyle name="Style 28" xfId="3875"/>
    <cellStyle name="Style 28 2" xfId="3876"/>
    <cellStyle name="Style 29" xfId="3877"/>
    <cellStyle name="Style 29 2" xfId="3878"/>
    <cellStyle name="Style 3" xfId="3879"/>
    <cellStyle name="Style 3 2" xfId="3880"/>
    <cellStyle name="Style 30" xfId="3881"/>
    <cellStyle name="Style 30 2" xfId="3882"/>
    <cellStyle name="Style 31" xfId="3883"/>
    <cellStyle name="Style 31 2" xfId="3884"/>
    <cellStyle name="Style 32" xfId="3885"/>
    <cellStyle name="Style 32 2" xfId="3886"/>
    <cellStyle name="Style 33" xfId="3887"/>
    <cellStyle name="Style 33 2" xfId="3888"/>
    <cellStyle name="Style 34" xfId="3889"/>
    <cellStyle name="Style 34 2" xfId="3890"/>
    <cellStyle name="Style 35" xfId="3891"/>
    <cellStyle name="Style 35 2" xfId="3892"/>
    <cellStyle name="Style 36" xfId="3893"/>
    <cellStyle name="Style 37" xfId="3894"/>
    <cellStyle name="Style 37 2" xfId="3895"/>
    <cellStyle name="Style 38" xfId="3896"/>
    <cellStyle name="Style 38 2" xfId="3897"/>
    <cellStyle name="Style 39" xfId="3898"/>
    <cellStyle name="Style 39 2" xfId="3899"/>
    <cellStyle name="Style 4" xfId="3900"/>
    <cellStyle name="Style 4 2" xfId="3901"/>
    <cellStyle name="Style 40" xfId="3902"/>
    <cellStyle name="Style 40 2" xfId="3903"/>
    <cellStyle name="Style 41" xfId="3904"/>
    <cellStyle name="Style 41 2" xfId="3905"/>
    <cellStyle name="Style 42" xfId="3906"/>
    <cellStyle name="Style 42 2" xfId="3907"/>
    <cellStyle name="Style 43" xfId="3908"/>
    <cellStyle name="Style 43 2" xfId="3909"/>
    <cellStyle name="Style 44" xfId="3910"/>
    <cellStyle name="Style 44 2" xfId="3911"/>
    <cellStyle name="Style 45" xfId="3912"/>
    <cellStyle name="Style 45 2" xfId="3913"/>
    <cellStyle name="Style 46" xfId="3914"/>
    <cellStyle name="Style 46 2" xfId="3915"/>
    <cellStyle name="Style 47" xfId="3916"/>
    <cellStyle name="Style 47 2" xfId="3917"/>
    <cellStyle name="Style 48" xfId="3918"/>
    <cellStyle name="Style 48 2" xfId="3919"/>
    <cellStyle name="Style 49" xfId="3920"/>
    <cellStyle name="Style 49 2" xfId="3921"/>
    <cellStyle name="Style 5" xfId="3922"/>
    <cellStyle name="Style 50" xfId="3923"/>
    <cellStyle name="Style 50 2" xfId="3924"/>
    <cellStyle name="Style 51" xfId="3925"/>
    <cellStyle name="Style 51 2" xfId="3926"/>
    <cellStyle name="Style 52" xfId="3927"/>
    <cellStyle name="Style 52 2" xfId="3928"/>
    <cellStyle name="Style 53" xfId="3929"/>
    <cellStyle name="Style 53 2" xfId="3930"/>
    <cellStyle name="Style 54" xfId="3931"/>
    <cellStyle name="Style 54 2" xfId="3932"/>
    <cellStyle name="Style 55" xfId="3933"/>
    <cellStyle name="Style 55 2" xfId="3934"/>
    <cellStyle name="Style 56" xfId="3935"/>
    <cellStyle name="Style 57" xfId="3936"/>
    <cellStyle name="Style 58" xfId="3937"/>
    <cellStyle name="Style 59" xfId="3938"/>
    <cellStyle name="Style 6" xfId="3939"/>
    <cellStyle name="Style 6 2" xfId="3940"/>
    <cellStyle name="Style 60" xfId="3941"/>
    <cellStyle name="Style 61" xfId="3942"/>
    <cellStyle name="Style 62" xfId="3943"/>
    <cellStyle name="Style 63" xfId="3944"/>
    <cellStyle name="Style 64" xfId="3945"/>
    <cellStyle name="Style 65" xfId="3946"/>
    <cellStyle name="Style 66" xfId="3947"/>
    <cellStyle name="Style 67" xfId="3948"/>
    <cellStyle name="Style 68" xfId="3949"/>
    <cellStyle name="Style 69" xfId="3950"/>
    <cellStyle name="Style 7" xfId="3951"/>
    <cellStyle name="Style 7 2" xfId="3952"/>
    <cellStyle name="Style 70" xfId="3953"/>
    <cellStyle name="Style 71" xfId="3954"/>
    <cellStyle name="Style 72" xfId="3955"/>
    <cellStyle name="Style 73" xfId="3956"/>
    <cellStyle name="Style 74" xfId="3957"/>
    <cellStyle name="Style 75" xfId="3958"/>
    <cellStyle name="Style 76" xfId="3959"/>
    <cellStyle name="Style 77" xfId="3960"/>
    <cellStyle name="Style 78" xfId="3961"/>
    <cellStyle name="Style 79" xfId="3962"/>
    <cellStyle name="Style 8" xfId="3963"/>
    <cellStyle name="Style 8 2" xfId="3964"/>
    <cellStyle name="Style 80" xfId="3965"/>
    <cellStyle name="Style 81" xfId="3966"/>
    <cellStyle name="Style 82" xfId="3967"/>
    <cellStyle name="Style 83" xfId="3968"/>
    <cellStyle name="Style 84" xfId="3969"/>
    <cellStyle name="Style 85" xfId="3970"/>
    <cellStyle name="Style 86" xfId="3971"/>
    <cellStyle name="Style 87" xfId="3972"/>
    <cellStyle name="Style 88" xfId="3973"/>
    <cellStyle name="Style 89" xfId="3974"/>
    <cellStyle name="Style 9" xfId="3975"/>
    <cellStyle name="Style 9 2" xfId="3976"/>
    <cellStyle name="Style 90" xfId="3977"/>
    <cellStyle name="Style 91" xfId="3978"/>
    <cellStyle name="Style 92" xfId="3979"/>
    <cellStyle name="Style 93" xfId="3980"/>
    <cellStyle name="Style 94" xfId="3981"/>
    <cellStyle name="Style 95" xfId="3982"/>
    <cellStyle name="Style 96" xfId="3983"/>
    <cellStyle name="Style 97" xfId="3984"/>
    <cellStyle name="Style 98" xfId="3985"/>
    <cellStyle name="Style 99" xfId="3986"/>
    <cellStyle name="Style Date" xfId="3987"/>
    <cellStyle name="style_1" xfId="3988"/>
    <cellStyle name="subhead" xfId="3989"/>
    <cellStyle name="subhead 2" xfId="3990"/>
    <cellStyle name="Subtotal" xfId="3991"/>
    <cellStyle name="symbol" xfId="3992"/>
    <cellStyle name="T" xfId="3993"/>
    <cellStyle name="T 2" xfId="3994"/>
    <cellStyle name="T_15_10_2013 BC nhu cau von doi ung ODA (2014-2016) ngay 15102013 Sua" xfId="3995"/>
    <cellStyle name="T_bao cao" xfId="3996"/>
    <cellStyle name="T_bao cao 2" xfId="3997"/>
    <cellStyle name="T_bao cao phan bo KHDT 2011(final)" xfId="3998"/>
    <cellStyle name="T_Bao cao so lieu kiem toan nam 2007 sua" xfId="3999"/>
    <cellStyle name="T_Bao cao so lieu kiem toan nam 2007 sua 2" xfId="4000"/>
    <cellStyle name="T_Bao cao so lieu kiem toan nam 2007 sua_!1 1 bao cao giao KH ve HTCMT vung TNB   12-12-2011" xfId="4001"/>
    <cellStyle name="T_Bao cao so lieu kiem toan nam 2007 sua_!1 1 bao cao giao KH ve HTCMT vung TNB   12-12-2011 2" xfId="4002"/>
    <cellStyle name="T_Bao cao so lieu kiem toan nam 2007 sua_KH TPCP vung TNB (03-1-2012)" xfId="4003"/>
    <cellStyle name="T_Bao cao so lieu kiem toan nam 2007 sua_KH TPCP vung TNB (03-1-2012) 2" xfId="4004"/>
    <cellStyle name="T_bao cao_!1 1 bao cao giao KH ve HTCMT vung TNB   12-12-2011" xfId="4005"/>
    <cellStyle name="T_bao cao_!1 1 bao cao giao KH ve HTCMT vung TNB   12-12-2011 2" xfId="4006"/>
    <cellStyle name="T_bao cao_Bieu4HTMT" xfId="4007"/>
    <cellStyle name="T_bao cao_Bieu4HTMT 2" xfId="4008"/>
    <cellStyle name="T_bao cao_Bieu4HTMT_!1 1 bao cao giao KH ve HTCMT vung TNB   12-12-2011" xfId="4009"/>
    <cellStyle name="T_bao cao_Bieu4HTMT_!1 1 bao cao giao KH ve HTCMT vung TNB   12-12-2011 2" xfId="4010"/>
    <cellStyle name="T_bao cao_Bieu4HTMT_KH TPCP vung TNB (03-1-2012)" xfId="4011"/>
    <cellStyle name="T_bao cao_Bieu4HTMT_KH TPCP vung TNB (03-1-2012) 2" xfId="4012"/>
    <cellStyle name="T_bao cao_KH TPCP vung TNB (03-1-2012)" xfId="4013"/>
    <cellStyle name="T_bao cao_KH TPCP vung TNB (03-1-2012) 2" xfId="4014"/>
    <cellStyle name="T_BBTNG-06" xfId="4015"/>
    <cellStyle name="T_BBTNG-06 2" xfId="4016"/>
    <cellStyle name="T_BBTNG-06_!1 1 bao cao giao KH ve HTCMT vung TNB   12-12-2011" xfId="4017"/>
    <cellStyle name="T_BBTNG-06_!1 1 bao cao giao KH ve HTCMT vung TNB   12-12-2011 2" xfId="4018"/>
    <cellStyle name="T_BBTNG-06_Bieu4HTMT" xfId="4019"/>
    <cellStyle name="T_BBTNG-06_Bieu4HTMT 2" xfId="4020"/>
    <cellStyle name="T_BBTNG-06_Bieu4HTMT_!1 1 bao cao giao KH ve HTCMT vung TNB   12-12-2011" xfId="4021"/>
    <cellStyle name="T_BBTNG-06_Bieu4HTMT_!1 1 bao cao giao KH ve HTCMT vung TNB   12-12-2011 2" xfId="4022"/>
    <cellStyle name="T_BBTNG-06_Bieu4HTMT_KH TPCP vung TNB (03-1-2012)" xfId="4023"/>
    <cellStyle name="T_BBTNG-06_Bieu4HTMT_KH TPCP vung TNB (03-1-2012) 2" xfId="4024"/>
    <cellStyle name="T_BBTNG-06_KH TPCP vung TNB (03-1-2012)" xfId="4025"/>
    <cellStyle name="T_BBTNG-06_KH TPCP vung TNB (03-1-2012) 2" xfId="4026"/>
    <cellStyle name="T_BC  NAM 2007" xfId="4027"/>
    <cellStyle name="T_BC  NAM 2007 2" xfId="4028"/>
    <cellStyle name="T_BC CTMT-2008 Ttinh" xfId="4029"/>
    <cellStyle name="T_BC CTMT-2008 Ttinh 2" xfId="4030"/>
    <cellStyle name="T_BC CTMT-2008 Ttinh_!1 1 bao cao giao KH ve HTCMT vung TNB   12-12-2011" xfId="4031"/>
    <cellStyle name="T_BC CTMT-2008 Ttinh_!1 1 bao cao giao KH ve HTCMT vung TNB   12-12-2011 2" xfId="4032"/>
    <cellStyle name="T_BC CTMT-2008 Ttinh_KH TPCP vung TNB (03-1-2012)" xfId="4033"/>
    <cellStyle name="T_BC CTMT-2008 Ttinh_KH TPCP vung TNB (03-1-2012) 2" xfId="4034"/>
    <cellStyle name="T_BC nhu cau von doi ung ODA nganh NN (BKH)" xfId="4035"/>
    <cellStyle name="T_BC nhu cau von doi ung ODA nganh NN (BKH)_05-12  KH trung han 2016-2020 - Liem Thinh edited" xfId="4036"/>
    <cellStyle name="T_BC nhu cau von doi ung ODA nganh NN (BKH)_Copy of 05-12  KH trung han 2016-2020 - Liem Thinh edited (1)" xfId="4037"/>
    <cellStyle name="T_BC Tai co cau (bieu TH)" xfId="4038"/>
    <cellStyle name="T_BC Tai co cau (bieu TH)_05-12  KH trung han 2016-2020 - Liem Thinh edited" xfId="4039"/>
    <cellStyle name="T_BC Tai co cau (bieu TH)_Copy of 05-12  KH trung han 2016-2020 - Liem Thinh edited (1)" xfId="4040"/>
    <cellStyle name="T_Bieu 4.2 A, B KHCTgiong 2011" xfId="4041"/>
    <cellStyle name="T_Bieu 4.2 A, B KHCTgiong 2011 10" xfId="4042"/>
    <cellStyle name="T_Bieu 4.2 A, B KHCTgiong 2011 11" xfId="4043"/>
    <cellStyle name="T_Bieu 4.2 A, B KHCTgiong 2011 12" xfId="4044"/>
    <cellStyle name="T_Bieu 4.2 A, B KHCTgiong 2011 13" xfId="4045"/>
    <cellStyle name="T_Bieu 4.2 A, B KHCTgiong 2011 14" xfId="4046"/>
    <cellStyle name="T_Bieu 4.2 A, B KHCTgiong 2011 15" xfId="4047"/>
    <cellStyle name="T_Bieu 4.2 A, B KHCTgiong 2011 2" xfId="4048"/>
    <cellStyle name="T_Bieu 4.2 A, B KHCTgiong 2011 3" xfId="4049"/>
    <cellStyle name="T_Bieu 4.2 A, B KHCTgiong 2011 4" xfId="4050"/>
    <cellStyle name="T_Bieu 4.2 A, B KHCTgiong 2011 5" xfId="4051"/>
    <cellStyle name="T_Bieu 4.2 A, B KHCTgiong 2011 6" xfId="4052"/>
    <cellStyle name="T_Bieu 4.2 A, B KHCTgiong 2011 7" xfId="4053"/>
    <cellStyle name="T_Bieu 4.2 A, B KHCTgiong 2011 8" xfId="4054"/>
    <cellStyle name="T_Bieu 4.2 A, B KHCTgiong 2011 9" xfId="4055"/>
    <cellStyle name="T_Bieu mau cong trinh khoi cong moi 3-4" xfId="4056"/>
    <cellStyle name="T_Bieu mau cong trinh khoi cong moi 3-4 2" xfId="4057"/>
    <cellStyle name="T_Bieu mau cong trinh khoi cong moi 3-4_!1 1 bao cao giao KH ve HTCMT vung TNB   12-12-2011" xfId="4058"/>
    <cellStyle name="T_Bieu mau cong trinh khoi cong moi 3-4_!1 1 bao cao giao KH ve HTCMT vung TNB   12-12-2011 2" xfId="4059"/>
    <cellStyle name="T_Bieu mau cong trinh khoi cong moi 3-4_KH TPCP vung TNB (03-1-2012)" xfId="4060"/>
    <cellStyle name="T_Bieu mau cong trinh khoi cong moi 3-4_KH TPCP vung TNB (03-1-2012) 2" xfId="4061"/>
    <cellStyle name="T_Bieu mau danh muc du an thuoc CTMTQG nam 2008" xfId="4062"/>
    <cellStyle name="T_Bieu mau danh muc du an thuoc CTMTQG nam 2008 2" xfId="4063"/>
    <cellStyle name="T_Bieu mau danh muc du an thuoc CTMTQG nam 2008_!1 1 bao cao giao KH ve HTCMT vung TNB   12-12-2011" xfId="4064"/>
    <cellStyle name="T_Bieu mau danh muc du an thuoc CTMTQG nam 2008_!1 1 bao cao giao KH ve HTCMT vung TNB   12-12-2011 2" xfId="4065"/>
    <cellStyle name="T_Bieu mau danh muc du an thuoc CTMTQG nam 2008_KH TPCP vung TNB (03-1-2012)" xfId="4066"/>
    <cellStyle name="T_Bieu mau danh muc du an thuoc CTMTQG nam 2008_KH TPCP vung TNB (03-1-2012) 2" xfId="4067"/>
    <cellStyle name="T_Bieu tong hop nhu cau ung 2011 da chon loc -Mien nui" xfId="4068"/>
    <cellStyle name="T_Bieu tong hop nhu cau ung 2011 da chon loc -Mien nui 2" xfId="4069"/>
    <cellStyle name="T_Bieu tong hop nhu cau ung 2011 da chon loc -Mien nui_!1 1 bao cao giao KH ve HTCMT vung TNB   12-12-2011" xfId="4070"/>
    <cellStyle name="T_Bieu tong hop nhu cau ung 2011 da chon loc -Mien nui_!1 1 bao cao giao KH ve HTCMT vung TNB   12-12-2011 2" xfId="4071"/>
    <cellStyle name="T_Bieu tong hop nhu cau ung 2011 da chon loc -Mien nui_KH TPCP vung TNB (03-1-2012)" xfId="4072"/>
    <cellStyle name="T_Bieu tong hop nhu cau ung 2011 da chon loc -Mien nui_KH TPCP vung TNB (03-1-2012) 2" xfId="4073"/>
    <cellStyle name="T_Bieu3ODA" xfId="4074"/>
    <cellStyle name="T_Bieu3ODA 2" xfId="4075"/>
    <cellStyle name="T_Bieu3ODA_!1 1 bao cao giao KH ve HTCMT vung TNB   12-12-2011" xfId="4076"/>
    <cellStyle name="T_Bieu3ODA_!1 1 bao cao giao KH ve HTCMT vung TNB   12-12-2011 2" xfId="4077"/>
    <cellStyle name="T_Bieu3ODA_1" xfId="4078"/>
    <cellStyle name="T_Bieu3ODA_1 2" xfId="4079"/>
    <cellStyle name="T_Bieu3ODA_1_!1 1 bao cao giao KH ve HTCMT vung TNB   12-12-2011" xfId="4080"/>
    <cellStyle name="T_Bieu3ODA_1_!1 1 bao cao giao KH ve HTCMT vung TNB   12-12-2011 2" xfId="4081"/>
    <cellStyle name="T_Bieu3ODA_1_KH TPCP vung TNB (03-1-2012)" xfId="4082"/>
    <cellStyle name="T_Bieu3ODA_1_KH TPCP vung TNB (03-1-2012) 2" xfId="4083"/>
    <cellStyle name="T_Bieu3ODA_KH TPCP vung TNB (03-1-2012)" xfId="4084"/>
    <cellStyle name="T_Bieu3ODA_KH TPCP vung TNB (03-1-2012) 2" xfId="4085"/>
    <cellStyle name="T_Bieu4HTMT" xfId="4086"/>
    <cellStyle name="T_Bieu4HTMT 2" xfId="4087"/>
    <cellStyle name="T_Bieu4HTMT_!1 1 bao cao giao KH ve HTCMT vung TNB   12-12-2011" xfId="4088"/>
    <cellStyle name="T_Bieu4HTMT_!1 1 bao cao giao KH ve HTCMT vung TNB   12-12-2011 2" xfId="4089"/>
    <cellStyle name="T_Bieu4HTMT_KH TPCP vung TNB (03-1-2012)" xfId="4090"/>
    <cellStyle name="T_Bieu4HTMT_KH TPCP vung TNB (03-1-2012) 2" xfId="4091"/>
    <cellStyle name="T_bo sung von KCH nam 2010 va Du an tre kho khan" xfId="4092"/>
    <cellStyle name="T_bo sung von KCH nam 2010 va Du an tre kho khan 2" xfId="4093"/>
    <cellStyle name="T_bo sung von KCH nam 2010 va Du an tre kho khan_!1 1 bao cao giao KH ve HTCMT vung TNB   12-12-2011" xfId="4094"/>
    <cellStyle name="T_bo sung von KCH nam 2010 va Du an tre kho khan_!1 1 bao cao giao KH ve HTCMT vung TNB   12-12-2011 2" xfId="4095"/>
    <cellStyle name="T_bo sung von KCH nam 2010 va Du an tre kho khan_KH TPCP vung TNB (03-1-2012)" xfId="4096"/>
    <cellStyle name="T_bo sung von KCH nam 2010 va Du an tre kho khan_KH TPCP vung TNB (03-1-2012) 2" xfId="4097"/>
    <cellStyle name="T_Book1" xfId="4098"/>
    <cellStyle name="T_Book1 2" xfId="4099"/>
    <cellStyle name="T_Book1 3" xfId="4100"/>
    <cellStyle name="T_Book1_!1 1 bao cao giao KH ve HTCMT vung TNB   12-12-2011" xfId="4101"/>
    <cellStyle name="T_Book1_!1 1 bao cao giao KH ve HTCMT vung TNB   12-12-2011 2" xfId="4102"/>
    <cellStyle name="T_Book1_1" xfId="4103"/>
    <cellStyle name="T_Book1_1 2" xfId="4104"/>
    <cellStyle name="T_Book1_1_Bieu tong hop nhu cau ung 2011 da chon loc -Mien nui" xfId="4105"/>
    <cellStyle name="T_Book1_1_Bieu tong hop nhu cau ung 2011 da chon loc -Mien nui 2" xfId="4106"/>
    <cellStyle name="T_Book1_1_Bieu tong hop nhu cau ung 2011 da chon loc -Mien nui_!1 1 bao cao giao KH ve HTCMT vung TNB   12-12-2011" xfId="4107"/>
    <cellStyle name="T_Book1_1_Bieu tong hop nhu cau ung 2011 da chon loc -Mien nui_!1 1 bao cao giao KH ve HTCMT vung TNB   12-12-2011 2" xfId="4108"/>
    <cellStyle name="T_Book1_1_Bieu tong hop nhu cau ung 2011 da chon loc -Mien nui_KH TPCP vung TNB (03-1-2012)" xfId="4109"/>
    <cellStyle name="T_Book1_1_Bieu tong hop nhu cau ung 2011 da chon loc -Mien nui_KH TPCP vung TNB (03-1-2012) 2" xfId="4110"/>
    <cellStyle name="T_Book1_1_Bieu3ODA" xfId="4111"/>
    <cellStyle name="T_Book1_1_Bieu3ODA 2" xfId="4112"/>
    <cellStyle name="T_Book1_1_Bieu3ODA_!1 1 bao cao giao KH ve HTCMT vung TNB   12-12-2011" xfId="4113"/>
    <cellStyle name="T_Book1_1_Bieu3ODA_!1 1 bao cao giao KH ve HTCMT vung TNB   12-12-2011 2" xfId="4114"/>
    <cellStyle name="T_Book1_1_Bieu3ODA_KH TPCP vung TNB (03-1-2012)" xfId="4115"/>
    <cellStyle name="T_Book1_1_Bieu3ODA_KH TPCP vung TNB (03-1-2012) 2" xfId="4116"/>
    <cellStyle name="T_Book1_1_CPK" xfId="4117"/>
    <cellStyle name="T_Book1_1_CPK 2" xfId="4118"/>
    <cellStyle name="T_Book1_1_CPK_!1 1 bao cao giao KH ve HTCMT vung TNB   12-12-2011" xfId="4119"/>
    <cellStyle name="T_Book1_1_CPK_!1 1 bao cao giao KH ve HTCMT vung TNB   12-12-2011 2" xfId="4120"/>
    <cellStyle name="T_Book1_1_CPK_Bieu4HTMT" xfId="4121"/>
    <cellStyle name="T_Book1_1_CPK_Bieu4HTMT 2" xfId="4122"/>
    <cellStyle name="T_Book1_1_CPK_Bieu4HTMT_!1 1 bao cao giao KH ve HTCMT vung TNB   12-12-2011" xfId="4123"/>
    <cellStyle name="T_Book1_1_CPK_Bieu4HTMT_!1 1 bao cao giao KH ve HTCMT vung TNB   12-12-2011 2" xfId="4124"/>
    <cellStyle name="T_Book1_1_CPK_Bieu4HTMT_KH TPCP vung TNB (03-1-2012)" xfId="4125"/>
    <cellStyle name="T_Book1_1_CPK_Bieu4HTMT_KH TPCP vung TNB (03-1-2012) 2" xfId="4126"/>
    <cellStyle name="T_Book1_1_CPK_KH TPCP vung TNB (03-1-2012)" xfId="4127"/>
    <cellStyle name="T_Book1_1_CPK_KH TPCP vung TNB (03-1-2012) 2" xfId="4128"/>
    <cellStyle name="T_Book1_1_KH TPCP vung TNB (03-1-2012)" xfId="4129"/>
    <cellStyle name="T_Book1_1_KH TPCP vung TNB (03-1-2012) 2" xfId="4130"/>
    <cellStyle name="T_Book1_1_kien giang 2" xfId="4131"/>
    <cellStyle name="T_Book1_1_kien giang 2 2" xfId="4132"/>
    <cellStyle name="T_Book1_1_Luy ke von ung nam 2011 -Thoa gui ngay 12-8-2012" xfId="4133"/>
    <cellStyle name="T_Book1_1_Luy ke von ung nam 2011 -Thoa gui ngay 12-8-2012 2" xfId="4134"/>
    <cellStyle name="T_Book1_1_Luy ke von ung nam 2011 -Thoa gui ngay 12-8-2012_!1 1 bao cao giao KH ve HTCMT vung TNB   12-12-2011" xfId="4135"/>
    <cellStyle name="T_Book1_1_Luy ke von ung nam 2011 -Thoa gui ngay 12-8-2012_!1 1 bao cao giao KH ve HTCMT vung TNB   12-12-2011 2" xfId="4136"/>
    <cellStyle name="T_Book1_1_Luy ke von ung nam 2011 -Thoa gui ngay 12-8-2012_KH TPCP vung TNB (03-1-2012)" xfId="4137"/>
    <cellStyle name="T_Book1_1_Luy ke von ung nam 2011 -Thoa gui ngay 12-8-2012_KH TPCP vung TNB (03-1-2012) 2" xfId="4138"/>
    <cellStyle name="T_Book1_1_Thiet bi" xfId="4139"/>
    <cellStyle name="T_Book1_1_Thiet bi 2" xfId="4140"/>
    <cellStyle name="T_Book1_1_Thiet bi_!1 1 bao cao giao KH ve HTCMT vung TNB   12-12-2011" xfId="4141"/>
    <cellStyle name="T_Book1_1_Thiet bi_!1 1 bao cao giao KH ve HTCMT vung TNB   12-12-2011 2" xfId="4142"/>
    <cellStyle name="T_Book1_1_Thiet bi_Bieu4HTMT" xfId="4143"/>
    <cellStyle name="T_Book1_1_Thiet bi_Bieu4HTMT 2" xfId="4144"/>
    <cellStyle name="T_Book1_1_Thiet bi_Bieu4HTMT_!1 1 bao cao giao KH ve HTCMT vung TNB   12-12-2011" xfId="4145"/>
    <cellStyle name="T_Book1_1_Thiet bi_Bieu4HTMT_!1 1 bao cao giao KH ve HTCMT vung TNB   12-12-2011 2" xfId="4146"/>
    <cellStyle name="T_Book1_1_Thiet bi_Bieu4HTMT_KH TPCP vung TNB (03-1-2012)" xfId="4147"/>
    <cellStyle name="T_Book1_1_Thiet bi_Bieu4HTMT_KH TPCP vung TNB (03-1-2012) 2" xfId="4148"/>
    <cellStyle name="T_Book1_1_Thiet bi_KH TPCP vung TNB (03-1-2012)" xfId="4149"/>
    <cellStyle name="T_Book1_1_Thiet bi_KH TPCP vung TNB (03-1-2012) 2" xfId="4150"/>
    <cellStyle name="T_Book1_15_10_2013 BC nhu cau von doi ung ODA (2014-2016) ngay 15102013 Sua" xfId="4151"/>
    <cellStyle name="T_Book1_bao cao phan bo KHDT 2011(final)" xfId="4152"/>
    <cellStyle name="T_Book1_bao cao phan bo KHDT 2011(final)_BC nhu cau von doi ung ODA nganh NN (BKH)" xfId="4153"/>
    <cellStyle name="T_Book1_bao cao phan bo KHDT 2011(final)_BC Tai co cau (bieu TH)" xfId="4154"/>
    <cellStyle name="T_Book1_bao cao phan bo KHDT 2011(final)_DK 2014-2015 final" xfId="4155"/>
    <cellStyle name="T_Book1_bao cao phan bo KHDT 2011(final)_DK 2014-2015 new" xfId="4156"/>
    <cellStyle name="T_Book1_bao cao phan bo KHDT 2011(final)_DK KH CBDT 2014 11-11-2013" xfId="4157"/>
    <cellStyle name="T_Book1_bao cao phan bo KHDT 2011(final)_DK KH CBDT 2014 11-11-2013(1)" xfId="4158"/>
    <cellStyle name="T_Book1_bao cao phan bo KHDT 2011(final)_KH 2011-2015" xfId="4159"/>
    <cellStyle name="T_Book1_bao cao phan bo KHDT 2011(final)_tai co cau dau tu (tong hop)1" xfId="4160"/>
    <cellStyle name="T_Book1_BC nhu cau von doi ung ODA nganh NN (BKH)" xfId="4161"/>
    <cellStyle name="T_Book1_BC nhu cau von doi ung ODA nganh NN (BKH)_05-12  KH trung han 2016-2020 - Liem Thinh edited" xfId="4162"/>
    <cellStyle name="T_Book1_BC nhu cau von doi ung ODA nganh NN (BKH)_Copy of 05-12  KH trung han 2016-2020 - Liem Thinh edited (1)" xfId="4163"/>
    <cellStyle name="T_Book1_BC NQ11-CP - chinh sua lai" xfId="4164"/>
    <cellStyle name="T_Book1_BC NQ11-CP - chinh sua lai 2" xfId="4165"/>
    <cellStyle name="T_Book1_BC NQ11-CP-Quynh sau bieu so3" xfId="4166"/>
    <cellStyle name="T_Book1_BC NQ11-CP-Quynh sau bieu so3 2" xfId="4167"/>
    <cellStyle name="T_Book1_BC Tai co cau (bieu TH)" xfId="4168"/>
    <cellStyle name="T_Book1_BC Tai co cau (bieu TH)_05-12  KH trung han 2016-2020 - Liem Thinh edited" xfId="4169"/>
    <cellStyle name="T_Book1_BC Tai co cau (bieu TH)_Copy of 05-12  KH trung han 2016-2020 - Liem Thinh edited (1)" xfId="4170"/>
    <cellStyle name="T_Book1_BC_NQ11-CP_-_Thao_sua_lai" xfId="4171"/>
    <cellStyle name="T_Book1_BC_NQ11-CP_-_Thao_sua_lai 2" xfId="4172"/>
    <cellStyle name="T_Book1_Bieu mau cong trinh khoi cong moi 3-4" xfId="4173"/>
    <cellStyle name="T_Book1_Bieu mau cong trinh khoi cong moi 3-4 2" xfId="4174"/>
    <cellStyle name="T_Book1_Bieu mau cong trinh khoi cong moi 3-4_!1 1 bao cao giao KH ve HTCMT vung TNB   12-12-2011" xfId="4175"/>
    <cellStyle name="T_Book1_Bieu mau cong trinh khoi cong moi 3-4_!1 1 bao cao giao KH ve HTCMT vung TNB   12-12-2011 2" xfId="4176"/>
    <cellStyle name="T_Book1_Bieu mau cong trinh khoi cong moi 3-4_KH TPCP vung TNB (03-1-2012)" xfId="4177"/>
    <cellStyle name="T_Book1_Bieu mau cong trinh khoi cong moi 3-4_KH TPCP vung TNB (03-1-2012) 2" xfId="4178"/>
    <cellStyle name="T_Book1_Bieu mau danh muc du an thuoc CTMTQG nam 2008" xfId="4179"/>
    <cellStyle name="T_Book1_Bieu mau danh muc du an thuoc CTMTQG nam 2008 2" xfId="4180"/>
    <cellStyle name="T_Book1_Bieu mau danh muc du an thuoc CTMTQG nam 2008_!1 1 bao cao giao KH ve HTCMT vung TNB   12-12-2011" xfId="4181"/>
    <cellStyle name="T_Book1_Bieu mau danh muc du an thuoc CTMTQG nam 2008_!1 1 bao cao giao KH ve HTCMT vung TNB   12-12-2011 2" xfId="4182"/>
    <cellStyle name="T_Book1_Bieu mau danh muc du an thuoc CTMTQG nam 2008_KH TPCP vung TNB (03-1-2012)" xfId="4183"/>
    <cellStyle name="T_Book1_Bieu mau danh muc du an thuoc CTMTQG nam 2008_KH TPCP vung TNB (03-1-2012) 2" xfId="4184"/>
    <cellStyle name="T_Book1_Bieu tong hop nhu cau ung 2011 da chon loc -Mien nui" xfId="4185"/>
    <cellStyle name="T_Book1_Bieu tong hop nhu cau ung 2011 da chon loc -Mien nui 2" xfId="4186"/>
    <cellStyle name="T_Book1_Bieu tong hop nhu cau ung 2011 da chon loc -Mien nui_!1 1 bao cao giao KH ve HTCMT vung TNB   12-12-2011" xfId="4187"/>
    <cellStyle name="T_Book1_Bieu tong hop nhu cau ung 2011 da chon loc -Mien nui_!1 1 bao cao giao KH ve HTCMT vung TNB   12-12-2011 2" xfId="4188"/>
    <cellStyle name="T_Book1_Bieu tong hop nhu cau ung 2011 da chon loc -Mien nui_KH TPCP vung TNB (03-1-2012)" xfId="4189"/>
    <cellStyle name="T_Book1_Bieu tong hop nhu cau ung 2011 da chon loc -Mien nui_KH TPCP vung TNB (03-1-2012) 2" xfId="4190"/>
    <cellStyle name="T_Book1_Bieu3ODA" xfId="4191"/>
    <cellStyle name="T_Book1_Bieu3ODA 2" xfId="4192"/>
    <cellStyle name="T_Book1_Bieu3ODA_!1 1 bao cao giao KH ve HTCMT vung TNB   12-12-2011" xfId="4193"/>
    <cellStyle name="T_Book1_Bieu3ODA_!1 1 bao cao giao KH ve HTCMT vung TNB   12-12-2011 2" xfId="4194"/>
    <cellStyle name="T_Book1_Bieu3ODA_1" xfId="4195"/>
    <cellStyle name="T_Book1_Bieu3ODA_1 2" xfId="4196"/>
    <cellStyle name="T_Book1_Bieu3ODA_1_!1 1 bao cao giao KH ve HTCMT vung TNB   12-12-2011" xfId="4197"/>
    <cellStyle name="T_Book1_Bieu3ODA_1_!1 1 bao cao giao KH ve HTCMT vung TNB   12-12-2011 2" xfId="4198"/>
    <cellStyle name="T_Book1_Bieu3ODA_1_KH TPCP vung TNB (03-1-2012)" xfId="4199"/>
    <cellStyle name="T_Book1_Bieu3ODA_1_KH TPCP vung TNB (03-1-2012) 2" xfId="4200"/>
    <cellStyle name="T_Book1_Bieu3ODA_KH TPCP vung TNB (03-1-2012)" xfId="4201"/>
    <cellStyle name="T_Book1_Bieu3ODA_KH TPCP vung TNB (03-1-2012) 2" xfId="4202"/>
    <cellStyle name="T_Book1_Bieu4HTMT" xfId="4203"/>
    <cellStyle name="T_Book1_Bieu4HTMT 2" xfId="4204"/>
    <cellStyle name="T_Book1_Bieu4HTMT_!1 1 bao cao giao KH ve HTCMT vung TNB   12-12-2011" xfId="4205"/>
    <cellStyle name="T_Book1_Bieu4HTMT_!1 1 bao cao giao KH ve HTCMT vung TNB   12-12-2011 2" xfId="4206"/>
    <cellStyle name="T_Book1_Bieu4HTMT_KH TPCP vung TNB (03-1-2012)" xfId="4207"/>
    <cellStyle name="T_Book1_Bieu4HTMT_KH TPCP vung TNB (03-1-2012) 2" xfId="4208"/>
    <cellStyle name="T_Book1_Book1" xfId="4209"/>
    <cellStyle name="T_Book1_Book1 2" xfId="4210"/>
    <cellStyle name="T_Book1_Cong trinh co y kien LD_Dang_NN_2011-Tay nguyen-9-10" xfId="4211"/>
    <cellStyle name="T_Book1_Cong trinh co y kien LD_Dang_NN_2011-Tay nguyen-9-10 2" xfId="4212"/>
    <cellStyle name="T_Book1_Cong trinh co y kien LD_Dang_NN_2011-Tay nguyen-9-10_!1 1 bao cao giao KH ve HTCMT vung TNB   12-12-2011" xfId="4213"/>
    <cellStyle name="T_Book1_Cong trinh co y kien LD_Dang_NN_2011-Tay nguyen-9-10_!1 1 bao cao giao KH ve HTCMT vung TNB   12-12-2011 2" xfId="4214"/>
    <cellStyle name="T_Book1_Cong trinh co y kien LD_Dang_NN_2011-Tay nguyen-9-10_Bieu4HTMT" xfId="4215"/>
    <cellStyle name="T_Book1_Cong trinh co y kien LD_Dang_NN_2011-Tay nguyen-9-10_Bieu4HTMT 2" xfId="4216"/>
    <cellStyle name="T_Book1_Cong trinh co y kien LD_Dang_NN_2011-Tay nguyen-9-10_KH TPCP vung TNB (03-1-2012)" xfId="4217"/>
    <cellStyle name="T_Book1_Cong trinh co y kien LD_Dang_NN_2011-Tay nguyen-9-10_KH TPCP vung TNB (03-1-2012) 2" xfId="4218"/>
    <cellStyle name="T_Book1_CPK" xfId="4219"/>
    <cellStyle name="T_Book1_CPK 2" xfId="4220"/>
    <cellStyle name="T_Book1_danh muc chuan bi dau tu 2011 ngay 07-6-2011" xfId="4221"/>
    <cellStyle name="T_Book1_danh muc chuan bi dau tu 2011 ngay 07-6-2011 2" xfId="4222"/>
    <cellStyle name="T_Book1_dieu chinh KH 2011 ngay 26-5-2011111" xfId="4223"/>
    <cellStyle name="T_Book1_dieu chinh KH 2011 ngay 26-5-2011111 2" xfId="4224"/>
    <cellStyle name="T_Book1_DK 2014-2015 final" xfId="4225"/>
    <cellStyle name="T_Book1_DK 2014-2015 final_05-12  KH trung han 2016-2020 - Liem Thinh edited" xfId="4226"/>
    <cellStyle name="T_Book1_DK 2014-2015 final_Copy of 05-12  KH trung han 2016-2020 - Liem Thinh edited (1)" xfId="4227"/>
    <cellStyle name="T_Book1_DK 2014-2015 new" xfId="4228"/>
    <cellStyle name="T_Book1_DK 2014-2015 new_05-12  KH trung han 2016-2020 - Liem Thinh edited" xfId="4229"/>
    <cellStyle name="T_Book1_DK 2014-2015 new_Copy of 05-12  KH trung han 2016-2020 - Liem Thinh edited (1)" xfId="4230"/>
    <cellStyle name="T_Book1_DK KH CBDT 2014 11-11-2013" xfId="4231"/>
    <cellStyle name="T_Book1_DK KH CBDT 2014 11-11-2013(1)" xfId="4232"/>
    <cellStyle name="T_Book1_DK KH CBDT 2014 11-11-2013(1)_05-12  KH trung han 2016-2020 - Liem Thinh edited" xfId="4233"/>
    <cellStyle name="T_Book1_DK KH CBDT 2014 11-11-2013(1)_Copy of 05-12  KH trung han 2016-2020 - Liem Thinh edited (1)" xfId="4234"/>
    <cellStyle name="T_Book1_DK KH CBDT 2014 11-11-2013_05-12  KH trung han 2016-2020 - Liem Thinh edited" xfId="4235"/>
    <cellStyle name="T_Book1_DK KH CBDT 2014 11-11-2013_Copy of 05-12  KH trung han 2016-2020 - Liem Thinh edited (1)" xfId="4236"/>
    <cellStyle name="T_Book1_Du an khoi cong moi nam 2010" xfId="4237"/>
    <cellStyle name="T_Book1_Du an khoi cong moi nam 2010 2" xfId="4238"/>
    <cellStyle name="T_Book1_Du an khoi cong moi nam 2010_!1 1 bao cao giao KH ve HTCMT vung TNB   12-12-2011" xfId="4239"/>
    <cellStyle name="T_Book1_Du an khoi cong moi nam 2010_!1 1 bao cao giao KH ve HTCMT vung TNB   12-12-2011 2" xfId="4240"/>
    <cellStyle name="T_Book1_Du an khoi cong moi nam 2010_KH TPCP vung TNB (03-1-2012)" xfId="4241"/>
    <cellStyle name="T_Book1_Du an khoi cong moi nam 2010_KH TPCP vung TNB (03-1-2012) 2" xfId="4242"/>
    <cellStyle name="T_Book1_giao KH 2011 ngay 10-12-2010" xfId="4243"/>
    <cellStyle name="T_Book1_giao KH 2011 ngay 10-12-2010 2" xfId="4244"/>
    <cellStyle name="T_Book1_Hang Tom goi9 9-07(Cau 12 sua)" xfId="4245"/>
    <cellStyle name="T_Book1_Hang Tom goi9 9-07(Cau 12 sua) 2" xfId="4246"/>
    <cellStyle name="T_Book1_Ket qua phan bo von nam 2008" xfId="4247"/>
    <cellStyle name="T_Book1_Ket qua phan bo von nam 2008 2" xfId="4248"/>
    <cellStyle name="T_Book1_Ket qua phan bo von nam 2008_!1 1 bao cao giao KH ve HTCMT vung TNB   12-12-2011" xfId="4249"/>
    <cellStyle name="T_Book1_Ket qua phan bo von nam 2008_!1 1 bao cao giao KH ve HTCMT vung TNB   12-12-2011 2" xfId="4250"/>
    <cellStyle name="T_Book1_Ket qua phan bo von nam 2008_KH TPCP vung TNB (03-1-2012)" xfId="4251"/>
    <cellStyle name="T_Book1_Ket qua phan bo von nam 2008_KH TPCP vung TNB (03-1-2012) 2" xfId="4252"/>
    <cellStyle name="T_Book1_KH TPCP vung TNB (03-1-2012)" xfId="4253"/>
    <cellStyle name="T_Book1_KH TPCP vung TNB (03-1-2012) 2" xfId="4254"/>
    <cellStyle name="T_Book1_KH XDCB_2008 lan 2 sua ngay 10-11" xfId="4255"/>
    <cellStyle name="T_Book1_KH XDCB_2008 lan 2 sua ngay 10-11 2" xfId="4256"/>
    <cellStyle name="T_Book1_KH XDCB_2008 lan 2 sua ngay 10-11_!1 1 bao cao giao KH ve HTCMT vung TNB   12-12-2011" xfId="4257"/>
    <cellStyle name="T_Book1_KH XDCB_2008 lan 2 sua ngay 10-11_!1 1 bao cao giao KH ve HTCMT vung TNB   12-12-2011 2" xfId="4258"/>
    <cellStyle name="T_Book1_KH XDCB_2008 lan 2 sua ngay 10-11_KH TPCP vung TNB (03-1-2012)" xfId="4259"/>
    <cellStyle name="T_Book1_KH XDCB_2008 lan 2 sua ngay 10-11_KH TPCP vung TNB (03-1-2012) 2" xfId="4260"/>
    <cellStyle name="T_Book1_Khoi luong chinh Hang Tom" xfId="4261"/>
    <cellStyle name="T_Book1_Khoi luong chinh Hang Tom 2" xfId="4262"/>
    <cellStyle name="T_Book1_kien giang 2" xfId="4263"/>
    <cellStyle name="T_Book1_kien giang 2 2" xfId="4264"/>
    <cellStyle name="T_Book1_Luy ke von ung nam 2011 -Thoa gui ngay 12-8-2012" xfId="4265"/>
    <cellStyle name="T_Book1_Luy ke von ung nam 2011 -Thoa gui ngay 12-8-2012 2" xfId="4266"/>
    <cellStyle name="T_Book1_Luy ke von ung nam 2011 -Thoa gui ngay 12-8-2012_!1 1 bao cao giao KH ve HTCMT vung TNB   12-12-2011" xfId="4267"/>
    <cellStyle name="T_Book1_Luy ke von ung nam 2011 -Thoa gui ngay 12-8-2012_!1 1 bao cao giao KH ve HTCMT vung TNB   12-12-2011 2" xfId="4268"/>
    <cellStyle name="T_Book1_Luy ke von ung nam 2011 -Thoa gui ngay 12-8-2012_KH TPCP vung TNB (03-1-2012)" xfId="4269"/>
    <cellStyle name="T_Book1_Luy ke von ung nam 2011 -Thoa gui ngay 12-8-2012_KH TPCP vung TNB (03-1-2012) 2" xfId="4270"/>
    <cellStyle name="T_Book1_Nhu cau von ung truoc 2011 Tha h Hoa + Nge An gui TW" xfId="4271"/>
    <cellStyle name="T_Book1_Nhu cau von ung truoc 2011 Tha h Hoa + Nge An gui TW 2" xfId="4272"/>
    <cellStyle name="T_Book1_Nhu cau von ung truoc 2011 Tha h Hoa + Nge An gui TW_!1 1 bao cao giao KH ve HTCMT vung TNB   12-12-2011" xfId="4273"/>
    <cellStyle name="T_Book1_Nhu cau von ung truoc 2011 Tha h Hoa + Nge An gui TW_!1 1 bao cao giao KH ve HTCMT vung TNB   12-12-2011 2" xfId="4274"/>
    <cellStyle name="T_Book1_Nhu cau von ung truoc 2011 Tha h Hoa + Nge An gui TW_Bieu4HTMT" xfId="4275"/>
    <cellStyle name="T_Book1_Nhu cau von ung truoc 2011 Tha h Hoa + Nge An gui TW_Bieu4HTMT 2" xfId="4276"/>
    <cellStyle name="T_Book1_Nhu cau von ung truoc 2011 Tha h Hoa + Nge An gui TW_Bieu4HTMT_!1 1 bao cao giao KH ve HTCMT vung TNB   12-12-2011" xfId="4277"/>
    <cellStyle name="T_Book1_Nhu cau von ung truoc 2011 Tha h Hoa + Nge An gui TW_Bieu4HTMT_!1 1 bao cao giao KH ve HTCMT vung TNB   12-12-2011 2" xfId="4278"/>
    <cellStyle name="T_Book1_Nhu cau von ung truoc 2011 Tha h Hoa + Nge An gui TW_Bieu4HTMT_KH TPCP vung TNB (03-1-2012)" xfId="4279"/>
    <cellStyle name="T_Book1_Nhu cau von ung truoc 2011 Tha h Hoa + Nge An gui TW_Bieu4HTMT_KH TPCP vung TNB (03-1-2012) 2" xfId="4280"/>
    <cellStyle name="T_Book1_Nhu cau von ung truoc 2011 Tha h Hoa + Nge An gui TW_KH TPCP vung TNB (03-1-2012)" xfId="4281"/>
    <cellStyle name="T_Book1_Nhu cau von ung truoc 2011 Tha h Hoa + Nge An gui TW_KH TPCP vung TNB (03-1-2012) 2" xfId="4282"/>
    <cellStyle name="T_Book1_phu luc tong ket tinh hinh TH giai doan 03-10 (ngay 30)" xfId="4283"/>
    <cellStyle name="T_Book1_phu luc tong ket tinh hinh TH giai doan 03-10 (ngay 30) 2" xfId="4284"/>
    <cellStyle name="T_Book1_phu luc tong ket tinh hinh TH giai doan 03-10 (ngay 30)_!1 1 bao cao giao KH ve HTCMT vung TNB   12-12-2011" xfId="4285"/>
    <cellStyle name="T_Book1_phu luc tong ket tinh hinh TH giai doan 03-10 (ngay 30)_!1 1 bao cao giao KH ve HTCMT vung TNB   12-12-2011 2" xfId="4286"/>
    <cellStyle name="T_Book1_phu luc tong ket tinh hinh TH giai doan 03-10 (ngay 30)_KH TPCP vung TNB (03-1-2012)" xfId="4287"/>
    <cellStyle name="T_Book1_phu luc tong ket tinh hinh TH giai doan 03-10 (ngay 30)_KH TPCP vung TNB (03-1-2012) 2" xfId="4288"/>
    <cellStyle name="T_Book1_TH ung tren 70%-Ra soat phap ly-8-6 (dung de chuyen vao vu TH)" xfId="4289"/>
    <cellStyle name="T_Book1_TH ung tren 70%-Ra soat phap ly-8-6 (dung de chuyen vao vu TH) 2" xfId="4290"/>
    <cellStyle name="T_Book1_TH ung tren 70%-Ra soat phap ly-8-6 (dung de chuyen vao vu TH)_!1 1 bao cao giao KH ve HTCMT vung TNB   12-12-2011" xfId="4291"/>
    <cellStyle name="T_Book1_TH ung tren 70%-Ra soat phap ly-8-6 (dung de chuyen vao vu TH)_!1 1 bao cao giao KH ve HTCMT vung TNB   12-12-2011 2" xfId="4292"/>
    <cellStyle name="T_Book1_TH ung tren 70%-Ra soat phap ly-8-6 (dung de chuyen vao vu TH)_Bieu4HTMT" xfId="4293"/>
    <cellStyle name="T_Book1_TH ung tren 70%-Ra soat phap ly-8-6 (dung de chuyen vao vu TH)_Bieu4HTMT 2" xfId="4294"/>
    <cellStyle name="T_Book1_TH ung tren 70%-Ra soat phap ly-8-6 (dung de chuyen vao vu TH)_KH TPCP vung TNB (03-1-2012)" xfId="4295"/>
    <cellStyle name="T_Book1_TH ung tren 70%-Ra soat phap ly-8-6 (dung de chuyen vao vu TH)_KH TPCP vung TNB (03-1-2012) 2" xfId="4296"/>
    <cellStyle name="T_Book1_TH y kien LD_KH 2010 Ca Nuoc 22-9-2011-Gui ca Vu" xfId="4297"/>
    <cellStyle name="T_Book1_TH y kien LD_KH 2010 Ca Nuoc 22-9-2011-Gui ca Vu 2" xfId="4298"/>
    <cellStyle name="T_Book1_TH y kien LD_KH 2010 Ca Nuoc 22-9-2011-Gui ca Vu_!1 1 bao cao giao KH ve HTCMT vung TNB   12-12-2011" xfId="4299"/>
    <cellStyle name="T_Book1_TH y kien LD_KH 2010 Ca Nuoc 22-9-2011-Gui ca Vu_!1 1 bao cao giao KH ve HTCMT vung TNB   12-12-2011 2" xfId="4300"/>
    <cellStyle name="T_Book1_TH y kien LD_KH 2010 Ca Nuoc 22-9-2011-Gui ca Vu_Bieu4HTMT" xfId="4301"/>
    <cellStyle name="T_Book1_TH y kien LD_KH 2010 Ca Nuoc 22-9-2011-Gui ca Vu_Bieu4HTMT 2" xfId="4302"/>
    <cellStyle name="T_Book1_TH y kien LD_KH 2010 Ca Nuoc 22-9-2011-Gui ca Vu_KH TPCP vung TNB (03-1-2012)" xfId="4303"/>
    <cellStyle name="T_Book1_TH y kien LD_KH 2010 Ca Nuoc 22-9-2011-Gui ca Vu_KH TPCP vung TNB (03-1-2012) 2" xfId="4304"/>
    <cellStyle name="T_Book1_Thiet bi" xfId="4305"/>
    <cellStyle name="T_Book1_Thiet bi 2" xfId="4306"/>
    <cellStyle name="T_Book1_TN - Ho tro khac 2011" xfId="4307"/>
    <cellStyle name="T_Book1_TN - Ho tro khac 2011 2" xfId="4308"/>
    <cellStyle name="T_Book1_TN - Ho tro khac 2011_!1 1 bao cao giao KH ve HTCMT vung TNB   12-12-2011" xfId="4309"/>
    <cellStyle name="T_Book1_TN - Ho tro khac 2011_!1 1 bao cao giao KH ve HTCMT vung TNB   12-12-2011 2" xfId="4310"/>
    <cellStyle name="T_Book1_TN - Ho tro khac 2011_Bieu4HTMT" xfId="4311"/>
    <cellStyle name="T_Book1_TN - Ho tro khac 2011_Bieu4HTMT 2" xfId="4312"/>
    <cellStyle name="T_Book1_TN - Ho tro khac 2011_KH TPCP vung TNB (03-1-2012)" xfId="4313"/>
    <cellStyle name="T_Book1_TN - Ho tro khac 2011_KH TPCP vung TNB (03-1-2012) 2" xfId="4314"/>
    <cellStyle name="T_Book1_ung truoc 2011 NSTW Thanh Hoa + Nge An gui Thu 12-5" xfId="4315"/>
    <cellStyle name="T_Book1_ung truoc 2011 NSTW Thanh Hoa + Nge An gui Thu 12-5 2" xfId="4316"/>
    <cellStyle name="T_Book1_ung truoc 2011 NSTW Thanh Hoa + Nge An gui Thu 12-5_!1 1 bao cao giao KH ve HTCMT vung TNB   12-12-2011" xfId="4317"/>
    <cellStyle name="T_Book1_ung truoc 2011 NSTW Thanh Hoa + Nge An gui Thu 12-5_!1 1 bao cao giao KH ve HTCMT vung TNB   12-12-2011 2" xfId="4318"/>
    <cellStyle name="T_Book1_ung truoc 2011 NSTW Thanh Hoa + Nge An gui Thu 12-5_Bieu4HTMT" xfId="4319"/>
    <cellStyle name="T_Book1_ung truoc 2011 NSTW Thanh Hoa + Nge An gui Thu 12-5_Bieu4HTMT 2" xfId="4320"/>
    <cellStyle name="T_Book1_ung truoc 2011 NSTW Thanh Hoa + Nge An gui Thu 12-5_Bieu4HTMT_!1 1 bao cao giao KH ve HTCMT vung TNB   12-12-2011" xfId="4321"/>
    <cellStyle name="T_Book1_ung truoc 2011 NSTW Thanh Hoa + Nge An gui Thu 12-5_Bieu4HTMT_!1 1 bao cao giao KH ve HTCMT vung TNB   12-12-2011 2" xfId="4322"/>
    <cellStyle name="T_Book1_ung truoc 2011 NSTW Thanh Hoa + Nge An gui Thu 12-5_Bieu4HTMT_KH TPCP vung TNB (03-1-2012)" xfId="4323"/>
    <cellStyle name="T_Book1_ung truoc 2011 NSTW Thanh Hoa + Nge An gui Thu 12-5_Bieu4HTMT_KH TPCP vung TNB (03-1-2012) 2" xfId="4324"/>
    <cellStyle name="T_Book1_ung truoc 2011 NSTW Thanh Hoa + Nge An gui Thu 12-5_KH TPCP vung TNB (03-1-2012)" xfId="4325"/>
    <cellStyle name="T_Book1_ung truoc 2011 NSTW Thanh Hoa + Nge An gui Thu 12-5_KH TPCP vung TNB (03-1-2012) 2" xfId="4326"/>
    <cellStyle name="T_Book1_ÿÿÿÿÿ" xfId="4327"/>
    <cellStyle name="T_Book1_ÿÿÿÿÿ 2" xfId="4328"/>
    <cellStyle name="T_Chuan bi dau tu nam 2008" xfId="4329"/>
    <cellStyle name="T_Chuan bi dau tu nam 2008 2" xfId="4330"/>
    <cellStyle name="T_Chuan bi dau tu nam 2008_!1 1 bao cao giao KH ve HTCMT vung TNB   12-12-2011" xfId="4331"/>
    <cellStyle name="T_Chuan bi dau tu nam 2008_!1 1 bao cao giao KH ve HTCMT vung TNB   12-12-2011 2" xfId="4332"/>
    <cellStyle name="T_Chuan bi dau tu nam 2008_KH TPCP vung TNB (03-1-2012)" xfId="4333"/>
    <cellStyle name="T_Chuan bi dau tu nam 2008_KH TPCP vung TNB (03-1-2012) 2" xfId="4334"/>
    <cellStyle name="T_Copy of Bao cao  XDCB 7 thang nam 2008_So KH&amp;DT SUA" xfId="4335"/>
    <cellStyle name="T_Copy of Bao cao  XDCB 7 thang nam 2008_So KH&amp;DT SUA 2" xfId="4336"/>
    <cellStyle name="T_Copy of Bao cao  XDCB 7 thang nam 2008_So KH&amp;DT SUA_!1 1 bao cao giao KH ve HTCMT vung TNB   12-12-2011" xfId="4337"/>
    <cellStyle name="T_Copy of Bao cao  XDCB 7 thang nam 2008_So KH&amp;DT SUA_!1 1 bao cao giao KH ve HTCMT vung TNB   12-12-2011 2" xfId="4338"/>
    <cellStyle name="T_Copy of Bao cao  XDCB 7 thang nam 2008_So KH&amp;DT SUA_KH TPCP vung TNB (03-1-2012)" xfId="4339"/>
    <cellStyle name="T_Copy of Bao cao  XDCB 7 thang nam 2008_So KH&amp;DT SUA_KH TPCP vung TNB (03-1-2012) 2" xfId="4340"/>
    <cellStyle name="T_CPK" xfId="4341"/>
    <cellStyle name="T_CPK 2" xfId="4342"/>
    <cellStyle name="T_CPK_!1 1 bao cao giao KH ve HTCMT vung TNB   12-12-2011" xfId="4343"/>
    <cellStyle name="T_CPK_!1 1 bao cao giao KH ve HTCMT vung TNB   12-12-2011 2" xfId="4344"/>
    <cellStyle name="T_CPK_Bieu4HTMT" xfId="4345"/>
    <cellStyle name="T_CPK_Bieu4HTMT 2" xfId="4346"/>
    <cellStyle name="T_CPK_Bieu4HTMT_!1 1 bao cao giao KH ve HTCMT vung TNB   12-12-2011" xfId="4347"/>
    <cellStyle name="T_CPK_Bieu4HTMT_!1 1 bao cao giao KH ve HTCMT vung TNB   12-12-2011 2" xfId="4348"/>
    <cellStyle name="T_CPK_Bieu4HTMT_KH TPCP vung TNB (03-1-2012)" xfId="4349"/>
    <cellStyle name="T_CPK_Bieu4HTMT_KH TPCP vung TNB (03-1-2012) 2" xfId="4350"/>
    <cellStyle name="T_CPK_KH TPCP vung TNB (03-1-2012)" xfId="4351"/>
    <cellStyle name="T_CPK_KH TPCP vung TNB (03-1-2012) 2" xfId="4352"/>
    <cellStyle name="T_CTMTQG 2008" xfId="4353"/>
    <cellStyle name="T_CTMTQG 2008 2" xfId="4354"/>
    <cellStyle name="T_CTMTQG 2008_!1 1 bao cao giao KH ve HTCMT vung TNB   12-12-2011" xfId="4355"/>
    <cellStyle name="T_CTMTQG 2008_!1 1 bao cao giao KH ve HTCMT vung TNB   12-12-2011 2" xfId="4356"/>
    <cellStyle name="T_CTMTQG 2008_Bieu mau danh muc du an thuoc CTMTQG nam 2008" xfId="4357"/>
    <cellStyle name="T_CTMTQG 2008_Bieu mau danh muc du an thuoc CTMTQG nam 2008 2" xfId="4358"/>
    <cellStyle name="T_CTMTQG 2008_Bieu mau danh muc du an thuoc CTMTQG nam 2008_!1 1 bao cao giao KH ve HTCMT vung TNB   12-12-2011" xfId="4359"/>
    <cellStyle name="T_CTMTQG 2008_Bieu mau danh muc du an thuoc CTMTQG nam 2008_!1 1 bao cao giao KH ve HTCMT vung TNB   12-12-2011 2" xfId="4360"/>
    <cellStyle name="T_CTMTQG 2008_Bieu mau danh muc du an thuoc CTMTQG nam 2008_KH TPCP vung TNB (03-1-2012)" xfId="4361"/>
    <cellStyle name="T_CTMTQG 2008_Bieu mau danh muc du an thuoc CTMTQG nam 2008_KH TPCP vung TNB (03-1-2012) 2" xfId="4362"/>
    <cellStyle name="T_CTMTQG 2008_Hi-Tong hop KQ phan bo KH nam 08- LD fong giao 15-11-08" xfId="4363"/>
    <cellStyle name="T_CTMTQG 2008_Hi-Tong hop KQ phan bo KH nam 08- LD fong giao 15-11-08 2" xfId="4364"/>
    <cellStyle name="T_CTMTQG 2008_Hi-Tong hop KQ phan bo KH nam 08- LD fong giao 15-11-08_!1 1 bao cao giao KH ve HTCMT vung TNB   12-12-2011" xfId="4365"/>
    <cellStyle name="T_CTMTQG 2008_Hi-Tong hop KQ phan bo KH nam 08- LD fong giao 15-11-08_!1 1 bao cao giao KH ve HTCMT vung TNB   12-12-2011 2" xfId="4366"/>
    <cellStyle name="T_CTMTQG 2008_Hi-Tong hop KQ phan bo KH nam 08- LD fong giao 15-11-08_KH TPCP vung TNB (03-1-2012)" xfId="4367"/>
    <cellStyle name="T_CTMTQG 2008_Hi-Tong hop KQ phan bo KH nam 08- LD fong giao 15-11-08_KH TPCP vung TNB (03-1-2012) 2" xfId="4368"/>
    <cellStyle name="T_CTMTQG 2008_Ket qua thuc hien nam 2008" xfId="4369"/>
    <cellStyle name="T_CTMTQG 2008_Ket qua thuc hien nam 2008 2" xfId="4370"/>
    <cellStyle name="T_CTMTQG 2008_Ket qua thuc hien nam 2008_!1 1 bao cao giao KH ve HTCMT vung TNB   12-12-2011" xfId="4371"/>
    <cellStyle name="T_CTMTQG 2008_Ket qua thuc hien nam 2008_!1 1 bao cao giao KH ve HTCMT vung TNB   12-12-2011 2" xfId="4372"/>
    <cellStyle name="T_CTMTQG 2008_Ket qua thuc hien nam 2008_KH TPCP vung TNB (03-1-2012)" xfId="4373"/>
    <cellStyle name="T_CTMTQG 2008_Ket qua thuc hien nam 2008_KH TPCP vung TNB (03-1-2012) 2" xfId="4374"/>
    <cellStyle name="T_CTMTQG 2008_KH TPCP vung TNB (03-1-2012)" xfId="4375"/>
    <cellStyle name="T_CTMTQG 2008_KH TPCP vung TNB (03-1-2012) 2" xfId="4376"/>
    <cellStyle name="T_CTMTQG 2008_KH XDCB_2008 lan 1" xfId="4377"/>
    <cellStyle name="T_CTMTQG 2008_KH XDCB_2008 lan 1 2" xfId="4378"/>
    <cellStyle name="T_CTMTQG 2008_KH XDCB_2008 lan 1 sua ngay 27-10" xfId="4379"/>
    <cellStyle name="T_CTMTQG 2008_KH XDCB_2008 lan 1 sua ngay 27-10 2" xfId="4380"/>
    <cellStyle name="T_CTMTQG 2008_KH XDCB_2008 lan 1 sua ngay 27-10_!1 1 bao cao giao KH ve HTCMT vung TNB   12-12-2011" xfId="4381"/>
    <cellStyle name="T_CTMTQG 2008_KH XDCB_2008 lan 1 sua ngay 27-10_!1 1 bao cao giao KH ve HTCMT vung TNB   12-12-2011 2" xfId="4382"/>
    <cellStyle name="T_CTMTQG 2008_KH XDCB_2008 lan 1 sua ngay 27-10_KH TPCP vung TNB (03-1-2012)" xfId="4383"/>
    <cellStyle name="T_CTMTQG 2008_KH XDCB_2008 lan 1 sua ngay 27-10_KH TPCP vung TNB (03-1-2012) 2" xfId="4384"/>
    <cellStyle name="T_CTMTQG 2008_KH XDCB_2008 lan 1_!1 1 bao cao giao KH ve HTCMT vung TNB   12-12-2011" xfId="4385"/>
    <cellStyle name="T_CTMTQG 2008_KH XDCB_2008 lan 1_!1 1 bao cao giao KH ve HTCMT vung TNB   12-12-2011 2" xfId="4386"/>
    <cellStyle name="T_CTMTQG 2008_KH XDCB_2008 lan 1_KH TPCP vung TNB (03-1-2012)" xfId="4387"/>
    <cellStyle name="T_CTMTQG 2008_KH XDCB_2008 lan 1_KH TPCP vung TNB (03-1-2012) 2" xfId="4388"/>
    <cellStyle name="T_CTMTQG 2008_KH XDCB_2008 lan 2 sua ngay 10-11" xfId="4389"/>
    <cellStyle name="T_CTMTQG 2008_KH XDCB_2008 lan 2 sua ngay 10-11 2" xfId="4390"/>
    <cellStyle name="T_CTMTQG 2008_KH XDCB_2008 lan 2 sua ngay 10-11_!1 1 bao cao giao KH ve HTCMT vung TNB   12-12-2011" xfId="4391"/>
    <cellStyle name="T_CTMTQG 2008_KH XDCB_2008 lan 2 sua ngay 10-11_!1 1 bao cao giao KH ve HTCMT vung TNB   12-12-2011 2" xfId="4392"/>
    <cellStyle name="T_CTMTQG 2008_KH XDCB_2008 lan 2 sua ngay 10-11_KH TPCP vung TNB (03-1-2012)" xfId="4393"/>
    <cellStyle name="T_CTMTQG 2008_KH XDCB_2008 lan 2 sua ngay 10-11_KH TPCP vung TNB (03-1-2012) 2" xfId="4394"/>
    <cellStyle name="T_danh muc chuan bi dau tu 2011 ngay 07-6-2011" xfId="4395"/>
    <cellStyle name="T_danh muc chuan bi dau tu 2011 ngay 07-6-2011 2" xfId="4396"/>
    <cellStyle name="T_danh muc chuan bi dau tu 2011 ngay 07-6-2011_!1 1 bao cao giao KH ve HTCMT vung TNB   12-12-2011" xfId="4397"/>
    <cellStyle name="T_danh muc chuan bi dau tu 2011 ngay 07-6-2011_!1 1 bao cao giao KH ve HTCMT vung TNB   12-12-2011 2" xfId="4398"/>
    <cellStyle name="T_danh muc chuan bi dau tu 2011 ngay 07-6-2011_KH TPCP vung TNB (03-1-2012)" xfId="4399"/>
    <cellStyle name="T_danh muc chuan bi dau tu 2011 ngay 07-6-2011_KH TPCP vung TNB (03-1-2012) 2" xfId="4400"/>
    <cellStyle name="T_Danh muc pbo nguon von XSKT, XDCB nam 2009 chuyen qua nam 2010" xfId="4401"/>
    <cellStyle name="T_Danh muc pbo nguon von XSKT, XDCB nam 2009 chuyen qua nam 2010 2" xfId="4402"/>
    <cellStyle name="T_Danh muc pbo nguon von XSKT, XDCB nam 2009 chuyen qua nam 2010_!1 1 bao cao giao KH ve HTCMT vung TNB   12-12-2011" xfId="4403"/>
    <cellStyle name="T_Danh muc pbo nguon von XSKT, XDCB nam 2009 chuyen qua nam 2010_!1 1 bao cao giao KH ve HTCMT vung TNB   12-12-2011 2" xfId="4404"/>
    <cellStyle name="T_Danh muc pbo nguon von XSKT, XDCB nam 2009 chuyen qua nam 2010_KH TPCP vung TNB (03-1-2012)" xfId="4405"/>
    <cellStyle name="T_Danh muc pbo nguon von XSKT, XDCB nam 2009 chuyen qua nam 2010_KH TPCP vung TNB (03-1-2012) 2" xfId="4406"/>
    <cellStyle name="T_dieu chinh KH 2011 ngay 26-5-2011111" xfId="4407"/>
    <cellStyle name="T_dieu chinh KH 2011 ngay 26-5-2011111 2" xfId="4408"/>
    <cellStyle name="T_dieu chinh KH 2011 ngay 26-5-2011111_!1 1 bao cao giao KH ve HTCMT vung TNB   12-12-2011" xfId="4409"/>
    <cellStyle name="T_dieu chinh KH 2011 ngay 26-5-2011111_!1 1 bao cao giao KH ve HTCMT vung TNB   12-12-2011 2" xfId="4410"/>
    <cellStyle name="T_dieu chinh KH 2011 ngay 26-5-2011111_KH TPCP vung TNB (03-1-2012)" xfId="4411"/>
    <cellStyle name="T_dieu chinh KH 2011 ngay 26-5-2011111_KH TPCP vung TNB (03-1-2012) 2" xfId="4412"/>
    <cellStyle name="T_DK 2014-2015 final" xfId="4413"/>
    <cellStyle name="T_DK 2014-2015 final_05-12  KH trung han 2016-2020 - Liem Thinh edited" xfId="4414"/>
    <cellStyle name="T_DK 2014-2015 final_Copy of 05-12  KH trung han 2016-2020 - Liem Thinh edited (1)" xfId="4415"/>
    <cellStyle name="T_DK 2014-2015 new" xfId="4416"/>
    <cellStyle name="T_DK 2014-2015 new_05-12  KH trung han 2016-2020 - Liem Thinh edited" xfId="4417"/>
    <cellStyle name="T_DK 2014-2015 new_Copy of 05-12  KH trung han 2016-2020 - Liem Thinh edited (1)" xfId="4418"/>
    <cellStyle name="T_DK KH CBDT 2014 11-11-2013" xfId="4419"/>
    <cellStyle name="T_DK KH CBDT 2014 11-11-2013(1)" xfId="4420"/>
    <cellStyle name="T_DK KH CBDT 2014 11-11-2013(1)_05-12  KH trung han 2016-2020 - Liem Thinh edited" xfId="4421"/>
    <cellStyle name="T_DK KH CBDT 2014 11-11-2013(1)_Copy of 05-12  KH trung han 2016-2020 - Liem Thinh edited (1)" xfId="4422"/>
    <cellStyle name="T_DK KH CBDT 2014 11-11-2013_05-12  KH trung han 2016-2020 - Liem Thinh edited" xfId="4423"/>
    <cellStyle name="T_DK KH CBDT 2014 11-11-2013_Copy of 05-12  KH trung han 2016-2020 - Liem Thinh edited (1)" xfId="4424"/>
    <cellStyle name="T_DS KCH PHAN BO VON NSDP NAM 2010" xfId="4425"/>
    <cellStyle name="T_DS KCH PHAN BO VON NSDP NAM 2010 2" xfId="4426"/>
    <cellStyle name="T_DS KCH PHAN BO VON NSDP NAM 2010_!1 1 bao cao giao KH ve HTCMT vung TNB   12-12-2011" xfId="4427"/>
    <cellStyle name="T_DS KCH PHAN BO VON NSDP NAM 2010_!1 1 bao cao giao KH ve HTCMT vung TNB   12-12-2011 2" xfId="4428"/>
    <cellStyle name="T_DS KCH PHAN BO VON NSDP NAM 2010_KH TPCP vung TNB (03-1-2012)" xfId="4429"/>
    <cellStyle name="T_DS KCH PHAN BO VON NSDP NAM 2010_KH TPCP vung TNB (03-1-2012) 2" xfId="4430"/>
    <cellStyle name="T_Du an khoi cong moi nam 2010" xfId="4431"/>
    <cellStyle name="T_Du an khoi cong moi nam 2010 2" xfId="4432"/>
    <cellStyle name="T_Du an khoi cong moi nam 2010_!1 1 bao cao giao KH ve HTCMT vung TNB   12-12-2011" xfId="4433"/>
    <cellStyle name="T_Du an khoi cong moi nam 2010_!1 1 bao cao giao KH ve HTCMT vung TNB   12-12-2011 2" xfId="4434"/>
    <cellStyle name="T_Du an khoi cong moi nam 2010_KH TPCP vung TNB (03-1-2012)" xfId="4435"/>
    <cellStyle name="T_Du an khoi cong moi nam 2010_KH TPCP vung TNB (03-1-2012) 2" xfId="4436"/>
    <cellStyle name="T_DU AN TKQH VA CHUAN BI DAU TU NAM 2007 sua ngay 9-11" xfId="4437"/>
    <cellStyle name="T_DU AN TKQH VA CHUAN BI DAU TU NAM 2007 sua ngay 9-11 2" xfId="4438"/>
    <cellStyle name="T_DU AN TKQH VA CHUAN BI DAU TU NAM 2007 sua ngay 9-11_!1 1 bao cao giao KH ve HTCMT vung TNB   12-12-2011" xfId="4439"/>
    <cellStyle name="T_DU AN TKQH VA CHUAN BI DAU TU NAM 2007 sua ngay 9-11_!1 1 bao cao giao KH ve HTCMT vung TNB   12-12-2011 2" xfId="4440"/>
    <cellStyle name="T_DU AN TKQH VA CHUAN BI DAU TU NAM 2007 sua ngay 9-11_Bieu mau danh muc du an thuoc CTMTQG nam 2008" xfId="4441"/>
    <cellStyle name="T_DU AN TKQH VA CHUAN BI DAU TU NAM 2007 sua ngay 9-11_Bieu mau danh muc du an thuoc CTMTQG nam 2008 2" xfId="4442"/>
    <cellStyle name="T_DU AN TKQH VA CHUAN BI DAU TU NAM 2007 sua ngay 9-11_Bieu mau danh muc du an thuoc CTMTQG nam 2008_!1 1 bao cao giao KH ve HTCMT vung TNB   12-12-2011" xfId="4443"/>
    <cellStyle name="T_DU AN TKQH VA CHUAN BI DAU TU NAM 2007 sua ngay 9-11_Bieu mau danh muc du an thuoc CTMTQG nam 2008_!1 1 bao cao giao KH ve HTCMT vung TNB   12-12-2011 2" xfId="4444"/>
    <cellStyle name="T_DU AN TKQH VA CHUAN BI DAU TU NAM 2007 sua ngay 9-11_Bieu mau danh muc du an thuoc CTMTQG nam 2008_KH TPCP vung TNB (03-1-2012)" xfId="4445"/>
    <cellStyle name="T_DU AN TKQH VA CHUAN BI DAU TU NAM 2007 sua ngay 9-11_Bieu mau danh muc du an thuoc CTMTQG nam 2008_KH TPCP vung TNB (03-1-2012) 2" xfId="4446"/>
    <cellStyle name="T_DU AN TKQH VA CHUAN BI DAU TU NAM 2007 sua ngay 9-11_Du an khoi cong moi nam 2010" xfId="4447"/>
    <cellStyle name="T_DU AN TKQH VA CHUAN BI DAU TU NAM 2007 sua ngay 9-11_Du an khoi cong moi nam 2010 2" xfId="4448"/>
    <cellStyle name="T_DU AN TKQH VA CHUAN BI DAU TU NAM 2007 sua ngay 9-11_Du an khoi cong moi nam 2010_!1 1 bao cao giao KH ve HTCMT vung TNB   12-12-2011" xfId="4449"/>
    <cellStyle name="T_DU AN TKQH VA CHUAN BI DAU TU NAM 2007 sua ngay 9-11_Du an khoi cong moi nam 2010_!1 1 bao cao giao KH ve HTCMT vung TNB   12-12-2011 2" xfId="4450"/>
    <cellStyle name="T_DU AN TKQH VA CHUAN BI DAU TU NAM 2007 sua ngay 9-11_Du an khoi cong moi nam 2010_KH TPCP vung TNB (03-1-2012)" xfId="4451"/>
    <cellStyle name="T_DU AN TKQH VA CHUAN BI DAU TU NAM 2007 sua ngay 9-11_Du an khoi cong moi nam 2010_KH TPCP vung TNB (03-1-2012) 2" xfId="4452"/>
    <cellStyle name="T_DU AN TKQH VA CHUAN BI DAU TU NAM 2007 sua ngay 9-11_Ket qua phan bo von nam 2008" xfId="4453"/>
    <cellStyle name="T_DU AN TKQH VA CHUAN BI DAU TU NAM 2007 sua ngay 9-11_Ket qua phan bo von nam 2008 2" xfId="4454"/>
    <cellStyle name="T_DU AN TKQH VA CHUAN BI DAU TU NAM 2007 sua ngay 9-11_Ket qua phan bo von nam 2008_!1 1 bao cao giao KH ve HTCMT vung TNB   12-12-2011" xfId="4455"/>
    <cellStyle name="T_DU AN TKQH VA CHUAN BI DAU TU NAM 2007 sua ngay 9-11_Ket qua phan bo von nam 2008_!1 1 bao cao giao KH ve HTCMT vung TNB   12-12-2011 2" xfId="4456"/>
    <cellStyle name="T_DU AN TKQH VA CHUAN BI DAU TU NAM 2007 sua ngay 9-11_Ket qua phan bo von nam 2008_!1 1 bao cao giao KH ve HTCMT vung TNB   12-12-2011 2 2" xfId="4457"/>
    <cellStyle name="T_DU AN TKQH VA CHUAN BI DAU TU NAM 2007 sua ngay 9-11_Ket qua phan bo von nam 2008_!1 1 bao cao giao KH ve HTCMT vung TNB   12-12-2011 3" xfId="4458"/>
    <cellStyle name="T_DU AN TKQH VA CHUAN BI DAU TU NAM 2007 sua ngay 9-11_Ket qua phan bo von nam 2008_KH TPCP vung TNB (03-1-2012)" xfId="4459"/>
    <cellStyle name="T_DU AN TKQH VA CHUAN BI DAU TU NAM 2007 sua ngay 9-11_Ket qua phan bo von nam 2008_KH TPCP vung TNB (03-1-2012) 2" xfId="4460"/>
    <cellStyle name="T_DU AN TKQH VA CHUAN BI DAU TU NAM 2007 sua ngay 9-11_Ket qua phan bo von nam 2008_KH TPCP vung TNB (03-1-2012) 2 2" xfId="4461"/>
    <cellStyle name="T_DU AN TKQH VA CHUAN BI DAU TU NAM 2007 sua ngay 9-11_Ket qua phan bo von nam 2008_KH TPCP vung TNB (03-1-2012) 3" xfId="4462"/>
    <cellStyle name="T_DU AN TKQH VA CHUAN BI DAU TU NAM 2007 sua ngay 9-11_KH TPCP vung TNB (03-1-2012)" xfId="4463"/>
    <cellStyle name="T_DU AN TKQH VA CHUAN BI DAU TU NAM 2007 sua ngay 9-11_KH TPCP vung TNB (03-1-2012) 2" xfId="4464"/>
    <cellStyle name="T_DU AN TKQH VA CHUAN BI DAU TU NAM 2007 sua ngay 9-11_KH TPCP vung TNB (03-1-2012) 2 2" xfId="4465"/>
    <cellStyle name="T_DU AN TKQH VA CHUAN BI DAU TU NAM 2007 sua ngay 9-11_KH TPCP vung TNB (03-1-2012) 3" xfId="4466"/>
    <cellStyle name="T_DU AN TKQH VA CHUAN BI DAU TU NAM 2007 sua ngay 9-11_KH XDCB_2008 lan 2 sua ngay 10-11" xfId="4467"/>
    <cellStyle name="T_DU AN TKQH VA CHUAN BI DAU TU NAM 2007 sua ngay 9-11_KH XDCB_2008 lan 2 sua ngay 10-11 2" xfId="4468"/>
    <cellStyle name="T_DU AN TKQH VA CHUAN BI DAU TU NAM 2007 sua ngay 9-11_KH XDCB_2008 lan 2 sua ngay 10-11 2 2" xfId="4469"/>
    <cellStyle name="T_DU AN TKQH VA CHUAN BI DAU TU NAM 2007 sua ngay 9-11_KH XDCB_2008 lan 2 sua ngay 10-11 3" xfId="4470"/>
    <cellStyle name="T_DU AN TKQH VA CHUAN BI DAU TU NAM 2007 sua ngay 9-11_KH XDCB_2008 lan 2 sua ngay 10-11_!1 1 bao cao giao KH ve HTCMT vung TNB   12-12-2011" xfId="4471"/>
    <cellStyle name="T_DU AN TKQH VA CHUAN BI DAU TU NAM 2007 sua ngay 9-11_KH XDCB_2008 lan 2 sua ngay 10-11_!1 1 bao cao giao KH ve HTCMT vung TNB   12-12-2011 2" xfId="4472"/>
    <cellStyle name="T_DU AN TKQH VA CHUAN BI DAU TU NAM 2007 sua ngay 9-11_KH XDCB_2008 lan 2 sua ngay 10-11_!1 1 bao cao giao KH ve HTCMT vung TNB   12-12-2011 2 2" xfId="4473"/>
    <cellStyle name="T_DU AN TKQH VA CHUAN BI DAU TU NAM 2007 sua ngay 9-11_KH XDCB_2008 lan 2 sua ngay 10-11_!1 1 bao cao giao KH ve HTCMT vung TNB   12-12-2011 3" xfId="4474"/>
    <cellStyle name="T_DU AN TKQH VA CHUAN BI DAU TU NAM 2007 sua ngay 9-11_KH XDCB_2008 lan 2 sua ngay 10-11_KH TPCP vung TNB (03-1-2012)" xfId="4475"/>
    <cellStyle name="T_DU AN TKQH VA CHUAN BI DAU TU NAM 2007 sua ngay 9-11_KH XDCB_2008 lan 2 sua ngay 10-11_KH TPCP vung TNB (03-1-2012) 2" xfId="4476"/>
    <cellStyle name="T_DU AN TKQH VA CHUAN BI DAU TU NAM 2007 sua ngay 9-11_KH XDCB_2008 lan 2 sua ngay 10-11_KH TPCP vung TNB (03-1-2012) 2 2" xfId="4477"/>
    <cellStyle name="T_DU AN TKQH VA CHUAN BI DAU TU NAM 2007 sua ngay 9-11_KH XDCB_2008 lan 2 sua ngay 10-11_KH TPCP vung TNB (03-1-2012) 3" xfId="4478"/>
    <cellStyle name="T_du toan dieu chinh  20-8-2006" xfId="4479"/>
    <cellStyle name="T_du toan dieu chinh  20-8-2006 2" xfId="4480"/>
    <cellStyle name="T_du toan dieu chinh  20-8-2006 2 2" xfId="4481"/>
    <cellStyle name="T_du toan dieu chinh  20-8-2006 3" xfId="4482"/>
    <cellStyle name="T_du toan dieu chinh  20-8-2006_!1 1 bao cao giao KH ve HTCMT vung TNB   12-12-2011" xfId="4483"/>
    <cellStyle name="T_du toan dieu chinh  20-8-2006_!1 1 bao cao giao KH ve HTCMT vung TNB   12-12-2011 2" xfId="4484"/>
    <cellStyle name="T_du toan dieu chinh  20-8-2006_!1 1 bao cao giao KH ve HTCMT vung TNB   12-12-2011 2 2" xfId="4485"/>
    <cellStyle name="T_du toan dieu chinh  20-8-2006_!1 1 bao cao giao KH ve HTCMT vung TNB   12-12-2011 3" xfId="4486"/>
    <cellStyle name="T_du toan dieu chinh  20-8-2006_Bieu4HTMT" xfId="4487"/>
    <cellStyle name="T_du toan dieu chinh  20-8-2006_Bieu4HTMT 2" xfId="4488"/>
    <cellStyle name="T_du toan dieu chinh  20-8-2006_Bieu4HTMT 2 2" xfId="4489"/>
    <cellStyle name="T_du toan dieu chinh  20-8-2006_Bieu4HTMT 3" xfId="4490"/>
    <cellStyle name="T_du toan dieu chinh  20-8-2006_Bieu4HTMT_!1 1 bao cao giao KH ve HTCMT vung TNB   12-12-2011" xfId="4491"/>
    <cellStyle name="T_du toan dieu chinh  20-8-2006_Bieu4HTMT_!1 1 bao cao giao KH ve HTCMT vung TNB   12-12-2011 2" xfId="4492"/>
    <cellStyle name="T_du toan dieu chinh  20-8-2006_Bieu4HTMT_!1 1 bao cao giao KH ve HTCMT vung TNB   12-12-2011 2 2" xfId="4493"/>
    <cellStyle name="T_du toan dieu chinh  20-8-2006_Bieu4HTMT_!1 1 bao cao giao KH ve HTCMT vung TNB   12-12-2011 3" xfId="4494"/>
    <cellStyle name="T_du toan dieu chinh  20-8-2006_Bieu4HTMT_KH TPCP vung TNB (03-1-2012)" xfId="4495"/>
    <cellStyle name="T_du toan dieu chinh  20-8-2006_Bieu4HTMT_KH TPCP vung TNB (03-1-2012) 2" xfId="4496"/>
    <cellStyle name="T_du toan dieu chinh  20-8-2006_Bieu4HTMT_KH TPCP vung TNB (03-1-2012) 2 2" xfId="4497"/>
    <cellStyle name="T_du toan dieu chinh  20-8-2006_Bieu4HTMT_KH TPCP vung TNB (03-1-2012) 3" xfId="4498"/>
    <cellStyle name="T_du toan dieu chinh  20-8-2006_KH TPCP vung TNB (03-1-2012)" xfId="4499"/>
    <cellStyle name="T_du toan dieu chinh  20-8-2006_KH TPCP vung TNB (03-1-2012) 2" xfId="4500"/>
    <cellStyle name="T_du toan dieu chinh  20-8-2006_KH TPCP vung TNB (03-1-2012) 2 2" xfId="4501"/>
    <cellStyle name="T_du toan dieu chinh  20-8-2006_KH TPCP vung TNB (03-1-2012) 3" xfId="4502"/>
    <cellStyle name="T_giao KH 2011 ngay 10-12-2010" xfId="4503"/>
    <cellStyle name="T_giao KH 2011 ngay 10-12-2010 2" xfId="4504"/>
    <cellStyle name="T_giao KH 2011 ngay 10-12-2010 2 2" xfId="4505"/>
    <cellStyle name="T_giao KH 2011 ngay 10-12-2010 3" xfId="4506"/>
    <cellStyle name="T_giao KH 2011 ngay 10-12-2010_!1 1 bao cao giao KH ve HTCMT vung TNB   12-12-2011" xfId="4507"/>
    <cellStyle name="T_giao KH 2011 ngay 10-12-2010_!1 1 bao cao giao KH ve HTCMT vung TNB   12-12-2011 2" xfId="4508"/>
    <cellStyle name="T_giao KH 2011 ngay 10-12-2010_!1 1 bao cao giao KH ve HTCMT vung TNB   12-12-2011 2 2" xfId="4509"/>
    <cellStyle name="T_giao KH 2011 ngay 10-12-2010_!1 1 bao cao giao KH ve HTCMT vung TNB   12-12-2011 3" xfId="4510"/>
    <cellStyle name="T_giao KH 2011 ngay 10-12-2010_KH TPCP vung TNB (03-1-2012)" xfId="4511"/>
    <cellStyle name="T_giao KH 2011 ngay 10-12-2010_KH TPCP vung TNB (03-1-2012) 2" xfId="4512"/>
    <cellStyle name="T_giao KH 2011 ngay 10-12-2010_KH TPCP vung TNB (03-1-2012) 2 2" xfId="4513"/>
    <cellStyle name="T_giao KH 2011 ngay 10-12-2010_KH TPCP vung TNB (03-1-2012) 3" xfId="4514"/>
    <cellStyle name="T_Ht-PTq1-03" xfId="4515"/>
    <cellStyle name="T_Ht-PTq1-03 2" xfId="4516"/>
    <cellStyle name="T_Ht-PTq1-03 2 2" xfId="4517"/>
    <cellStyle name="T_Ht-PTq1-03 3" xfId="4518"/>
    <cellStyle name="T_Ht-PTq1-03_!1 1 bao cao giao KH ve HTCMT vung TNB   12-12-2011" xfId="4519"/>
    <cellStyle name="T_Ht-PTq1-03_!1 1 bao cao giao KH ve HTCMT vung TNB   12-12-2011 2" xfId="4520"/>
    <cellStyle name="T_Ht-PTq1-03_!1 1 bao cao giao KH ve HTCMT vung TNB   12-12-2011 2 2" xfId="4521"/>
    <cellStyle name="T_Ht-PTq1-03_!1 1 bao cao giao KH ve HTCMT vung TNB   12-12-2011 3" xfId="4522"/>
    <cellStyle name="T_Ht-PTq1-03_kien giang 2" xfId="4523"/>
    <cellStyle name="T_Ht-PTq1-03_kien giang 2 2" xfId="4524"/>
    <cellStyle name="T_Ht-PTq1-03_kien giang 2 2 2" xfId="4525"/>
    <cellStyle name="T_Ht-PTq1-03_kien giang 2 3" xfId="4526"/>
    <cellStyle name="T_Ke hoach KTXH  nam 2009_PKT thang 11 nam 2008" xfId="4527"/>
    <cellStyle name="T_Ke hoach KTXH  nam 2009_PKT thang 11 nam 2008 2" xfId="4528"/>
    <cellStyle name="T_Ke hoach KTXH  nam 2009_PKT thang 11 nam 2008 2 2" xfId="4529"/>
    <cellStyle name="T_Ke hoach KTXH  nam 2009_PKT thang 11 nam 2008 3" xfId="4530"/>
    <cellStyle name="T_Ke hoach KTXH  nam 2009_PKT thang 11 nam 2008_!1 1 bao cao giao KH ve HTCMT vung TNB   12-12-2011" xfId="4531"/>
    <cellStyle name="T_Ke hoach KTXH  nam 2009_PKT thang 11 nam 2008_!1 1 bao cao giao KH ve HTCMT vung TNB   12-12-2011 2" xfId="4532"/>
    <cellStyle name="T_Ke hoach KTXH  nam 2009_PKT thang 11 nam 2008_!1 1 bao cao giao KH ve HTCMT vung TNB   12-12-2011 2 2" xfId="4533"/>
    <cellStyle name="T_Ke hoach KTXH  nam 2009_PKT thang 11 nam 2008_!1 1 bao cao giao KH ve HTCMT vung TNB   12-12-2011 3" xfId="4534"/>
    <cellStyle name="T_Ke hoach KTXH  nam 2009_PKT thang 11 nam 2008_KH TPCP vung TNB (03-1-2012)" xfId="4535"/>
    <cellStyle name="T_Ke hoach KTXH  nam 2009_PKT thang 11 nam 2008_KH TPCP vung TNB (03-1-2012) 2" xfId="4536"/>
    <cellStyle name="T_Ke hoach KTXH  nam 2009_PKT thang 11 nam 2008_KH TPCP vung TNB (03-1-2012) 2 2" xfId="4537"/>
    <cellStyle name="T_Ke hoach KTXH  nam 2009_PKT thang 11 nam 2008_KH TPCP vung TNB (03-1-2012) 3" xfId="4538"/>
    <cellStyle name="T_Ket qua dau thau" xfId="4539"/>
    <cellStyle name="T_Ket qua dau thau 2" xfId="4540"/>
    <cellStyle name="T_Ket qua dau thau 2 2" xfId="4541"/>
    <cellStyle name="T_Ket qua dau thau 3" xfId="4542"/>
    <cellStyle name="T_Ket qua dau thau_!1 1 bao cao giao KH ve HTCMT vung TNB   12-12-2011" xfId="4543"/>
    <cellStyle name="T_Ket qua dau thau_!1 1 bao cao giao KH ve HTCMT vung TNB   12-12-2011 2" xfId="4544"/>
    <cellStyle name="T_Ket qua dau thau_!1 1 bao cao giao KH ve HTCMT vung TNB   12-12-2011 2 2" xfId="4545"/>
    <cellStyle name="T_Ket qua dau thau_!1 1 bao cao giao KH ve HTCMT vung TNB   12-12-2011 3" xfId="4546"/>
    <cellStyle name="T_Ket qua dau thau_KH TPCP vung TNB (03-1-2012)" xfId="4547"/>
    <cellStyle name="T_Ket qua dau thau_KH TPCP vung TNB (03-1-2012) 2" xfId="4548"/>
    <cellStyle name="T_Ket qua dau thau_KH TPCP vung TNB (03-1-2012) 2 2" xfId="4549"/>
    <cellStyle name="T_Ket qua dau thau_KH TPCP vung TNB (03-1-2012) 3" xfId="4550"/>
    <cellStyle name="T_Ket qua phan bo von nam 2008" xfId="4551"/>
    <cellStyle name="T_Ket qua phan bo von nam 2008 2" xfId="4552"/>
    <cellStyle name="T_Ket qua phan bo von nam 2008 2 2" xfId="4553"/>
    <cellStyle name="T_Ket qua phan bo von nam 2008 3" xfId="4554"/>
    <cellStyle name="T_Ket qua phan bo von nam 2008_!1 1 bao cao giao KH ve HTCMT vung TNB   12-12-2011" xfId="4555"/>
    <cellStyle name="T_Ket qua phan bo von nam 2008_!1 1 bao cao giao KH ve HTCMT vung TNB   12-12-2011 2" xfId="4556"/>
    <cellStyle name="T_Ket qua phan bo von nam 2008_!1 1 bao cao giao KH ve HTCMT vung TNB   12-12-2011 2 2" xfId="4557"/>
    <cellStyle name="T_Ket qua phan bo von nam 2008_!1 1 bao cao giao KH ve HTCMT vung TNB   12-12-2011 3" xfId="4558"/>
    <cellStyle name="T_Ket qua phan bo von nam 2008_KH TPCP vung TNB (03-1-2012)" xfId="4559"/>
    <cellStyle name="T_Ket qua phan bo von nam 2008_KH TPCP vung TNB (03-1-2012) 2" xfId="4560"/>
    <cellStyle name="T_Ket qua phan bo von nam 2008_KH TPCP vung TNB (03-1-2012) 2 2" xfId="4561"/>
    <cellStyle name="T_Ket qua phan bo von nam 2008_KH TPCP vung TNB (03-1-2012) 3" xfId="4562"/>
    <cellStyle name="T_KH 2011-2015" xfId="4563"/>
    <cellStyle name="T_KH 2011-2015 2" xfId="4564"/>
    <cellStyle name="T_KH TPCP vung TNB (03-1-2012)" xfId="4565"/>
    <cellStyle name="T_KH TPCP vung TNB (03-1-2012) 2" xfId="4566"/>
    <cellStyle name="T_KH TPCP vung TNB (03-1-2012) 2 2" xfId="4567"/>
    <cellStyle name="T_KH TPCP vung TNB (03-1-2012) 3" xfId="4568"/>
    <cellStyle name="T_KH XDCB_2008 lan 2 sua ngay 10-11" xfId="4569"/>
    <cellStyle name="T_KH XDCB_2008 lan 2 sua ngay 10-11 2" xfId="4570"/>
    <cellStyle name="T_KH XDCB_2008 lan 2 sua ngay 10-11 2 2" xfId="4571"/>
    <cellStyle name="T_KH XDCB_2008 lan 2 sua ngay 10-11 3" xfId="4572"/>
    <cellStyle name="T_KH XDCB_2008 lan 2 sua ngay 10-11_!1 1 bao cao giao KH ve HTCMT vung TNB   12-12-2011" xfId="4573"/>
    <cellStyle name="T_KH XDCB_2008 lan 2 sua ngay 10-11_!1 1 bao cao giao KH ve HTCMT vung TNB   12-12-2011 2" xfId="4574"/>
    <cellStyle name="T_KH XDCB_2008 lan 2 sua ngay 10-11_!1 1 bao cao giao KH ve HTCMT vung TNB   12-12-2011 2 2" xfId="4575"/>
    <cellStyle name="T_KH XDCB_2008 lan 2 sua ngay 10-11_!1 1 bao cao giao KH ve HTCMT vung TNB   12-12-2011 3" xfId="4576"/>
    <cellStyle name="T_KH XDCB_2008 lan 2 sua ngay 10-11_KH TPCP vung TNB (03-1-2012)" xfId="4577"/>
    <cellStyle name="T_KH XDCB_2008 lan 2 sua ngay 10-11_KH TPCP vung TNB (03-1-2012) 2" xfId="4578"/>
    <cellStyle name="T_KH XDCB_2008 lan 2 sua ngay 10-11_KH TPCP vung TNB (03-1-2012) 2 2" xfId="4579"/>
    <cellStyle name="T_KH XDCB_2008 lan 2 sua ngay 10-11_KH TPCP vung TNB (03-1-2012) 3" xfId="4580"/>
    <cellStyle name="T_kien giang 2" xfId="4581"/>
    <cellStyle name="T_kien giang 2 2" xfId="4582"/>
    <cellStyle name="T_kien giang 2 2 2" xfId="4583"/>
    <cellStyle name="T_kien giang 2 3" xfId="4584"/>
    <cellStyle name="T_Me_Tri_6_07" xfId="4585"/>
    <cellStyle name="T_Me_Tri_6_07 2" xfId="4586"/>
    <cellStyle name="T_Me_Tri_6_07 2 2" xfId="4587"/>
    <cellStyle name="T_Me_Tri_6_07 3" xfId="4588"/>
    <cellStyle name="T_Me_Tri_6_07_!1 1 bao cao giao KH ve HTCMT vung TNB   12-12-2011" xfId="4589"/>
    <cellStyle name="T_Me_Tri_6_07_!1 1 bao cao giao KH ve HTCMT vung TNB   12-12-2011 2" xfId="4590"/>
    <cellStyle name="T_Me_Tri_6_07_!1 1 bao cao giao KH ve HTCMT vung TNB   12-12-2011 2 2" xfId="4591"/>
    <cellStyle name="T_Me_Tri_6_07_!1 1 bao cao giao KH ve HTCMT vung TNB   12-12-2011 3" xfId="4592"/>
    <cellStyle name="T_Me_Tri_6_07_Bieu4HTMT" xfId="4593"/>
    <cellStyle name="T_Me_Tri_6_07_Bieu4HTMT 2" xfId="4594"/>
    <cellStyle name="T_Me_Tri_6_07_Bieu4HTMT 2 2" xfId="4595"/>
    <cellStyle name="T_Me_Tri_6_07_Bieu4HTMT 3" xfId="4596"/>
    <cellStyle name="T_Me_Tri_6_07_Bieu4HTMT_!1 1 bao cao giao KH ve HTCMT vung TNB   12-12-2011" xfId="4597"/>
    <cellStyle name="T_Me_Tri_6_07_Bieu4HTMT_!1 1 bao cao giao KH ve HTCMT vung TNB   12-12-2011 2" xfId="4598"/>
    <cellStyle name="T_Me_Tri_6_07_Bieu4HTMT_!1 1 bao cao giao KH ve HTCMT vung TNB   12-12-2011 2 2" xfId="4599"/>
    <cellStyle name="T_Me_Tri_6_07_Bieu4HTMT_!1 1 bao cao giao KH ve HTCMT vung TNB   12-12-2011 3" xfId="4600"/>
    <cellStyle name="T_Me_Tri_6_07_Bieu4HTMT_KH TPCP vung TNB (03-1-2012)" xfId="4601"/>
    <cellStyle name="T_Me_Tri_6_07_Bieu4HTMT_KH TPCP vung TNB (03-1-2012) 2" xfId="4602"/>
    <cellStyle name="T_Me_Tri_6_07_Bieu4HTMT_KH TPCP vung TNB (03-1-2012) 2 2" xfId="4603"/>
    <cellStyle name="T_Me_Tri_6_07_Bieu4HTMT_KH TPCP vung TNB (03-1-2012) 3" xfId="4604"/>
    <cellStyle name="T_Me_Tri_6_07_KH TPCP vung TNB (03-1-2012)" xfId="4605"/>
    <cellStyle name="T_Me_Tri_6_07_KH TPCP vung TNB (03-1-2012) 2" xfId="4606"/>
    <cellStyle name="T_Me_Tri_6_07_KH TPCP vung TNB (03-1-2012) 2 2" xfId="4607"/>
    <cellStyle name="T_Me_Tri_6_07_KH TPCP vung TNB (03-1-2012) 3" xfId="4608"/>
    <cellStyle name="T_N2 thay dat (N1-1)" xfId="4609"/>
    <cellStyle name="T_N2 thay dat (N1-1) 2" xfId="4610"/>
    <cellStyle name="T_N2 thay dat (N1-1) 2 2" xfId="4611"/>
    <cellStyle name="T_N2 thay dat (N1-1) 3" xfId="4612"/>
    <cellStyle name="T_N2 thay dat (N1-1)_!1 1 bao cao giao KH ve HTCMT vung TNB   12-12-2011" xfId="4613"/>
    <cellStyle name="T_N2 thay dat (N1-1)_!1 1 bao cao giao KH ve HTCMT vung TNB   12-12-2011 2" xfId="4614"/>
    <cellStyle name="T_N2 thay dat (N1-1)_!1 1 bao cao giao KH ve HTCMT vung TNB   12-12-2011 2 2" xfId="4615"/>
    <cellStyle name="T_N2 thay dat (N1-1)_!1 1 bao cao giao KH ve HTCMT vung TNB   12-12-2011 3" xfId="4616"/>
    <cellStyle name="T_N2 thay dat (N1-1)_Bieu4HTMT" xfId="4617"/>
    <cellStyle name="T_N2 thay dat (N1-1)_Bieu4HTMT 2" xfId="4618"/>
    <cellStyle name="T_N2 thay dat (N1-1)_Bieu4HTMT 2 2" xfId="4619"/>
    <cellStyle name="T_N2 thay dat (N1-1)_Bieu4HTMT 3" xfId="4620"/>
    <cellStyle name="T_N2 thay dat (N1-1)_Bieu4HTMT_!1 1 bao cao giao KH ve HTCMT vung TNB   12-12-2011" xfId="4621"/>
    <cellStyle name="T_N2 thay dat (N1-1)_Bieu4HTMT_!1 1 bao cao giao KH ve HTCMT vung TNB   12-12-2011 2" xfId="4622"/>
    <cellStyle name="T_N2 thay dat (N1-1)_Bieu4HTMT_!1 1 bao cao giao KH ve HTCMT vung TNB   12-12-2011 2 2" xfId="4623"/>
    <cellStyle name="T_N2 thay dat (N1-1)_Bieu4HTMT_!1 1 bao cao giao KH ve HTCMT vung TNB   12-12-2011 3" xfId="4624"/>
    <cellStyle name="T_N2 thay dat (N1-1)_Bieu4HTMT_KH TPCP vung TNB (03-1-2012)" xfId="4625"/>
    <cellStyle name="T_N2 thay dat (N1-1)_Bieu4HTMT_KH TPCP vung TNB (03-1-2012) 2" xfId="4626"/>
    <cellStyle name="T_N2 thay dat (N1-1)_Bieu4HTMT_KH TPCP vung TNB (03-1-2012) 2 2" xfId="4627"/>
    <cellStyle name="T_N2 thay dat (N1-1)_Bieu4HTMT_KH TPCP vung TNB (03-1-2012) 3" xfId="4628"/>
    <cellStyle name="T_N2 thay dat (N1-1)_KH TPCP vung TNB (03-1-2012)" xfId="4629"/>
    <cellStyle name="T_N2 thay dat (N1-1)_KH TPCP vung TNB (03-1-2012) 2" xfId="4630"/>
    <cellStyle name="T_N2 thay dat (N1-1)_KH TPCP vung TNB (03-1-2012) 2 2" xfId="4631"/>
    <cellStyle name="T_N2 thay dat (N1-1)_KH TPCP vung TNB (03-1-2012) 3" xfId="4632"/>
    <cellStyle name="T_Phuong an can doi nam 2008" xfId="4633"/>
    <cellStyle name="T_Phuong an can doi nam 2008 2" xfId="4634"/>
    <cellStyle name="T_Phuong an can doi nam 2008 2 2" xfId="4635"/>
    <cellStyle name="T_Phuong an can doi nam 2008 3" xfId="4636"/>
    <cellStyle name="T_Phuong an can doi nam 2008_!1 1 bao cao giao KH ve HTCMT vung TNB   12-12-2011" xfId="4637"/>
    <cellStyle name="T_Phuong an can doi nam 2008_!1 1 bao cao giao KH ve HTCMT vung TNB   12-12-2011 2" xfId="4638"/>
    <cellStyle name="T_Phuong an can doi nam 2008_!1 1 bao cao giao KH ve HTCMT vung TNB   12-12-2011 2 2" xfId="4639"/>
    <cellStyle name="T_Phuong an can doi nam 2008_!1 1 bao cao giao KH ve HTCMT vung TNB   12-12-2011 3" xfId="4640"/>
    <cellStyle name="T_Phuong an can doi nam 2008_KH TPCP vung TNB (03-1-2012)" xfId="4641"/>
    <cellStyle name="T_Phuong an can doi nam 2008_KH TPCP vung TNB (03-1-2012) 2" xfId="4642"/>
    <cellStyle name="T_Phuong an can doi nam 2008_KH TPCP vung TNB (03-1-2012) 2 2" xfId="4643"/>
    <cellStyle name="T_Phuong an can doi nam 2008_KH TPCP vung TNB (03-1-2012) 3" xfId="4644"/>
    <cellStyle name="T_Seagame(BTL)" xfId="4645"/>
    <cellStyle name="T_Seagame(BTL) 2" xfId="4646"/>
    <cellStyle name="T_Seagame(BTL) 2 2" xfId="4647"/>
    <cellStyle name="T_Seagame(BTL) 3" xfId="4648"/>
    <cellStyle name="T_So GTVT" xfId="4649"/>
    <cellStyle name="T_So GTVT 2" xfId="4650"/>
    <cellStyle name="T_So GTVT 2 2" xfId="4651"/>
    <cellStyle name="T_So GTVT 3" xfId="4652"/>
    <cellStyle name="T_So GTVT_!1 1 bao cao giao KH ve HTCMT vung TNB   12-12-2011" xfId="4653"/>
    <cellStyle name="T_So GTVT_!1 1 bao cao giao KH ve HTCMT vung TNB   12-12-2011 2" xfId="4654"/>
    <cellStyle name="T_So GTVT_!1 1 bao cao giao KH ve HTCMT vung TNB   12-12-2011 2 2" xfId="4655"/>
    <cellStyle name="T_So GTVT_!1 1 bao cao giao KH ve HTCMT vung TNB   12-12-2011 3" xfId="4656"/>
    <cellStyle name="T_So GTVT_KH TPCP vung TNB (03-1-2012)" xfId="4657"/>
    <cellStyle name="T_So GTVT_KH TPCP vung TNB (03-1-2012) 2" xfId="4658"/>
    <cellStyle name="T_So GTVT_KH TPCP vung TNB (03-1-2012) 2 2" xfId="4659"/>
    <cellStyle name="T_So GTVT_KH TPCP vung TNB (03-1-2012) 3" xfId="4660"/>
    <cellStyle name="T_tai co cau dau tu (tong hop)1" xfId="4661"/>
    <cellStyle name="T_tai co cau dau tu (tong hop)1 2" xfId="4662"/>
    <cellStyle name="T_TDT + duong(8-5-07)" xfId="4663"/>
    <cellStyle name="T_TDT + duong(8-5-07) 2" xfId="4664"/>
    <cellStyle name="T_TDT + duong(8-5-07) 2 2" xfId="4665"/>
    <cellStyle name="T_TDT + duong(8-5-07) 3" xfId="4666"/>
    <cellStyle name="T_TDT + duong(8-5-07)_!1 1 bao cao giao KH ve HTCMT vung TNB   12-12-2011" xfId="4667"/>
    <cellStyle name="T_TDT + duong(8-5-07)_!1 1 bao cao giao KH ve HTCMT vung TNB   12-12-2011 2" xfId="4668"/>
    <cellStyle name="T_TDT + duong(8-5-07)_!1 1 bao cao giao KH ve HTCMT vung TNB   12-12-2011 2 2" xfId="4669"/>
    <cellStyle name="T_TDT + duong(8-5-07)_!1 1 bao cao giao KH ve HTCMT vung TNB   12-12-2011 3" xfId="4670"/>
    <cellStyle name="T_TDT + duong(8-5-07)_Bieu4HTMT" xfId="4671"/>
    <cellStyle name="T_TDT + duong(8-5-07)_Bieu4HTMT 2" xfId="4672"/>
    <cellStyle name="T_TDT + duong(8-5-07)_Bieu4HTMT 2 2" xfId="4673"/>
    <cellStyle name="T_TDT + duong(8-5-07)_Bieu4HTMT 3" xfId="4674"/>
    <cellStyle name="T_TDT + duong(8-5-07)_Bieu4HTMT_!1 1 bao cao giao KH ve HTCMT vung TNB   12-12-2011" xfId="4675"/>
    <cellStyle name="T_TDT + duong(8-5-07)_Bieu4HTMT_!1 1 bao cao giao KH ve HTCMT vung TNB   12-12-2011 2" xfId="4676"/>
    <cellStyle name="T_TDT + duong(8-5-07)_Bieu4HTMT_!1 1 bao cao giao KH ve HTCMT vung TNB   12-12-2011 2 2" xfId="4677"/>
    <cellStyle name="T_TDT + duong(8-5-07)_Bieu4HTMT_!1 1 bao cao giao KH ve HTCMT vung TNB   12-12-2011 3" xfId="4678"/>
    <cellStyle name="T_TDT + duong(8-5-07)_Bieu4HTMT_KH TPCP vung TNB (03-1-2012)" xfId="4679"/>
    <cellStyle name="T_TDT + duong(8-5-07)_Bieu4HTMT_KH TPCP vung TNB (03-1-2012) 2" xfId="4680"/>
    <cellStyle name="T_TDT + duong(8-5-07)_Bieu4HTMT_KH TPCP vung TNB (03-1-2012) 2 2" xfId="4681"/>
    <cellStyle name="T_TDT + duong(8-5-07)_Bieu4HTMT_KH TPCP vung TNB (03-1-2012) 3" xfId="4682"/>
    <cellStyle name="T_TDT + duong(8-5-07)_KH TPCP vung TNB (03-1-2012)" xfId="4683"/>
    <cellStyle name="T_TDT + duong(8-5-07)_KH TPCP vung TNB (03-1-2012) 2" xfId="4684"/>
    <cellStyle name="T_TDT + duong(8-5-07)_KH TPCP vung TNB (03-1-2012) 2 2" xfId="4685"/>
    <cellStyle name="T_TDT + duong(8-5-07)_KH TPCP vung TNB (03-1-2012) 3" xfId="4686"/>
    <cellStyle name="T_tham_tra_du_toan" xfId="4687"/>
    <cellStyle name="T_tham_tra_du_toan 2" xfId="4688"/>
    <cellStyle name="T_tham_tra_du_toan 2 2" xfId="4689"/>
    <cellStyle name="T_tham_tra_du_toan 3" xfId="4690"/>
    <cellStyle name="T_tham_tra_du_toan_!1 1 bao cao giao KH ve HTCMT vung TNB   12-12-2011" xfId="4691"/>
    <cellStyle name="T_tham_tra_du_toan_!1 1 bao cao giao KH ve HTCMT vung TNB   12-12-2011 2" xfId="4692"/>
    <cellStyle name="T_tham_tra_du_toan_!1 1 bao cao giao KH ve HTCMT vung TNB   12-12-2011 2 2" xfId="4693"/>
    <cellStyle name="T_tham_tra_du_toan_!1 1 bao cao giao KH ve HTCMT vung TNB   12-12-2011 3" xfId="4694"/>
    <cellStyle name="T_tham_tra_du_toan_Bieu4HTMT" xfId="4695"/>
    <cellStyle name="T_tham_tra_du_toan_Bieu4HTMT 2" xfId="4696"/>
    <cellStyle name="T_tham_tra_du_toan_Bieu4HTMT 2 2" xfId="4697"/>
    <cellStyle name="T_tham_tra_du_toan_Bieu4HTMT 3" xfId="4698"/>
    <cellStyle name="T_tham_tra_du_toan_Bieu4HTMT_!1 1 bao cao giao KH ve HTCMT vung TNB   12-12-2011" xfId="4699"/>
    <cellStyle name="T_tham_tra_du_toan_Bieu4HTMT_!1 1 bao cao giao KH ve HTCMT vung TNB   12-12-2011 2" xfId="4700"/>
    <cellStyle name="T_tham_tra_du_toan_Bieu4HTMT_!1 1 bao cao giao KH ve HTCMT vung TNB   12-12-2011 2 2" xfId="4701"/>
    <cellStyle name="T_tham_tra_du_toan_Bieu4HTMT_!1 1 bao cao giao KH ve HTCMT vung TNB   12-12-2011 3" xfId="4702"/>
    <cellStyle name="T_tham_tra_du_toan_Bieu4HTMT_KH TPCP vung TNB (03-1-2012)" xfId="4703"/>
    <cellStyle name="T_tham_tra_du_toan_Bieu4HTMT_KH TPCP vung TNB (03-1-2012) 2" xfId="4704"/>
    <cellStyle name="T_tham_tra_du_toan_Bieu4HTMT_KH TPCP vung TNB (03-1-2012) 2 2" xfId="4705"/>
    <cellStyle name="T_tham_tra_du_toan_Bieu4HTMT_KH TPCP vung TNB (03-1-2012) 3" xfId="4706"/>
    <cellStyle name="T_tham_tra_du_toan_KH TPCP vung TNB (03-1-2012)" xfId="4707"/>
    <cellStyle name="T_tham_tra_du_toan_KH TPCP vung TNB (03-1-2012) 2" xfId="4708"/>
    <cellStyle name="T_tham_tra_du_toan_KH TPCP vung TNB (03-1-2012) 2 2" xfId="4709"/>
    <cellStyle name="T_tham_tra_du_toan_KH TPCP vung TNB (03-1-2012) 3" xfId="4710"/>
    <cellStyle name="T_Thiet bi" xfId="4711"/>
    <cellStyle name="T_Thiet bi 2" xfId="4712"/>
    <cellStyle name="T_Thiet bi 2 2" xfId="4713"/>
    <cellStyle name="T_Thiet bi 3" xfId="4714"/>
    <cellStyle name="T_Thiet bi_!1 1 bao cao giao KH ve HTCMT vung TNB   12-12-2011" xfId="4715"/>
    <cellStyle name="T_Thiet bi_!1 1 bao cao giao KH ve HTCMT vung TNB   12-12-2011 2" xfId="4716"/>
    <cellStyle name="T_Thiet bi_!1 1 bao cao giao KH ve HTCMT vung TNB   12-12-2011 2 2" xfId="4717"/>
    <cellStyle name="T_Thiet bi_!1 1 bao cao giao KH ve HTCMT vung TNB   12-12-2011 3" xfId="4718"/>
    <cellStyle name="T_Thiet bi_Bieu4HTMT" xfId="4719"/>
    <cellStyle name="T_Thiet bi_Bieu4HTMT 2" xfId="4720"/>
    <cellStyle name="T_Thiet bi_Bieu4HTMT 2 2" xfId="4721"/>
    <cellStyle name="T_Thiet bi_Bieu4HTMT 3" xfId="4722"/>
    <cellStyle name="T_Thiet bi_Bieu4HTMT_!1 1 bao cao giao KH ve HTCMT vung TNB   12-12-2011" xfId="4723"/>
    <cellStyle name="T_Thiet bi_Bieu4HTMT_!1 1 bao cao giao KH ve HTCMT vung TNB   12-12-2011 2" xfId="4724"/>
    <cellStyle name="T_Thiet bi_Bieu4HTMT_!1 1 bao cao giao KH ve HTCMT vung TNB   12-12-2011 2 2" xfId="4725"/>
    <cellStyle name="T_Thiet bi_Bieu4HTMT_!1 1 bao cao giao KH ve HTCMT vung TNB   12-12-2011 3" xfId="4726"/>
    <cellStyle name="T_Thiet bi_Bieu4HTMT_KH TPCP vung TNB (03-1-2012)" xfId="4727"/>
    <cellStyle name="T_Thiet bi_Bieu4HTMT_KH TPCP vung TNB (03-1-2012) 2" xfId="4728"/>
    <cellStyle name="T_Thiet bi_Bieu4HTMT_KH TPCP vung TNB (03-1-2012) 2 2" xfId="4729"/>
    <cellStyle name="T_Thiet bi_Bieu4HTMT_KH TPCP vung TNB (03-1-2012) 3" xfId="4730"/>
    <cellStyle name="T_Thiet bi_KH TPCP vung TNB (03-1-2012)" xfId="4731"/>
    <cellStyle name="T_Thiet bi_KH TPCP vung TNB (03-1-2012) 2" xfId="4732"/>
    <cellStyle name="T_Thiet bi_KH TPCP vung TNB (03-1-2012) 2 2" xfId="4733"/>
    <cellStyle name="T_Thiet bi_KH TPCP vung TNB (03-1-2012) 3" xfId="4734"/>
    <cellStyle name="T_TK_HT" xfId="4735"/>
    <cellStyle name="T_TK_HT 2" xfId="4736"/>
    <cellStyle name="T_TK_HT 2 2" xfId="4737"/>
    <cellStyle name="T_TK_HT 3" xfId="4738"/>
    <cellStyle name="T_Van Ban 2007" xfId="4739"/>
    <cellStyle name="T_Van Ban 2007 2" xfId="4740"/>
    <cellStyle name="T_Van Ban 2007_15_10_2013 BC nhu cau von doi ung ODA (2014-2016) ngay 15102013 Sua" xfId="4741"/>
    <cellStyle name="T_Van Ban 2007_15_10_2013 BC nhu cau von doi ung ODA (2014-2016) ngay 15102013 Sua 2" xfId="4742"/>
    <cellStyle name="T_Van Ban 2007_bao cao phan bo KHDT 2011(final)" xfId="4743"/>
    <cellStyle name="T_Van Ban 2007_bao cao phan bo KHDT 2011(final) 2" xfId="4744"/>
    <cellStyle name="T_Van Ban 2007_bao cao phan bo KHDT 2011(final)_BC nhu cau von doi ung ODA nganh NN (BKH)" xfId="4745"/>
    <cellStyle name="T_Van Ban 2007_bao cao phan bo KHDT 2011(final)_BC nhu cau von doi ung ODA nganh NN (BKH) 2" xfId="4746"/>
    <cellStyle name="T_Van Ban 2007_bao cao phan bo KHDT 2011(final)_BC Tai co cau (bieu TH)" xfId="4747"/>
    <cellStyle name="T_Van Ban 2007_bao cao phan bo KHDT 2011(final)_BC Tai co cau (bieu TH) 2" xfId="4748"/>
    <cellStyle name="T_Van Ban 2007_bao cao phan bo KHDT 2011(final)_DK 2014-2015 final" xfId="4749"/>
    <cellStyle name="T_Van Ban 2007_bao cao phan bo KHDT 2011(final)_DK 2014-2015 final 2" xfId="4750"/>
    <cellStyle name="T_Van Ban 2007_bao cao phan bo KHDT 2011(final)_DK 2014-2015 new" xfId="4751"/>
    <cellStyle name="T_Van Ban 2007_bao cao phan bo KHDT 2011(final)_DK 2014-2015 new 2" xfId="4752"/>
    <cellStyle name="T_Van Ban 2007_bao cao phan bo KHDT 2011(final)_DK KH CBDT 2014 11-11-2013" xfId="4753"/>
    <cellStyle name="T_Van Ban 2007_bao cao phan bo KHDT 2011(final)_DK KH CBDT 2014 11-11-2013 2" xfId="4754"/>
    <cellStyle name="T_Van Ban 2007_bao cao phan bo KHDT 2011(final)_DK KH CBDT 2014 11-11-2013(1)" xfId="4755"/>
    <cellStyle name="T_Van Ban 2007_bao cao phan bo KHDT 2011(final)_DK KH CBDT 2014 11-11-2013(1) 2" xfId="4756"/>
    <cellStyle name="T_Van Ban 2007_bao cao phan bo KHDT 2011(final)_KH 2011-2015" xfId="4757"/>
    <cellStyle name="T_Van Ban 2007_bao cao phan bo KHDT 2011(final)_KH 2011-2015 2" xfId="4758"/>
    <cellStyle name="T_Van Ban 2007_bao cao phan bo KHDT 2011(final)_tai co cau dau tu (tong hop)1" xfId="4759"/>
    <cellStyle name="T_Van Ban 2007_bao cao phan bo KHDT 2011(final)_tai co cau dau tu (tong hop)1 2" xfId="4760"/>
    <cellStyle name="T_Van Ban 2007_BC nhu cau von doi ung ODA nganh NN (BKH)" xfId="4761"/>
    <cellStyle name="T_Van Ban 2007_BC nhu cau von doi ung ODA nganh NN (BKH) 2" xfId="4762"/>
    <cellStyle name="T_Van Ban 2007_BC nhu cau von doi ung ODA nganh NN (BKH)_05-12  KH trung han 2016-2020 - Liem Thinh edited" xfId="4763"/>
    <cellStyle name="T_Van Ban 2007_BC nhu cau von doi ung ODA nganh NN (BKH)_05-12  KH trung han 2016-2020 - Liem Thinh edited 2" xfId="4764"/>
    <cellStyle name="T_Van Ban 2007_BC nhu cau von doi ung ODA nganh NN (BKH)_Copy of 05-12  KH trung han 2016-2020 - Liem Thinh edited (1)" xfId="4765"/>
    <cellStyle name="T_Van Ban 2007_BC nhu cau von doi ung ODA nganh NN (BKH)_Copy of 05-12  KH trung han 2016-2020 - Liem Thinh edited (1) 2" xfId="4766"/>
    <cellStyle name="T_Van Ban 2007_BC Tai co cau (bieu TH)" xfId="4767"/>
    <cellStyle name="T_Van Ban 2007_BC Tai co cau (bieu TH) 2" xfId="4768"/>
    <cellStyle name="T_Van Ban 2007_BC Tai co cau (bieu TH)_05-12  KH trung han 2016-2020 - Liem Thinh edited" xfId="4769"/>
    <cellStyle name="T_Van Ban 2007_BC Tai co cau (bieu TH)_05-12  KH trung han 2016-2020 - Liem Thinh edited 2" xfId="4770"/>
    <cellStyle name="T_Van Ban 2007_BC Tai co cau (bieu TH)_Copy of 05-12  KH trung han 2016-2020 - Liem Thinh edited (1)" xfId="4771"/>
    <cellStyle name="T_Van Ban 2007_BC Tai co cau (bieu TH)_Copy of 05-12  KH trung han 2016-2020 - Liem Thinh edited (1) 2" xfId="4772"/>
    <cellStyle name="T_Van Ban 2007_DK 2014-2015 final" xfId="4773"/>
    <cellStyle name="T_Van Ban 2007_DK 2014-2015 final 2" xfId="4774"/>
    <cellStyle name="T_Van Ban 2007_DK 2014-2015 final_05-12  KH trung han 2016-2020 - Liem Thinh edited" xfId="4775"/>
    <cellStyle name="T_Van Ban 2007_DK 2014-2015 final_05-12  KH trung han 2016-2020 - Liem Thinh edited 2" xfId="4776"/>
    <cellStyle name="T_Van Ban 2007_DK 2014-2015 final_Copy of 05-12  KH trung han 2016-2020 - Liem Thinh edited (1)" xfId="4777"/>
    <cellStyle name="T_Van Ban 2007_DK 2014-2015 final_Copy of 05-12  KH trung han 2016-2020 - Liem Thinh edited (1) 2" xfId="4778"/>
    <cellStyle name="T_Van Ban 2007_DK 2014-2015 new" xfId="4779"/>
    <cellStyle name="T_Van Ban 2007_DK 2014-2015 new 2" xfId="4780"/>
    <cellStyle name="T_Van Ban 2007_DK 2014-2015 new_05-12  KH trung han 2016-2020 - Liem Thinh edited" xfId="4781"/>
    <cellStyle name="T_Van Ban 2007_DK 2014-2015 new_05-12  KH trung han 2016-2020 - Liem Thinh edited 2" xfId="4782"/>
    <cellStyle name="T_Van Ban 2007_DK 2014-2015 new_Copy of 05-12  KH trung han 2016-2020 - Liem Thinh edited (1)" xfId="4783"/>
    <cellStyle name="T_Van Ban 2007_DK 2014-2015 new_Copy of 05-12  KH trung han 2016-2020 - Liem Thinh edited (1) 2" xfId="4784"/>
    <cellStyle name="T_Van Ban 2007_DK KH CBDT 2014 11-11-2013" xfId="4785"/>
    <cellStyle name="T_Van Ban 2007_DK KH CBDT 2014 11-11-2013 2" xfId="4786"/>
    <cellStyle name="T_Van Ban 2007_DK KH CBDT 2014 11-11-2013(1)" xfId="4787"/>
    <cellStyle name="T_Van Ban 2007_DK KH CBDT 2014 11-11-2013(1) 2" xfId="4788"/>
    <cellStyle name="T_Van Ban 2007_DK KH CBDT 2014 11-11-2013(1)_05-12  KH trung han 2016-2020 - Liem Thinh edited" xfId="4789"/>
    <cellStyle name="T_Van Ban 2007_DK KH CBDT 2014 11-11-2013(1)_05-12  KH trung han 2016-2020 - Liem Thinh edited 2" xfId="4790"/>
    <cellStyle name="T_Van Ban 2007_DK KH CBDT 2014 11-11-2013(1)_Copy of 05-12  KH trung han 2016-2020 - Liem Thinh edited (1)" xfId="4791"/>
    <cellStyle name="T_Van Ban 2007_DK KH CBDT 2014 11-11-2013(1)_Copy of 05-12  KH trung han 2016-2020 - Liem Thinh edited (1) 2" xfId="4792"/>
    <cellStyle name="T_Van Ban 2007_DK KH CBDT 2014 11-11-2013_05-12  KH trung han 2016-2020 - Liem Thinh edited" xfId="4793"/>
    <cellStyle name="T_Van Ban 2007_DK KH CBDT 2014 11-11-2013_05-12  KH trung han 2016-2020 - Liem Thinh edited 2" xfId="4794"/>
    <cellStyle name="T_Van Ban 2007_DK KH CBDT 2014 11-11-2013_Copy of 05-12  KH trung han 2016-2020 - Liem Thinh edited (1)" xfId="4795"/>
    <cellStyle name="T_Van Ban 2007_DK KH CBDT 2014 11-11-2013_Copy of 05-12  KH trung han 2016-2020 - Liem Thinh edited (1) 2" xfId="4796"/>
    <cellStyle name="T_Van Ban 2008" xfId="4797"/>
    <cellStyle name="T_Van Ban 2008 2" xfId="4798"/>
    <cellStyle name="T_Van Ban 2008_15_10_2013 BC nhu cau von doi ung ODA (2014-2016) ngay 15102013 Sua" xfId="4799"/>
    <cellStyle name="T_Van Ban 2008_15_10_2013 BC nhu cau von doi ung ODA (2014-2016) ngay 15102013 Sua 2" xfId="4800"/>
    <cellStyle name="T_Van Ban 2008_bao cao phan bo KHDT 2011(final)" xfId="4801"/>
    <cellStyle name="T_Van Ban 2008_bao cao phan bo KHDT 2011(final) 2" xfId="4802"/>
    <cellStyle name="T_Van Ban 2008_bao cao phan bo KHDT 2011(final)_BC nhu cau von doi ung ODA nganh NN (BKH)" xfId="4803"/>
    <cellStyle name="T_Van Ban 2008_bao cao phan bo KHDT 2011(final)_BC nhu cau von doi ung ODA nganh NN (BKH) 2" xfId="4804"/>
    <cellStyle name="T_Van Ban 2008_bao cao phan bo KHDT 2011(final)_BC Tai co cau (bieu TH)" xfId="4805"/>
    <cellStyle name="T_Van Ban 2008_bao cao phan bo KHDT 2011(final)_BC Tai co cau (bieu TH) 2" xfId="4806"/>
    <cellStyle name="T_Van Ban 2008_bao cao phan bo KHDT 2011(final)_DK 2014-2015 final" xfId="4807"/>
    <cellStyle name="T_Van Ban 2008_bao cao phan bo KHDT 2011(final)_DK 2014-2015 final 2" xfId="4808"/>
    <cellStyle name="T_Van Ban 2008_bao cao phan bo KHDT 2011(final)_DK 2014-2015 new" xfId="4809"/>
    <cellStyle name="T_Van Ban 2008_bao cao phan bo KHDT 2011(final)_DK 2014-2015 new 2" xfId="4810"/>
    <cellStyle name="T_Van Ban 2008_bao cao phan bo KHDT 2011(final)_DK KH CBDT 2014 11-11-2013" xfId="4811"/>
    <cellStyle name="T_Van Ban 2008_bao cao phan bo KHDT 2011(final)_DK KH CBDT 2014 11-11-2013 2" xfId="4812"/>
    <cellStyle name="T_Van Ban 2008_bao cao phan bo KHDT 2011(final)_DK KH CBDT 2014 11-11-2013(1)" xfId="4813"/>
    <cellStyle name="T_Van Ban 2008_bao cao phan bo KHDT 2011(final)_DK KH CBDT 2014 11-11-2013(1) 2" xfId="4814"/>
    <cellStyle name="T_Van Ban 2008_bao cao phan bo KHDT 2011(final)_KH 2011-2015" xfId="4815"/>
    <cellStyle name="T_Van Ban 2008_bao cao phan bo KHDT 2011(final)_KH 2011-2015 2" xfId="4816"/>
    <cellStyle name="T_Van Ban 2008_bao cao phan bo KHDT 2011(final)_tai co cau dau tu (tong hop)1" xfId="4817"/>
    <cellStyle name="T_Van Ban 2008_bao cao phan bo KHDT 2011(final)_tai co cau dau tu (tong hop)1 2" xfId="4818"/>
    <cellStyle name="T_Van Ban 2008_BC nhu cau von doi ung ODA nganh NN (BKH)" xfId="4819"/>
    <cellStyle name="T_Van Ban 2008_BC nhu cau von doi ung ODA nganh NN (BKH) 2" xfId="4820"/>
    <cellStyle name="T_Van Ban 2008_BC nhu cau von doi ung ODA nganh NN (BKH)_05-12  KH trung han 2016-2020 - Liem Thinh edited" xfId="4821"/>
    <cellStyle name="T_Van Ban 2008_BC nhu cau von doi ung ODA nganh NN (BKH)_05-12  KH trung han 2016-2020 - Liem Thinh edited 2" xfId="4822"/>
    <cellStyle name="T_Van Ban 2008_BC nhu cau von doi ung ODA nganh NN (BKH)_Copy of 05-12  KH trung han 2016-2020 - Liem Thinh edited (1)" xfId="4823"/>
    <cellStyle name="T_Van Ban 2008_BC nhu cau von doi ung ODA nganh NN (BKH)_Copy of 05-12  KH trung han 2016-2020 - Liem Thinh edited (1) 2" xfId="4824"/>
    <cellStyle name="T_Van Ban 2008_BC Tai co cau (bieu TH)" xfId="4825"/>
    <cellStyle name="T_Van Ban 2008_BC Tai co cau (bieu TH) 2" xfId="4826"/>
    <cellStyle name="T_Van Ban 2008_BC Tai co cau (bieu TH)_05-12  KH trung han 2016-2020 - Liem Thinh edited" xfId="4827"/>
    <cellStyle name="T_Van Ban 2008_BC Tai co cau (bieu TH)_05-12  KH trung han 2016-2020 - Liem Thinh edited 2" xfId="4828"/>
    <cellStyle name="T_Van Ban 2008_BC Tai co cau (bieu TH)_Copy of 05-12  KH trung han 2016-2020 - Liem Thinh edited (1)" xfId="4829"/>
    <cellStyle name="T_Van Ban 2008_BC Tai co cau (bieu TH)_Copy of 05-12  KH trung han 2016-2020 - Liem Thinh edited (1) 2" xfId="4830"/>
    <cellStyle name="T_Van Ban 2008_DK 2014-2015 final" xfId="4831"/>
    <cellStyle name="T_Van Ban 2008_DK 2014-2015 final 2" xfId="4832"/>
    <cellStyle name="T_Van Ban 2008_DK 2014-2015 final_05-12  KH trung han 2016-2020 - Liem Thinh edited" xfId="4833"/>
    <cellStyle name="T_Van Ban 2008_DK 2014-2015 final_05-12  KH trung han 2016-2020 - Liem Thinh edited 2" xfId="4834"/>
    <cellStyle name="T_Van Ban 2008_DK 2014-2015 final_Copy of 05-12  KH trung han 2016-2020 - Liem Thinh edited (1)" xfId="4835"/>
    <cellStyle name="T_Van Ban 2008_DK 2014-2015 final_Copy of 05-12  KH trung han 2016-2020 - Liem Thinh edited (1) 2" xfId="4836"/>
    <cellStyle name="T_Van Ban 2008_DK 2014-2015 new" xfId="4837"/>
    <cellStyle name="T_Van Ban 2008_DK 2014-2015 new 2" xfId="4838"/>
    <cellStyle name="T_Van Ban 2008_DK 2014-2015 new_05-12  KH trung han 2016-2020 - Liem Thinh edited" xfId="4839"/>
    <cellStyle name="T_Van Ban 2008_DK 2014-2015 new_05-12  KH trung han 2016-2020 - Liem Thinh edited 2" xfId="4840"/>
    <cellStyle name="T_Van Ban 2008_DK 2014-2015 new_Copy of 05-12  KH trung han 2016-2020 - Liem Thinh edited (1)" xfId="4841"/>
    <cellStyle name="T_Van Ban 2008_DK 2014-2015 new_Copy of 05-12  KH trung han 2016-2020 - Liem Thinh edited (1) 2" xfId="4842"/>
    <cellStyle name="T_Van Ban 2008_DK KH CBDT 2014 11-11-2013" xfId="4843"/>
    <cellStyle name="T_Van Ban 2008_DK KH CBDT 2014 11-11-2013 2" xfId="4844"/>
    <cellStyle name="T_Van Ban 2008_DK KH CBDT 2014 11-11-2013(1)" xfId="4845"/>
    <cellStyle name="T_Van Ban 2008_DK KH CBDT 2014 11-11-2013(1) 2" xfId="4846"/>
    <cellStyle name="T_Van Ban 2008_DK KH CBDT 2014 11-11-2013(1)_05-12  KH trung han 2016-2020 - Liem Thinh edited" xfId="4847"/>
    <cellStyle name="T_Van Ban 2008_DK KH CBDT 2014 11-11-2013(1)_05-12  KH trung han 2016-2020 - Liem Thinh edited 2" xfId="4848"/>
    <cellStyle name="T_Van Ban 2008_DK KH CBDT 2014 11-11-2013(1)_Copy of 05-12  KH trung han 2016-2020 - Liem Thinh edited (1)" xfId="4849"/>
    <cellStyle name="T_Van Ban 2008_DK KH CBDT 2014 11-11-2013(1)_Copy of 05-12  KH trung han 2016-2020 - Liem Thinh edited (1) 2" xfId="4850"/>
    <cellStyle name="T_Van Ban 2008_DK KH CBDT 2014 11-11-2013_05-12  KH trung han 2016-2020 - Liem Thinh edited" xfId="4851"/>
    <cellStyle name="T_Van Ban 2008_DK KH CBDT 2014 11-11-2013_05-12  KH trung han 2016-2020 - Liem Thinh edited 2" xfId="4852"/>
    <cellStyle name="T_Van Ban 2008_DK KH CBDT 2014 11-11-2013_Copy of 05-12  KH trung han 2016-2020 - Liem Thinh edited (1)" xfId="4853"/>
    <cellStyle name="T_Van Ban 2008_DK KH CBDT 2014 11-11-2013_Copy of 05-12  KH trung han 2016-2020 - Liem Thinh edited (1) 2" xfId="4854"/>
    <cellStyle name="T_XDCB thang 12.2010" xfId="4855"/>
    <cellStyle name="T_XDCB thang 12.2010 2" xfId="4856"/>
    <cellStyle name="T_XDCB thang 12.2010 2 2" xfId="4857"/>
    <cellStyle name="T_XDCB thang 12.2010 3" xfId="4858"/>
    <cellStyle name="T_XDCB thang 12.2010_!1 1 bao cao giao KH ve HTCMT vung TNB   12-12-2011" xfId="4859"/>
    <cellStyle name="T_XDCB thang 12.2010_!1 1 bao cao giao KH ve HTCMT vung TNB   12-12-2011 2" xfId="4860"/>
    <cellStyle name="T_XDCB thang 12.2010_!1 1 bao cao giao KH ve HTCMT vung TNB   12-12-2011 2 2" xfId="4861"/>
    <cellStyle name="T_XDCB thang 12.2010_!1 1 bao cao giao KH ve HTCMT vung TNB   12-12-2011 3" xfId="4862"/>
    <cellStyle name="T_XDCB thang 12.2010_KH TPCP vung TNB (03-1-2012)" xfId="4863"/>
    <cellStyle name="T_XDCB thang 12.2010_KH TPCP vung TNB (03-1-2012) 2" xfId="4864"/>
    <cellStyle name="T_XDCB thang 12.2010_KH TPCP vung TNB (03-1-2012) 2 2" xfId="4865"/>
    <cellStyle name="T_XDCB thang 12.2010_KH TPCP vung TNB (03-1-2012) 3" xfId="4866"/>
    <cellStyle name="T_ÿÿÿÿÿ" xfId="4867"/>
    <cellStyle name="T_ÿÿÿÿÿ 2" xfId="4868"/>
    <cellStyle name="T_ÿÿÿÿÿ 2 2" xfId="4869"/>
    <cellStyle name="T_ÿÿÿÿÿ 3" xfId="4870"/>
    <cellStyle name="T_ÿÿÿÿÿ_!1 1 bao cao giao KH ve HTCMT vung TNB   12-12-2011" xfId="4871"/>
    <cellStyle name="T_ÿÿÿÿÿ_!1 1 bao cao giao KH ve HTCMT vung TNB   12-12-2011 2" xfId="4872"/>
    <cellStyle name="T_ÿÿÿÿÿ_!1 1 bao cao giao KH ve HTCMT vung TNB   12-12-2011 2 2" xfId="4873"/>
    <cellStyle name="T_ÿÿÿÿÿ_!1 1 bao cao giao KH ve HTCMT vung TNB   12-12-2011 3" xfId="4874"/>
    <cellStyle name="T_ÿÿÿÿÿ_Bieu mau cong trinh khoi cong moi 3-4" xfId="4875"/>
    <cellStyle name="T_ÿÿÿÿÿ_Bieu mau cong trinh khoi cong moi 3-4 2" xfId="4876"/>
    <cellStyle name="T_ÿÿÿÿÿ_Bieu mau cong trinh khoi cong moi 3-4 2 2" xfId="4877"/>
    <cellStyle name="T_ÿÿÿÿÿ_Bieu mau cong trinh khoi cong moi 3-4 3" xfId="4878"/>
    <cellStyle name="T_ÿÿÿÿÿ_Bieu mau cong trinh khoi cong moi 3-4_!1 1 bao cao giao KH ve HTCMT vung TNB   12-12-2011" xfId="4879"/>
    <cellStyle name="T_ÿÿÿÿÿ_Bieu mau cong trinh khoi cong moi 3-4_!1 1 bao cao giao KH ve HTCMT vung TNB   12-12-2011 2" xfId="4880"/>
    <cellStyle name="T_ÿÿÿÿÿ_Bieu mau cong trinh khoi cong moi 3-4_!1 1 bao cao giao KH ve HTCMT vung TNB   12-12-2011 2 2" xfId="4881"/>
    <cellStyle name="T_ÿÿÿÿÿ_Bieu mau cong trinh khoi cong moi 3-4_!1 1 bao cao giao KH ve HTCMT vung TNB   12-12-2011 3" xfId="4882"/>
    <cellStyle name="T_ÿÿÿÿÿ_Bieu mau cong trinh khoi cong moi 3-4_KH TPCP vung TNB (03-1-2012)" xfId="4883"/>
    <cellStyle name="T_ÿÿÿÿÿ_Bieu mau cong trinh khoi cong moi 3-4_KH TPCP vung TNB (03-1-2012) 2" xfId="4884"/>
    <cellStyle name="T_ÿÿÿÿÿ_Bieu mau cong trinh khoi cong moi 3-4_KH TPCP vung TNB (03-1-2012) 2 2" xfId="4885"/>
    <cellStyle name="T_ÿÿÿÿÿ_Bieu mau cong trinh khoi cong moi 3-4_KH TPCP vung TNB (03-1-2012) 3" xfId="4886"/>
    <cellStyle name="T_ÿÿÿÿÿ_Bieu3ODA" xfId="4887"/>
    <cellStyle name="T_ÿÿÿÿÿ_Bieu3ODA 2" xfId="4888"/>
    <cellStyle name="T_ÿÿÿÿÿ_Bieu3ODA 2 2" xfId="4889"/>
    <cellStyle name="T_ÿÿÿÿÿ_Bieu3ODA 3" xfId="4890"/>
    <cellStyle name="T_ÿÿÿÿÿ_Bieu3ODA_!1 1 bao cao giao KH ve HTCMT vung TNB   12-12-2011" xfId="4891"/>
    <cellStyle name="T_ÿÿÿÿÿ_Bieu3ODA_!1 1 bao cao giao KH ve HTCMT vung TNB   12-12-2011 2" xfId="4892"/>
    <cellStyle name="T_ÿÿÿÿÿ_Bieu3ODA_!1 1 bao cao giao KH ve HTCMT vung TNB   12-12-2011 2 2" xfId="4893"/>
    <cellStyle name="T_ÿÿÿÿÿ_Bieu3ODA_!1 1 bao cao giao KH ve HTCMT vung TNB   12-12-2011 3" xfId="4894"/>
    <cellStyle name="T_ÿÿÿÿÿ_Bieu3ODA_KH TPCP vung TNB (03-1-2012)" xfId="4895"/>
    <cellStyle name="T_ÿÿÿÿÿ_Bieu3ODA_KH TPCP vung TNB (03-1-2012) 2" xfId="4896"/>
    <cellStyle name="T_ÿÿÿÿÿ_Bieu3ODA_KH TPCP vung TNB (03-1-2012) 2 2" xfId="4897"/>
    <cellStyle name="T_ÿÿÿÿÿ_Bieu3ODA_KH TPCP vung TNB (03-1-2012) 3" xfId="4898"/>
    <cellStyle name="T_ÿÿÿÿÿ_Bieu4HTMT" xfId="4899"/>
    <cellStyle name="T_ÿÿÿÿÿ_Bieu4HTMT 2" xfId="4900"/>
    <cellStyle name="T_ÿÿÿÿÿ_Bieu4HTMT 2 2" xfId="4901"/>
    <cellStyle name="T_ÿÿÿÿÿ_Bieu4HTMT 3" xfId="4902"/>
    <cellStyle name="T_ÿÿÿÿÿ_Bieu4HTMT_!1 1 bao cao giao KH ve HTCMT vung TNB   12-12-2011" xfId="4903"/>
    <cellStyle name="T_ÿÿÿÿÿ_Bieu4HTMT_!1 1 bao cao giao KH ve HTCMT vung TNB   12-12-2011 2" xfId="4904"/>
    <cellStyle name="T_ÿÿÿÿÿ_Bieu4HTMT_!1 1 bao cao giao KH ve HTCMT vung TNB   12-12-2011 2 2" xfId="4905"/>
    <cellStyle name="T_ÿÿÿÿÿ_Bieu4HTMT_!1 1 bao cao giao KH ve HTCMT vung TNB   12-12-2011 3" xfId="4906"/>
    <cellStyle name="T_ÿÿÿÿÿ_Bieu4HTMT_KH TPCP vung TNB (03-1-2012)" xfId="4907"/>
    <cellStyle name="T_ÿÿÿÿÿ_Bieu4HTMT_KH TPCP vung TNB (03-1-2012) 2" xfId="4908"/>
    <cellStyle name="T_ÿÿÿÿÿ_Bieu4HTMT_KH TPCP vung TNB (03-1-2012) 2 2" xfId="4909"/>
    <cellStyle name="T_ÿÿÿÿÿ_Bieu4HTMT_KH TPCP vung TNB (03-1-2012) 3" xfId="4910"/>
    <cellStyle name="T_ÿÿÿÿÿ_KH TPCP vung TNB (03-1-2012)" xfId="4911"/>
    <cellStyle name="T_ÿÿÿÿÿ_KH TPCP vung TNB (03-1-2012) 2" xfId="4912"/>
    <cellStyle name="T_ÿÿÿÿÿ_KH TPCP vung TNB (03-1-2012) 2 2" xfId="4913"/>
    <cellStyle name="T_ÿÿÿÿÿ_KH TPCP vung TNB (03-1-2012) 3" xfId="4914"/>
    <cellStyle name="T_ÿÿÿÿÿ_kien giang 2" xfId="4915"/>
    <cellStyle name="T_ÿÿÿÿÿ_kien giang 2 2" xfId="4916"/>
    <cellStyle name="T_ÿÿÿÿÿ_kien giang 2 2 2" xfId="4917"/>
    <cellStyle name="T_ÿÿÿÿÿ_kien giang 2 3" xfId="4918"/>
    <cellStyle name="Text Indent A" xfId="4919"/>
    <cellStyle name="Text Indent A 2" xfId="4920"/>
    <cellStyle name="Text Indent B" xfId="4921"/>
    <cellStyle name="Text Indent B 10" xfId="4922"/>
    <cellStyle name="Text Indent B 10 2" xfId="4923"/>
    <cellStyle name="Text Indent B 11" xfId="4924"/>
    <cellStyle name="Text Indent B 11 2" xfId="4925"/>
    <cellStyle name="Text Indent B 12" xfId="4926"/>
    <cellStyle name="Text Indent B 12 2" xfId="4927"/>
    <cellStyle name="Text Indent B 13" xfId="4928"/>
    <cellStyle name="Text Indent B 13 2" xfId="4929"/>
    <cellStyle name="Text Indent B 14" xfId="4930"/>
    <cellStyle name="Text Indent B 14 2" xfId="4931"/>
    <cellStyle name="Text Indent B 15" xfId="4932"/>
    <cellStyle name="Text Indent B 15 2" xfId="4933"/>
    <cellStyle name="Text Indent B 16" xfId="4934"/>
    <cellStyle name="Text Indent B 16 2" xfId="4935"/>
    <cellStyle name="Text Indent B 17" xfId="4936"/>
    <cellStyle name="Text Indent B 2" xfId="4937"/>
    <cellStyle name="Text Indent B 2 2" xfId="4938"/>
    <cellStyle name="Text Indent B 3" xfId="4939"/>
    <cellStyle name="Text Indent B 3 2" xfId="4940"/>
    <cellStyle name="Text Indent B 4" xfId="4941"/>
    <cellStyle name="Text Indent B 4 2" xfId="4942"/>
    <cellStyle name="Text Indent B 5" xfId="4943"/>
    <cellStyle name="Text Indent B 5 2" xfId="4944"/>
    <cellStyle name="Text Indent B 6" xfId="4945"/>
    <cellStyle name="Text Indent B 6 2" xfId="4946"/>
    <cellStyle name="Text Indent B 7" xfId="4947"/>
    <cellStyle name="Text Indent B 7 2" xfId="4948"/>
    <cellStyle name="Text Indent B 8" xfId="4949"/>
    <cellStyle name="Text Indent B 8 2" xfId="4950"/>
    <cellStyle name="Text Indent B 9" xfId="4951"/>
    <cellStyle name="Text Indent B 9 2" xfId="4952"/>
    <cellStyle name="Text Indent C" xfId="4953"/>
    <cellStyle name="Text Indent C 10" xfId="4954"/>
    <cellStyle name="Text Indent C 10 2" xfId="4955"/>
    <cellStyle name="Text Indent C 11" xfId="4956"/>
    <cellStyle name="Text Indent C 11 2" xfId="4957"/>
    <cellStyle name="Text Indent C 12" xfId="4958"/>
    <cellStyle name="Text Indent C 12 2" xfId="4959"/>
    <cellStyle name="Text Indent C 13" xfId="4960"/>
    <cellStyle name="Text Indent C 13 2" xfId="4961"/>
    <cellStyle name="Text Indent C 14" xfId="4962"/>
    <cellStyle name="Text Indent C 14 2" xfId="4963"/>
    <cellStyle name="Text Indent C 15" xfId="4964"/>
    <cellStyle name="Text Indent C 15 2" xfId="4965"/>
    <cellStyle name="Text Indent C 16" xfId="4966"/>
    <cellStyle name="Text Indent C 16 2" xfId="4967"/>
    <cellStyle name="Text Indent C 17" xfId="4968"/>
    <cellStyle name="Text Indent C 2" xfId="4969"/>
    <cellStyle name="Text Indent C 2 2" xfId="4970"/>
    <cellStyle name="Text Indent C 3" xfId="4971"/>
    <cellStyle name="Text Indent C 3 2" xfId="4972"/>
    <cellStyle name="Text Indent C 4" xfId="4973"/>
    <cellStyle name="Text Indent C 4 2" xfId="4974"/>
    <cellStyle name="Text Indent C 5" xfId="4975"/>
    <cellStyle name="Text Indent C 5 2" xfId="4976"/>
    <cellStyle name="Text Indent C 6" xfId="4977"/>
    <cellStyle name="Text Indent C 6 2" xfId="4978"/>
    <cellStyle name="Text Indent C 7" xfId="4979"/>
    <cellStyle name="Text Indent C 7 2" xfId="4980"/>
    <cellStyle name="Text Indent C 8" xfId="4981"/>
    <cellStyle name="Text Indent C 8 2" xfId="4982"/>
    <cellStyle name="Text Indent C 9" xfId="4983"/>
    <cellStyle name="Text Indent C 9 2" xfId="4984"/>
    <cellStyle name="th" xfId="4985"/>
    <cellStyle name="th 2" xfId="4986"/>
    <cellStyle name="th 2 2" xfId="4987"/>
    <cellStyle name="th 3" xfId="4988"/>
    <cellStyle name="þ_x005f_x001d_ð¤_x005f_x000c_¯þ_x005f_x0014__x005f_x000d_¨þU_x005f_x0001_À_x005f_x0004_ _x005f_x0015__x005f_x000f__x005f_x0001__x005f_x0001_" xfId="4989"/>
    <cellStyle name="þ_x005f_x001d_ð¤_x005f_x000c_¯þ_x005f_x0014__x005f_x000d_¨þU_x005f_x0001_À_x005f_x0004_ _x005f_x0015__x005f_x000f__x005f_x0001__x005f_x0001_ 2" xfId="4990"/>
    <cellStyle name="þ_x005f_x001d_ð·_x005f_x000c_æþ'_x005f_x000d_ßþU_x005f_x0001_Ø_x005f_x0005_ü_x005f_x0014__x005f_x0007__x005f_x0001__x005f_x0001_" xfId="4991"/>
    <cellStyle name="þ_x005f_x001d_ð·_x005f_x000c_æþ'_x005f_x000d_ßþU_x005f_x0001_Ø_x005f_x0005_ü_x005f_x0014__x005f_x0007__x005f_x0001__x005f_x0001_ 2" xfId="4992"/>
    <cellStyle name="þ_x005f_x001d_ðÇ%Uý—&amp;Hý9_x005f_x0008_Ÿ s_x005f_x000a__x005f_x0007__x005f_x0001__x005f_x0001_" xfId="4993"/>
    <cellStyle name="þ_x005f_x001d_ðÇ%Uý—&amp;Hý9_x005f_x0008_Ÿ s_x005f_x000a__x005f_x0007__x005f_x0001__x005f_x0001_ 2" xfId="4994"/>
    <cellStyle name="þ_x005f_x001d_ðK_x005f_x000c_Fý_x005f_x001b__x005f_x000d_9ýU_x005f_x0001_Ð_x005f_x0008_¦)_x005f_x0007__x005f_x0001__x005f_x0001_" xfId="4995"/>
    <cellStyle name="þ_x005f_x001d_ðK_x005f_x000c_Fý_x005f_x001b__x005f_x000d_9ýU_x005f_x0001_Ð_x005f_x0008_¦)_x005f_x0007__x005f_x0001__x005f_x0001_ 2" xfId="4996"/>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4997"/>
    <cellStyle name="þ_x005f_x005f_x005f_x001d_ð¤_x005f_x005f_x005f_x000c_¯þ_x005f_x005f_x005f_x0014__x005f_x005f_x005f_x000d_¨þU_x005f_x005f_x005f_x0001_À_x005f_x005f_x005f_x0004_ _x005f_x005f_x005f_x0015__x005f_x005f_x005f_x000f__x005f_x005f_x005f_x0001__x005f_x005f_x005f_x0001_ 2" xfId="4998"/>
    <cellStyle name="þ_x005f_x005f_x005f_x001d_ð·_x005f_x005f_x005f_x000c_æþ'_x005f_x005f_x005f_x000d_ßþU_x005f_x005f_x005f_x0001_Ø_x005f_x005f_x005f_x0005_ü_x005f_x005f_x005f_x0014__x005f_x005f_x005f_x0007__x005f_x005f_x005f_x0001__x005f_x005f_x005f_x0001_" xfId="4999"/>
    <cellStyle name="þ_x005f_x005f_x005f_x001d_ð·_x005f_x005f_x005f_x000c_æþ'_x005f_x005f_x005f_x000d_ßþU_x005f_x005f_x005f_x0001_Ø_x005f_x005f_x005f_x0005_ü_x005f_x005f_x005f_x0014__x005f_x005f_x005f_x0007__x005f_x005f_x005f_x0001__x005f_x005f_x005f_x0001_ 2" xfId="5000"/>
    <cellStyle name="þ_x005f_x005f_x005f_x001d_ðÇ%Uý—&amp;Hý9_x005f_x005f_x005f_x0008_Ÿ s_x005f_x005f_x005f_x000a__x005f_x005f_x005f_x0007__x005f_x005f_x005f_x0001__x005f_x005f_x005f_x0001_" xfId="5001"/>
    <cellStyle name="þ_x005f_x005f_x005f_x001d_ðÇ%Uý—&amp;Hý9_x005f_x005f_x005f_x0008_Ÿ s_x005f_x005f_x005f_x000a__x005f_x005f_x005f_x0007__x005f_x005f_x005f_x0001__x005f_x005f_x005f_x0001_ 2" xfId="5002"/>
    <cellStyle name="þ_x005f_x005f_x005f_x001d_ðK_x005f_x005f_x005f_x000c_Fý_x005f_x005f_x005f_x001b__x005f_x005f_x005f_x000d_9ýU_x005f_x005f_x005f_x0001_Ð_x005f_x005f_x005f_x0008_¦)_x005f_x005f_x005f_x0007__x005f_x005f_x005f_x0001__x005f_x005f_x005f_x0001_" xfId="5003"/>
    <cellStyle name="þ_x005f_x005f_x005f_x001d_ðK_x005f_x005f_x005f_x000c_Fý_x005f_x005f_x005f_x001b__x005f_x005f_x005f_x000d_9ýU_x005f_x005f_x005f_x0001_Ð_x005f_x005f_x005f_x0008_¦)_x005f_x005f_x005f_x0007__x005f_x005f_x005f_x0001__x005f_x005f_x005f_x0001_ 2" xfId="5004"/>
    <cellStyle name="than" xfId="5005"/>
    <cellStyle name="than 2" xfId="5006"/>
    <cellStyle name="Thanh" xfId="5007"/>
    <cellStyle name="Thanh 2" xfId="5008"/>
    <cellStyle name="þ_x001d_ð¤_x000c_¯þ_x0014__x000a_¨þU_x0001_À_x0004_ _x0015__x000f__x0001__x0001_" xfId="5009"/>
    <cellStyle name="þ_x001d_ð¤_x000c_¯þ_x0014__x000a_¨þU_x0001_À_x0004_ _x0015__x000f__x0001__x0001_ 2" xfId="5010"/>
    <cellStyle name="þ_x001d_ð¤_x000c_¯þ_x0014__x000d_¨þU_x0001_À_x0004_ _x0015__x000f__x0001__x0001_" xfId="5011"/>
    <cellStyle name="þ_x001d_ð¤_x000c_¯þ_x0014__x000d_¨þU_x0001_À_x0004_ _x0015__x000f__x0001__x0001_ 2" xfId="5012"/>
    <cellStyle name="þ_x001d_ð·_x000c_æþ'_x000a_ßþU_x0001_Ø_x0005_ü_x0014__x0007__x0001__x0001_" xfId="5013"/>
    <cellStyle name="þ_x001d_ð·_x000c_æþ'_x000a_ßþU_x0001_Ø_x0005_ü_x0014__x0007__x0001__x0001_ 2" xfId="5014"/>
    <cellStyle name="þ_x001d_ð·_x000c_æþ'_x000d_ßþU_x0001_Ø_x0005_ü_x0014__x0007__x0001__x0001_" xfId="5015"/>
    <cellStyle name="þ_x001d_ð·_x000c_æþ'_x000d_ßþU_x0001_Ø_x0005_ü_x0014__x0007__x0001__x0001_ 2" xfId="5016"/>
    <cellStyle name="þ_x001d_ðÇ%Uý—&amp;Hý9_x0008_Ÿ s_x000a__x0007__x0001__x0001_" xfId="5017"/>
    <cellStyle name="þ_x001d_ðÇ%Uý—&amp;Hý9_x0008_Ÿ s_x000a__x0007__x0001__x0001_ 2" xfId="5018"/>
    <cellStyle name="þ_x001d_ðK_x000c_Fý_x001b__x000a_9ýU_x0001_Ð_x0008_¦)_x0007__x0001__x0001_" xfId="5019"/>
    <cellStyle name="þ_x001d_ðK_x000c_Fý_x001b__x000a_9ýU_x0001_Ð_x0008_¦)_x0007__x0001__x0001_ 2" xfId="5020"/>
    <cellStyle name="þ_x001d_ðK_x000c_Fý_x001b__x000d_9ýU_x0001_Ð_x0008_¦)_x0007__x0001__x0001_" xfId="5021"/>
    <cellStyle name="þ_x001d_ðK_x000c_Fý_x001b__x000d_9ýU_x0001_Ð_x0008_¦)_x0007__x0001__x0001_ 2" xfId="5022"/>
    <cellStyle name="thuong-10" xfId="5023"/>
    <cellStyle name="thuong-10 2" xfId="5024"/>
    <cellStyle name="thuong-11" xfId="5025"/>
    <cellStyle name="thuong-11 2" xfId="5026"/>
    <cellStyle name="thuong-11 2 2" xfId="5027"/>
    <cellStyle name="thuong-11 3" xfId="5028"/>
    <cellStyle name="Thuyet minh" xfId="5029"/>
    <cellStyle name="Thuyet minh 2" xfId="5030"/>
    <cellStyle name="Tickmark" xfId="5031"/>
    <cellStyle name="Tickmark 2" xfId="5032"/>
    <cellStyle name="Tien1" xfId="5033"/>
    <cellStyle name="Tien1 2" xfId="5034"/>
    <cellStyle name="Tieu_de_2" xfId="5035"/>
    <cellStyle name="Times New Roman" xfId="5036"/>
    <cellStyle name="Times New Roman 2" xfId="5037"/>
    <cellStyle name="tit1" xfId="5038"/>
    <cellStyle name="tit1 2" xfId="5039"/>
    <cellStyle name="tit2" xfId="5040"/>
    <cellStyle name="tit2 2" xfId="5041"/>
    <cellStyle name="tit2 2 2" xfId="5042"/>
    <cellStyle name="tit2 3" xfId="5043"/>
    <cellStyle name="tit3" xfId="5044"/>
    <cellStyle name="tit3 2" xfId="5045"/>
    <cellStyle name="tit4" xfId="5046"/>
    <cellStyle name="tit4 2" xfId="5047"/>
    <cellStyle name="Title 2" xfId="5048"/>
    <cellStyle name="Title 2 2" xfId="5049"/>
    <cellStyle name="Tong so" xfId="5050"/>
    <cellStyle name="tong so 1" xfId="5051"/>
    <cellStyle name="tong so 1 2" xfId="5052"/>
    <cellStyle name="Tong so 2" xfId="5053"/>
    <cellStyle name="Tong so_Bieu KHPTLN 2016-2020" xfId="5054"/>
    <cellStyle name="Tongcong" xfId="5055"/>
    <cellStyle name="Tongcong 2" xfId="5056"/>
    <cellStyle name="Total 2" xfId="5057"/>
    <cellStyle name="Total 2 2" xfId="5058"/>
    <cellStyle name="Total 2 2 2" xfId="5059"/>
    <cellStyle name="trang" xfId="5060"/>
    <cellStyle name="trang 2" xfId="5061"/>
    <cellStyle name="tt1" xfId="5062"/>
    <cellStyle name="tt1 2" xfId="5063"/>
    <cellStyle name="Tusental (0)_pldt" xfId="5064"/>
    <cellStyle name="Tusental_pldt" xfId="5065"/>
    <cellStyle name="ux_3_¼­¿ï-¾È»ê" xfId="5066"/>
    <cellStyle name="Valuta (0)_CALPREZZ" xfId="5067"/>
    <cellStyle name="Valuta_ PESO ELETTR." xfId="5068"/>
    <cellStyle name="VANG1" xfId="5069"/>
    <cellStyle name="VANG1 2" xfId="5070"/>
    <cellStyle name="VANG1 2 2" xfId="5071"/>
    <cellStyle name="VANG1 3" xfId="5072"/>
    <cellStyle name="viet" xfId="5073"/>
    <cellStyle name="viet 2" xfId="5074"/>
    <cellStyle name="viet2" xfId="5075"/>
    <cellStyle name="viet2 2" xfId="5076"/>
    <cellStyle name="viet2 2 2" xfId="5077"/>
    <cellStyle name="viet2 3" xfId="5078"/>
    <cellStyle name="VLB-GTKÕ" xfId="5079"/>
    <cellStyle name="VLB-GTKÕ 2" xfId="5080"/>
    <cellStyle name="VN new romanNormal" xfId="5081"/>
    <cellStyle name="VN new romanNormal 2" xfId="5082"/>
    <cellStyle name="VN new romanNormal 2 2" xfId="5083"/>
    <cellStyle name="VN new romanNormal 2 2 2" xfId="5084"/>
    <cellStyle name="VN new romanNormal 2 3" xfId="5085"/>
    <cellStyle name="VN new romanNormal 3" xfId="5086"/>
    <cellStyle name="VN new romanNormal 3 2" xfId="5087"/>
    <cellStyle name="VN new romanNormal 3 2 2" xfId="5088"/>
    <cellStyle name="VN new romanNormal 3 3" xfId="5089"/>
    <cellStyle name="VN new romanNormal 4" xfId="5090"/>
    <cellStyle name="VN new romanNormal_05-12  KH trung han 2016-2020 - Liem Thinh edited" xfId="5091"/>
    <cellStyle name="Vn Time 13" xfId="5092"/>
    <cellStyle name="Vn Time 13 2" xfId="5093"/>
    <cellStyle name="Vn Time 14" xfId="5094"/>
    <cellStyle name="Vn Time 14 2" xfId="5095"/>
    <cellStyle name="Vn Time 14 2 2" xfId="5096"/>
    <cellStyle name="Vn Time 14 3" xfId="5097"/>
    <cellStyle name="Vn Time 14 3 2" xfId="5098"/>
    <cellStyle name="Vn Time 14 4" xfId="5099"/>
    <cellStyle name="VN time new roman" xfId="5100"/>
    <cellStyle name="VN time new roman 2" xfId="5101"/>
    <cellStyle name="VN time new roman 2 2" xfId="5102"/>
    <cellStyle name="VN time new roman 2 2 2" xfId="5103"/>
    <cellStyle name="VN time new roman 2 3" xfId="5104"/>
    <cellStyle name="VN time new roman 3" xfId="5105"/>
    <cellStyle name="VN time new roman 3 2" xfId="5106"/>
    <cellStyle name="VN time new roman 3 2 2" xfId="5107"/>
    <cellStyle name="VN time new roman 3 3" xfId="5108"/>
    <cellStyle name="VN time new roman 4" xfId="5109"/>
    <cellStyle name="VN time new roman_05-12  KH trung han 2016-2020 - Liem Thinh edited" xfId="5110"/>
    <cellStyle name="vn_time" xfId="5111"/>
    <cellStyle name="vnbo" xfId="5112"/>
    <cellStyle name="vnbo 2" xfId="5113"/>
    <cellStyle name="vnbo 2 2" xfId="5114"/>
    <cellStyle name="vnbo 3" xfId="5115"/>
    <cellStyle name="vnbo 3 2" xfId="5116"/>
    <cellStyle name="vnbo 4" xfId="5117"/>
    <cellStyle name="vnhead1" xfId="5118"/>
    <cellStyle name="vnhead1 2" xfId="5119"/>
    <cellStyle name="vnhead1 2 2" xfId="5120"/>
    <cellStyle name="vnhead1 3" xfId="5121"/>
    <cellStyle name="vnhead2" xfId="5122"/>
    <cellStyle name="vnhead2 2" xfId="5123"/>
    <cellStyle name="vnhead2 2 2" xfId="5124"/>
    <cellStyle name="vnhead2 3" xfId="5125"/>
    <cellStyle name="vnhead2 3 2" xfId="5126"/>
    <cellStyle name="vnhead2 4" xfId="5127"/>
    <cellStyle name="vnhead3" xfId="5128"/>
    <cellStyle name="vnhead3 2" xfId="5129"/>
    <cellStyle name="vnhead3 2 2" xfId="5130"/>
    <cellStyle name="vnhead3 3" xfId="5131"/>
    <cellStyle name="vnhead3 3 2" xfId="5132"/>
    <cellStyle name="vnhead3 4" xfId="5133"/>
    <cellStyle name="vnhead4" xfId="5134"/>
    <cellStyle name="vnhead4 2" xfId="5135"/>
    <cellStyle name="vntxt1" xfId="5136"/>
    <cellStyle name="vntxt1 10" xfId="5137"/>
    <cellStyle name="vntxt1 10 2" xfId="5138"/>
    <cellStyle name="vntxt1 11" xfId="5139"/>
    <cellStyle name="vntxt1 11 2" xfId="5140"/>
    <cellStyle name="vntxt1 12" xfId="5141"/>
    <cellStyle name="vntxt1 12 2" xfId="5142"/>
    <cellStyle name="vntxt1 13" xfId="5143"/>
    <cellStyle name="vntxt1 13 2" xfId="5144"/>
    <cellStyle name="vntxt1 14" xfId="5145"/>
    <cellStyle name="vntxt1 14 2" xfId="5146"/>
    <cellStyle name="vntxt1 15" xfId="5147"/>
    <cellStyle name="vntxt1 15 2" xfId="5148"/>
    <cellStyle name="vntxt1 16" xfId="5149"/>
    <cellStyle name="vntxt1 16 2" xfId="5150"/>
    <cellStyle name="vntxt1 17" xfId="5151"/>
    <cellStyle name="vntxt1 2" xfId="5152"/>
    <cellStyle name="vntxt1 2 2" xfId="5153"/>
    <cellStyle name="vntxt1 3" xfId="5154"/>
    <cellStyle name="vntxt1 3 2" xfId="5155"/>
    <cellStyle name="vntxt1 4" xfId="5156"/>
    <cellStyle name="vntxt1 4 2" xfId="5157"/>
    <cellStyle name="vntxt1 5" xfId="5158"/>
    <cellStyle name="vntxt1 5 2" xfId="5159"/>
    <cellStyle name="vntxt1 6" xfId="5160"/>
    <cellStyle name="vntxt1 6 2" xfId="5161"/>
    <cellStyle name="vntxt1 7" xfId="5162"/>
    <cellStyle name="vntxt1 7 2" xfId="5163"/>
    <cellStyle name="vntxt1 8" xfId="5164"/>
    <cellStyle name="vntxt1 8 2" xfId="5165"/>
    <cellStyle name="vntxt1 9" xfId="5166"/>
    <cellStyle name="vntxt1 9 2" xfId="5167"/>
    <cellStyle name="vntxt1_05-12  KH trung han 2016-2020 - Liem Thinh edited" xfId="5168"/>
    <cellStyle name="vntxt2" xfId="5169"/>
    <cellStyle name="vntxt2 2" xfId="5170"/>
    <cellStyle name="W?hrung [0]_35ERI8T2gbIEMixb4v26icuOo" xfId="5171"/>
    <cellStyle name="W?hrung_35ERI8T2gbIEMixb4v26icuOo" xfId="5172"/>
    <cellStyle name="Währung [0]_68574_Materialbedarfsliste" xfId="5174"/>
    <cellStyle name="Währung_68574_Materialbedarfsliste" xfId="5175"/>
    <cellStyle name="Walutowy [0]_Invoices2001Slovakia" xfId="5176"/>
    <cellStyle name="Walutowy_Invoices2001Slovakia" xfId="5177"/>
    <cellStyle name="Warning Text 2" xfId="5178"/>
    <cellStyle name="Warning Text 2 2" xfId="5179"/>
    <cellStyle name="wrap" xfId="5180"/>
    <cellStyle name="wrap 2" xfId="5181"/>
    <cellStyle name="Wไhrung [0]_35ERI8T2gbIEMixb4v26icuOo" xfId="5182"/>
    <cellStyle name="Wไhrung_35ERI8T2gbIEMixb4v26icuOo" xfId="5183"/>
    <cellStyle name="xan1" xfId="5184"/>
    <cellStyle name="xan1 2" xfId="5185"/>
    <cellStyle name="xuan" xfId="5186"/>
    <cellStyle name="xuan 2" xfId="5187"/>
    <cellStyle name="y" xfId="5188"/>
    <cellStyle name="y 2" xfId="5189"/>
    <cellStyle name="y 2 2" xfId="5190"/>
    <cellStyle name="y 3" xfId="5191"/>
    <cellStyle name="Ý kh¸c_B¶ng 1 (2)" xfId="5192"/>
    <cellStyle name="เครื่องหมายสกุลเงิน [0]_FTC_OFFER" xfId="5193"/>
    <cellStyle name="เครื่องหมายสกุลเงิน_FTC_OFFER" xfId="5194"/>
    <cellStyle name="ปกติ_FTC_OFFER" xfId="5195"/>
    <cellStyle name=" [0.00]_ Att. 1- Cover" xfId="5239"/>
    <cellStyle name="_ Att. 1- Cover" xfId="5240"/>
    <cellStyle name="?_ Att. 1- Cover" xfId="5241"/>
    <cellStyle name="똿뗦먛귟 [0.00]_PRODUCT DETAIL Q1" xfId="5196"/>
    <cellStyle name="똿뗦먛귟_PRODUCT DETAIL Q1" xfId="5197"/>
    <cellStyle name="믅됞 [0.00]_PRODUCT DETAIL Q1" xfId="5198"/>
    <cellStyle name="믅됞_PRODUCT DETAIL Q1" xfId="5199"/>
    <cellStyle name="백분율_††††† " xfId="5200"/>
    <cellStyle name="뷭?_BOOKSHIP" xfId="5201"/>
    <cellStyle name="안건회계법인" xfId="5202"/>
    <cellStyle name="안건회계법인 2" xfId="5203"/>
    <cellStyle name="콤맀_Sheet1_총괄표 (수출입) (2)" xfId="5207"/>
    <cellStyle name="콤마 [ - 유형1" xfId="5208"/>
    <cellStyle name="콤마 [ - 유형1 2" xfId="5209"/>
    <cellStyle name="콤마 [ - 유형2" xfId="5210"/>
    <cellStyle name="콤마 [ - 유형2 2" xfId="5211"/>
    <cellStyle name="콤마 [ - 유형3" xfId="5212"/>
    <cellStyle name="콤마 [ - 유형3 2" xfId="5213"/>
    <cellStyle name="콤마 [ - 유형4" xfId="5214"/>
    <cellStyle name="콤마 [ - 유형4 2" xfId="5215"/>
    <cellStyle name="콤마 [ - 유형5" xfId="5216"/>
    <cellStyle name="콤마 [ - 유형5 2" xfId="5217"/>
    <cellStyle name="콤마 [ - 유형6" xfId="5218"/>
    <cellStyle name="콤마 [ - 유형6 2" xfId="5219"/>
    <cellStyle name="콤마 [ - 유형7" xfId="5220"/>
    <cellStyle name="콤마 [ - 유형7 2" xfId="5221"/>
    <cellStyle name="콤마 [ - 유형8" xfId="5222"/>
    <cellStyle name="콤마 [ - 유형8 2" xfId="5223"/>
    <cellStyle name="콤마 [0]_ 비목별 월별기술 " xfId="5224"/>
    <cellStyle name="콤마_ 비목별 월별기술 " xfId="5225"/>
    <cellStyle name="통화 [0]_††††† " xfId="5226"/>
    <cellStyle name="통화_††††† " xfId="5227"/>
    <cellStyle name="표섀_변경(최종)" xfId="5228"/>
    <cellStyle name="표준_ 97년 경영분석(안)" xfId="5229"/>
    <cellStyle name="표줠_Sheet1_1_총괄표 (수출입) (2)" xfId="5230"/>
    <cellStyle name="一般_00Q3902REV.1" xfId="5204"/>
    <cellStyle name="千分位[0]_00Q3902REV.1" xfId="5205"/>
    <cellStyle name="千分位_00Q3902REV.1" xfId="5206"/>
    <cellStyle name="桁区切り [0.00]_BE-BQ" xfId="5231"/>
    <cellStyle name="桁区切り_BE-BQ" xfId="5232"/>
    <cellStyle name="標準_(A1)BOQ " xfId="5233"/>
    <cellStyle name="貨幣 [0]_00Q3902REV.1" xfId="5234"/>
    <cellStyle name="貨幣[0]_BRE" xfId="5235"/>
    <cellStyle name="貨幣_00Q3902REV.1" xfId="5236"/>
    <cellStyle name="通貨 [0.00]_BE-BQ" xfId="5237"/>
    <cellStyle name="通貨_BE-BQ" xfId="52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45"/>
  <sheetViews>
    <sheetView zoomScale="80" zoomScaleNormal="80" workbookViewId="0">
      <selection activeCell="A3" sqref="A3:AF3"/>
    </sheetView>
  </sheetViews>
  <sheetFormatPr defaultColWidth="8.85546875" defaultRowHeight="15"/>
  <cols>
    <col min="1" max="1" width="5" style="46" bestFit="1" customWidth="1"/>
    <col min="2" max="2" width="30.85546875" style="45" customWidth="1"/>
    <col min="3" max="3" width="30.85546875" style="45" hidden="1" customWidth="1"/>
    <col min="4" max="4" width="10.42578125" style="46" customWidth="1"/>
    <col min="5" max="5" width="10" style="46" hidden="1" customWidth="1"/>
    <col min="6" max="6" width="6.42578125" style="46" customWidth="1"/>
    <col min="7" max="7" width="11.85546875" style="47" customWidth="1"/>
    <col min="8" max="8" width="11.140625" style="46" customWidth="1"/>
    <col min="9" max="9" width="12.5703125" style="46" customWidth="1"/>
    <col min="10" max="10" width="11.85546875" style="46" customWidth="1"/>
    <col min="11" max="11" width="12.28515625" style="45" customWidth="1"/>
    <col min="12" max="12" width="13.7109375" style="48" customWidth="1"/>
    <col min="13" max="14" width="11.85546875" style="45" customWidth="1"/>
    <col min="15" max="15" width="12.5703125" style="45" customWidth="1"/>
    <col min="16" max="16" width="13.42578125" style="45" customWidth="1"/>
    <col min="17" max="17" width="11.85546875" style="48" customWidth="1"/>
    <col min="18" max="18" width="11.85546875" style="45" customWidth="1"/>
    <col min="19" max="19" width="11.28515625" style="45" customWidth="1"/>
    <col min="20" max="20" width="14.5703125" style="45" customWidth="1"/>
    <col min="21" max="21" width="13.7109375" style="49" bestFit="1" customWidth="1"/>
    <col min="22" max="22" width="13.7109375" style="45" bestFit="1" customWidth="1"/>
    <col min="23" max="23" width="12.7109375" style="45" bestFit="1" customWidth="1"/>
    <col min="24" max="24" width="12.42578125" style="45" customWidth="1"/>
    <col min="25" max="25" width="13.7109375" style="50" bestFit="1" customWidth="1"/>
    <col min="26" max="32" width="11.85546875" style="44" customWidth="1"/>
    <col min="33" max="33" width="11.85546875" style="44" hidden="1" customWidth="1"/>
    <col min="34" max="34" width="15.7109375" style="109"/>
    <col min="35" max="16384" width="8.85546875" style="45"/>
  </cols>
  <sheetData>
    <row r="1" spans="1:34" ht="15" customHeight="1">
      <c r="A1" s="228" t="s">
        <v>374</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row>
    <row r="2" spans="1:34" ht="18.75">
      <c r="A2" s="228" t="s">
        <v>375</v>
      </c>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row>
    <row r="3" spans="1:34">
      <c r="A3" s="229" t="str">
        <f>AH3</f>
        <v>(Kèm theo Tờ trình số ………/TTr-UBND ngày ……. tháng ……. năm 2018 của Ủy ban nhân dân thành phố)</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H3" s="133" t="s">
        <v>376</v>
      </c>
    </row>
    <row r="4" spans="1:34" s="109" customFormat="1">
      <c r="A4" s="108"/>
      <c r="D4" s="108"/>
      <c r="E4" s="108"/>
      <c r="F4" s="108"/>
      <c r="G4" s="110"/>
      <c r="H4" s="108"/>
      <c r="I4" s="108"/>
      <c r="J4" s="108"/>
      <c r="L4" s="111">
        <f>'Chu dau tu'!L13</f>
        <v>16426222.648484001</v>
      </c>
      <c r="M4" s="111">
        <f>'Chu dau tu'!M13</f>
        <v>8862439</v>
      </c>
      <c r="N4" s="111">
        <f>'Chu dau tu'!N13</f>
        <v>821343</v>
      </c>
      <c r="O4" s="111">
        <f>'Chu dau tu'!O13</f>
        <v>6742440.648484</v>
      </c>
      <c r="P4" s="111">
        <f>'Chu dau tu'!P13</f>
        <v>10655033.75</v>
      </c>
      <c r="Q4" s="111">
        <f>'Chu dau tu'!Q13</f>
        <v>8012222</v>
      </c>
      <c r="R4" s="111">
        <f>'Chu dau tu'!R13</f>
        <v>1384210</v>
      </c>
      <c r="S4" s="111">
        <f>'Chu dau tu'!S13</f>
        <v>1011670</v>
      </c>
      <c r="T4" s="111">
        <f>'Chu dau tu'!T13</f>
        <v>5672032</v>
      </c>
      <c r="U4" s="111">
        <f>'Chu dau tu'!U13</f>
        <v>8129966</v>
      </c>
      <c r="V4" s="111">
        <f>'Chu dau tu'!V13</f>
        <v>1534210</v>
      </c>
      <c r="W4" s="111">
        <f>'Chu dau tu'!W13</f>
        <v>844862</v>
      </c>
      <c r="X4" s="111">
        <f>'Chu dau tu'!X13</f>
        <v>5750894</v>
      </c>
      <c r="Y4" s="111">
        <f>'Chu dau tu'!Y13</f>
        <v>4896443</v>
      </c>
      <c r="Z4" s="111">
        <f>'Chu dau tu'!Z13</f>
        <v>809023</v>
      </c>
      <c r="AA4" s="111">
        <f>'Chu dau tu'!AA13</f>
        <v>452620</v>
      </c>
      <c r="AB4" s="111">
        <f>'Chu dau tu'!AB13</f>
        <v>1464800</v>
      </c>
      <c r="AC4" s="111">
        <f>'Chu dau tu'!AC13</f>
        <v>400000</v>
      </c>
      <c r="AD4" s="111">
        <f>'Chu dau tu'!AD13</f>
        <v>1300000</v>
      </c>
      <c r="AE4" s="111">
        <f>'Chu dau tu'!AE13</f>
        <v>470000</v>
      </c>
      <c r="AF4" s="112"/>
      <c r="AG4" s="112"/>
      <c r="AH4" s="133" t="s">
        <v>377</v>
      </c>
    </row>
    <row r="5" spans="1:34" s="109" customFormat="1">
      <c r="A5" s="108"/>
      <c r="D5" s="108"/>
      <c r="E5" s="108"/>
      <c r="F5" s="108"/>
      <c r="G5" s="110"/>
      <c r="H5" s="108"/>
      <c r="I5" s="108"/>
      <c r="J5" s="108"/>
      <c r="L5" s="113">
        <f>L4-L12</f>
        <v>0</v>
      </c>
      <c r="M5" s="113">
        <f t="shared" ref="M5:AE5" si="0">M4-M12</f>
        <v>0</v>
      </c>
      <c r="N5" s="113">
        <f t="shared" si="0"/>
        <v>0</v>
      </c>
      <c r="O5" s="113">
        <f t="shared" si="0"/>
        <v>0</v>
      </c>
      <c r="P5" s="113">
        <f t="shared" si="0"/>
        <v>0</v>
      </c>
      <c r="Q5" s="113">
        <f t="shared" si="0"/>
        <v>0</v>
      </c>
      <c r="R5" s="113">
        <f t="shared" si="0"/>
        <v>0</v>
      </c>
      <c r="S5" s="113">
        <f t="shared" si="0"/>
        <v>0</v>
      </c>
      <c r="T5" s="113">
        <f t="shared" si="0"/>
        <v>0</v>
      </c>
      <c r="U5" s="113">
        <f t="shared" si="0"/>
        <v>0</v>
      </c>
      <c r="V5" s="113">
        <f t="shared" si="0"/>
        <v>0</v>
      </c>
      <c r="W5" s="113">
        <f t="shared" si="0"/>
        <v>0</v>
      </c>
      <c r="X5" s="113">
        <f t="shared" si="0"/>
        <v>0</v>
      </c>
      <c r="Y5" s="113">
        <f t="shared" si="0"/>
        <v>0</v>
      </c>
      <c r="Z5" s="113">
        <f t="shared" si="0"/>
        <v>0</v>
      </c>
      <c r="AA5" s="113">
        <f t="shared" si="0"/>
        <v>0</v>
      </c>
      <c r="AB5" s="113">
        <f t="shared" si="0"/>
        <v>0</v>
      </c>
      <c r="AC5" s="113">
        <f t="shared" si="0"/>
        <v>0</v>
      </c>
      <c r="AD5" s="113">
        <f t="shared" si="0"/>
        <v>0</v>
      </c>
      <c r="AE5" s="113">
        <f t="shared" si="0"/>
        <v>0</v>
      </c>
      <c r="AF5" s="112"/>
      <c r="AG5" s="112"/>
    </row>
    <row r="6" spans="1:34" ht="14.85" customHeight="1">
      <c r="P6" s="51"/>
      <c r="AB6" s="96">
        <f>1464800-AB12</f>
        <v>0</v>
      </c>
      <c r="AC6" s="96">
        <f>400000-AC12</f>
        <v>0</v>
      </c>
      <c r="AD6" s="96">
        <f>1300000-AD12</f>
        <v>0</v>
      </c>
      <c r="AE6" s="230" t="s">
        <v>4</v>
      </c>
      <c r="AF6" s="230"/>
    </row>
    <row r="7" spans="1:34" ht="14.85" customHeight="1">
      <c r="A7" s="231" t="s">
        <v>0</v>
      </c>
      <c r="B7" s="231" t="s">
        <v>7</v>
      </c>
      <c r="C7" s="233" t="s">
        <v>237</v>
      </c>
      <c r="D7" s="231" t="s">
        <v>39</v>
      </c>
      <c r="E7" s="231" t="s">
        <v>177</v>
      </c>
      <c r="F7" s="231" t="s">
        <v>178</v>
      </c>
      <c r="G7" s="232" t="s">
        <v>179</v>
      </c>
      <c r="H7" s="231" t="s">
        <v>189</v>
      </c>
      <c r="I7" s="231" t="s">
        <v>8</v>
      </c>
      <c r="J7" s="231" t="s">
        <v>40</v>
      </c>
      <c r="K7" s="231" t="s">
        <v>12</v>
      </c>
      <c r="L7" s="231"/>
      <c r="M7" s="231"/>
      <c r="N7" s="231"/>
      <c r="O7" s="231"/>
      <c r="P7" s="231" t="s">
        <v>180</v>
      </c>
      <c r="Q7" s="231" t="s">
        <v>202</v>
      </c>
      <c r="R7" s="231"/>
      <c r="S7" s="231"/>
      <c r="T7" s="231"/>
      <c r="U7" s="231" t="s">
        <v>203</v>
      </c>
      <c r="V7" s="231"/>
      <c r="W7" s="231"/>
      <c r="X7" s="231"/>
      <c r="Y7" s="232" t="s">
        <v>235</v>
      </c>
      <c r="Z7" s="232"/>
      <c r="AA7" s="232"/>
      <c r="AB7" s="232"/>
      <c r="AC7" s="232"/>
      <c r="AD7" s="232"/>
      <c r="AE7" s="232"/>
      <c r="AF7" s="232" t="s">
        <v>9</v>
      </c>
    </row>
    <row r="8" spans="1:34" ht="14.85" customHeight="1">
      <c r="A8" s="231"/>
      <c r="B8" s="231"/>
      <c r="C8" s="234"/>
      <c r="D8" s="231"/>
      <c r="E8" s="231"/>
      <c r="F8" s="231"/>
      <c r="G8" s="232"/>
      <c r="H8" s="231"/>
      <c r="I8" s="231"/>
      <c r="J8" s="231"/>
      <c r="K8" s="231" t="s">
        <v>41</v>
      </c>
      <c r="L8" s="231" t="s">
        <v>42</v>
      </c>
      <c r="M8" s="231"/>
      <c r="N8" s="231"/>
      <c r="O8" s="231"/>
      <c r="P8" s="231"/>
      <c r="Q8" s="231"/>
      <c r="R8" s="231"/>
      <c r="S8" s="231"/>
      <c r="T8" s="231"/>
      <c r="U8" s="231"/>
      <c r="V8" s="231"/>
      <c r="W8" s="231"/>
      <c r="X8" s="231"/>
      <c r="Y8" s="232"/>
      <c r="Z8" s="232"/>
      <c r="AA8" s="232"/>
      <c r="AB8" s="232"/>
      <c r="AC8" s="232"/>
      <c r="AD8" s="232"/>
      <c r="AE8" s="232"/>
      <c r="AF8" s="232"/>
    </row>
    <row r="9" spans="1:34">
      <c r="A9" s="231"/>
      <c r="B9" s="231"/>
      <c r="C9" s="234"/>
      <c r="D9" s="231"/>
      <c r="E9" s="231"/>
      <c r="F9" s="231"/>
      <c r="G9" s="232"/>
      <c r="H9" s="231"/>
      <c r="I9" s="231"/>
      <c r="J9" s="231"/>
      <c r="K9" s="231"/>
      <c r="L9" s="231" t="s">
        <v>10</v>
      </c>
      <c r="M9" s="231" t="s">
        <v>43</v>
      </c>
      <c r="N9" s="231"/>
      <c r="O9" s="231"/>
      <c r="P9" s="231"/>
      <c r="Q9" s="231" t="s">
        <v>11</v>
      </c>
      <c r="R9" s="231" t="s">
        <v>43</v>
      </c>
      <c r="S9" s="231"/>
      <c r="T9" s="231"/>
      <c r="U9" s="233" t="s">
        <v>11</v>
      </c>
      <c r="V9" s="231" t="s">
        <v>43</v>
      </c>
      <c r="W9" s="231"/>
      <c r="X9" s="231"/>
      <c r="Y9" s="232" t="s">
        <v>11</v>
      </c>
      <c r="Z9" s="232" t="s">
        <v>43</v>
      </c>
      <c r="AA9" s="232"/>
      <c r="AB9" s="232"/>
      <c r="AC9" s="232"/>
      <c r="AD9" s="232"/>
      <c r="AE9" s="232"/>
      <c r="AF9" s="232"/>
    </row>
    <row r="10" spans="1:34" ht="66.75" customHeight="1">
      <c r="A10" s="231"/>
      <c r="B10" s="231"/>
      <c r="C10" s="235"/>
      <c r="D10" s="231"/>
      <c r="E10" s="231"/>
      <c r="F10" s="231"/>
      <c r="G10" s="232"/>
      <c r="H10" s="231"/>
      <c r="I10" s="231"/>
      <c r="J10" s="231"/>
      <c r="K10" s="231"/>
      <c r="L10" s="231"/>
      <c r="M10" s="132" t="s">
        <v>44</v>
      </c>
      <c r="N10" s="132" t="s">
        <v>45</v>
      </c>
      <c r="O10" s="132" t="s">
        <v>46</v>
      </c>
      <c r="P10" s="231"/>
      <c r="Q10" s="231"/>
      <c r="R10" s="132" t="s">
        <v>44</v>
      </c>
      <c r="S10" s="132" t="s">
        <v>45</v>
      </c>
      <c r="T10" s="132" t="s">
        <v>46</v>
      </c>
      <c r="U10" s="235"/>
      <c r="V10" s="132" t="s">
        <v>44</v>
      </c>
      <c r="W10" s="132" t="s">
        <v>45</v>
      </c>
      <c r="X10" s="132" t="s">
        <v>46</v>
      </c>
      <c r="Y10" s="232"/>
      <c r="Z10" s="131" t="s">
        <v>44</v>
      </c>
      <c r="AA10" s="131" t="s">
        <v>45</v>
      </c>
      <c r="AB10" s="131" t="s">
        <v>47</v>
      </c>
      <c r="AC10" s="131" t="s">
        <v>48</v>
      </c>
      <c r="AD10" s="131" t="s">
        <v>49</v>
      </c>
      <c r="AE10" s="131" t="s">
        <v>50</v>
      </c>
      <c r="AF10" s="232"/>
    </row>
    <row r="11" spans="1:34">
      <c r="A11" s="132" t="s">
        <v>1</v>
      </c>
      <c r="B11" s="132" t="s">
        <v>2</v>
      </c>
      <c r="C11" s="130"/>
      <c r="D11" s="132">
        <v>1</v>
      </c>
      <c r="E11" s="132">
        <v>2</v>
      </c>
      <c r="F11" s="132">
        <v>2</v>
      </c>
      <c r="G11" s="132">
        <v>3</v>
      </c>
      <c r="H11" s="132">
        <v>4</v>
      </c>
      <c r="I11" s="132">
        <v>5</v>
      </c>
      <c r="J11" s="132">
        <v>6</v>
      </c>
      <c r="K11" s="132">
        <v>7</v>
      </c>
      <c r="L11" s="132">
        <v>8</v>
      </c>
      <c r="M11" s="132">
        <v>9</v>
      </c>
      <c r="N11" s="132">
        <v>10</v>
      </c>
      <c r="O11" s="132">
        <v>11</v>
      </c>
      <c r="P11" s="132">
        <v>12</v>
      </c>
      <c r="Q11" s="132">
        <v>13</v>
      </c>
      <c r="R11" s="132">
        <v>14</v>
      </c>
      <c r="S11" s="132">
        <v>15</v>
      </c>
      <c r="T11" s="132">
        <v>16</v>
      </c>
      <c r="U11" s="132">
        <v>17</v>
      </c>
      <c r="V11" s="132">
        <v>18</v>
      </c>
      <c r="W11" s="132">
        <v>19</v>
      </c>
      <c r="X11" s="132">
        <v>20</v>
      </c>
      <c r="Y11" s="132">
        <v>21</v>
      </c>
      <c r="Z11" s="132">
        <v>22</v>
      </c>
      <c r="AA11" s="132">
        <v>23</v>
      </c>
      <c r="AB11" s="132">
        <v>24</v>
      </c>
      <c r="AC11" s="132">
        <v>25</v>
      </c>
      <c r="AD11" s="132">
        <v>26</v>
      </c>
      <c r="AE11" s="132">
        <v>27</v>
      </c>
      <c r="AF11" s="132">
        <v>28</v>
      </c>
      <c r="AG11" s="89">
        <v>29</v>
      </c>
    </row>
    <row r="12" spans="1:34" s="48" customFormat="1" ht="14.25">
      <c r="A12" s="132"/>
      <c r="B12" s="132" t="s">
        <v>11</v>
      </c>
      <c r="C12" s="132"/>
      <c r="D12" s="132"/>
      <c r="E12" s="132"/>
      <c r="F12" s="132"/>
      <c r="G12" s="131"/>
      <c r="H12" s="132"/>
      <c r="I12" s="132"/>
      <c r="J12" s="132"/>
      <c r="K12" s="132"/>
      <c r="L12" s="60">
        <f>L13+L14+L15+L16+L17</f>
        <v>16426222.648484001</v>
      </c>
      <c r="M12" s="60">
        <f t="shared" ref="M12:AD12" si="1">M13+M14+M15+M16+M17</f>
        <v>8862439</v>
      </c>
      <c r="N12" s="60">
        <f t="shared" si="1"/>
        <v>821343</v>
      </c>
      <c r="O12" s="60">
        <f t="shared" si="1"/>
        <v>6742440.648484</v>
      </c>
      <c r="P12" s="60">
        <f t="shared" si="1"/>
        <v>10655033.75</v>
      </c>
      <c r="Q12" s="60">
        <f t="shared" si="1"/>
        <v>8012222</v>
      </c>
      <c r="R12" s="60">
        <f t="shared" si="1"/>
        <v>1384210</v>
      </c>
      <c r="S12" s="60">
        <f t="shared" si="1"/>
        <v>1011670</v>
      </c>
      <c r="T12" s="60">
        <f t="shared" si="1"/>
        <v>5672032</v>
      </c>
      <c r="U12" s="60">
        <f t="shared" si="1"/>
        <v>8129966</v>
      </c>
      <c r="V12" s="60">
        <f t="shared" si="1"/>
        <v>1534210</v>
      </c>
      <c r="W12" s="60">
        <f t="shared" si="1"/>
        <v>844862</v>
      </c>
      <c r="X12" s="60">
        <f t="shared" si="1"/>
        <v>5750894</v>
      </c>
      <c r="Y12" s="60">
        <f t="shared" si="1"/>
        <v>4896443</v>
      </c>
      <c r="Z12" s="56">
        <f t="shared" si="1"/>
        <v>809023</v>
      </c>
      <c r="AA12" s="56">
        <f t="shared" si="1"/>
        <v>452620</v>
      </c>
      <c r="AB12" s="56">
        <f t="shared" si="1"/>
        <v>1464800</v>
      </c>
      <c r="AC12" s="56">
        <f t="shared" si="1"/>
        <v>400000</v>
      </c>
      <c r="AD12" s="56">
        <f t="shared" si="1"/>
        <v>1300000</v>
      </c>
      <c r="AE12" s="56">
        <v>470000</v>
      </c>
      <c r="AF12" s="56"/>
      <c r="AG12" s="50">
        <f t="shared" ref="AG12:AG24" si="2">P12-U12-Y12</f>
        <v>-2371375.25</v>
      </c>
      <c r="AH12" s="113">
        <f>Y12-Z12-AA12-AB12-AC12-AD12-AE12</f>
        <v>0</v>
      </c>
    </row>
    <row r="13" spans="1:34">
      <c r="A13" s="52"/>
      <c r="B13" s="54" t="s">
        <v>351</v>
      </c>
      <c r="C13" s="54"/>
      <c r="D13" s="52"/>
      <c r="E13" s="52"/>
      <c r="F13" s="52"/>
      <c r="G13" s="53"/>
      <c r="H13" s="52"/>
      <c r="I13" s="52"/>
      <c r="J13" s="52"/>
      <c r="K13" s="52"/>
      <c r="L13" s="60"/>
      <c r="M13" s="61"/>
      <c r="N13" s="61"/>
      <c r="O13" s="61"/>
      <c r="P13" s="61"/>
      <c r="Q13" s="60"/>
      <c r="R13" s="61"/>
      <c r="S13" s="61"/>
      <c r="T13" s="61"/>
      <c r="U13" s="60"/>
      <c r="V13" s="61"/>
      <c r="W13" s="61"/>
      <c r="X13" s="61"/>
      <c r="Y13" s="60">
        <f>SUM(Z13:AD13)</f>
        <v>555531</v>
      </c>
      <c r="Z13" s="57"/>
      <c r="AA13" s="57"/>
      <c r="AB13" s="57">
        <f>146480+108000-17500</f>
        <v>236980</v>
      </c>
      <c r="AC13" s="57">
        <f>40000+21400</f>
        <v>61400</v>
      </c>
      <c r="AD13" s="57">
        <f>130000+127151</f>
        <v>257151</v>
      </c>
      <c r="AE13" s="57"/>
      <c r="AF13" s="57"/>
      <c r="AG13" s="44">
        <f t="shared" si="2"/>
        <v>-555531</v>
      </c>
      <c r="AH13" s="113">
        <f t="shared" ref="AH13:AH21" si="3">Y13-Z13-AA13-AB13-AC13-AD13-AE13</f>
        <v>0</v>
      </c>
    </row>
    <row r="14" spans="1:34">
      <c r="A14" s="52"/>
      <c r="B14" s="54" t="s">
        <v>51</v>
      </c>
      <c r="C14" s="54"/>
      <c r="D14" s="52"/>
      <c r="E14" s="52"/>
      <c r="F14" s="52"/>
      <c r="G14" s="53"/>
      <c r="H14" s="52"/>
      <c r="I14" s="52"/>
      <c r="J14" s="52"/>
      <c r="K14" s="52"/>
      <c r="L14" s="60"/>
      <c r="M14" s="61"/>
      <c r="N14" s="61"/>
      <c r="O14" s="61"/>
      <c r="P14" s="61">
        <v>225000</v>
      </c>
      <c r="Q14" s="60"/>
      <c r="R14" s="61"/>
      <c r="S14" s="61"/>
      <c r="T14" s="61"/>
      <c r="U14" s="60"/>
      <c r="V14" s="61"/>
      <c r="W14" s="61"/>
      <c r="X14" s="61"/>
      <c r="Y14" s="60">
        <f>SUM(Z14:AD14)</f>
        <v>30000</v>
      </c>
      <c r="Z14" s="57"/>
      <c r="AA14" s="57"/>
      <c r="AB14" s="57"/>
      <c r="AC14" s="57">
        <v>30000</v>
      </c>
      <c r="AD14" s="57"/>
      <c r="AE14" s="57"/>
      <c r="AF14" s="57"/>
      <c r="AG14" s="44">
        <f t="shared" si="2"/>
        <v>195000</v>
      </c>
      <c r="AH14" s="113">
        <f t="shared" si="3"/>
        <v>0</v>
      </c>
    </row>
    <row r="15" spans="1:34">
      <c r="A15" s="52"/>
      <c r="B15" s="54" t="s">
        <v>52</v>
      </c>
      <c r="C15" s="54"/>
      <c r="D15" s="52"/>
      <c r="E15" s="52"/>
      <c r="F15" s="52"/>
      <c r="G15" s="53"/>
      <c r="H15" s="52"/>
      <c r="I15" s="52"/>
      <c r="J15" s="52"/>
      <c r="K15" s="52"/>
      <c r="L15" s="60"/>
      <c r="M15" s="61"/>
      <c r="N15" s="61"/>
      <c r="O15" s="61"/>
      <c r="P15" s="61"/>
      <c r="Q15" s="60">
        <f>SUM(R15:T15)</f>
        <v>0</v>
      </c>
      <c r="R15" s="61"/>
      <c r="S15" s="61"/>
      <c r="T15" s="61"/>
      <c r="U15" s="60">
        <f>SUM(V15:X15)</f>
        <v>0</v>
      </c>
      <c r="V15" s="61"/>
      <c r="W15" s="61"/>
      <c r="X15" s="61"/>
      <c r="Y15" s="60">
        <f>SUM(Z15:AD15)</f>
        <v>0</v>
      </c>
      <c r="Z15" s="57"/>
      <c r="AA15" s="57"/>
      <c r="AB15" s="57"/>
      <c r="AC15" s="57"/>
      <c r="AD15" s="57"/>
      <c r="AE15" s="57"/>
      <c r="AF15" s="57"/>
      <c r="AG15" s="44">
        <f t="shared" si="2"/>
        <v>0</v>
      </c>
      <c r="AH15" s="113">
        <f t="shared" si="3"/>
        <v>0</v>
      </c>
    </row>
    <row r="16" spans="1:34" ht="30">
      <c r="A16" s="52"/>
      <c r="B16" s="54" t="s">
        <v>350</v>
      </c>
      <c r="C16" s="54"/>
      <c r="D16" s="52"/>
      <c r="E16" s="52"/>
      <c r="F16" s="52"/>
      <c r="G16" s="53"/>
      <c r="H16" s="52"/>
      <c r="I16" s="52"/>
      <c r="J16" s="52"/>
      <c r="K16" s="52"/>
      <c r="L16" s="60"/>
      <c r="M16" s="61"/>
      <c r="N16" s="61"/>
      <c r="O16" s="61"/>
      <c r="P16" s="61">
        <v>111140</v>
      </c>
      <c r="Q16" s="60">
        <f>SUM(R16:T16)</f>
        <v>71060</v>
      </c>
      <c r="R16" s="61"/>
      <c r="S16" s="61"/>
      <c r="T16" s="61">
        <f>69410+1650</f>
        <v>71060</v>
      </c>
      <c r="U16" s="60">
        <f>SUM(V16:X16)</f>
        <v>71060</v>
      </c>
      <c r="V16" s="61"/>
      <c r="W16" s="61"/>
      <c r="X16" s="61">
        <f>69410+1650</f>
        <v>71060</v>
      </c>
      <c r="Y16" s="60">
        <f>SUM(Z16:AD16)</f>
        <v>10000</v>
      </c>
      <c r="Z16" s="57"/>
      <c r="AA16" s="57"/>
      <c r="AB16" s="57">
        <v>10000</v>
      </c>
      <c r="AC16" s="57"/>
      <c r="AD16" s="57"/>
      <c r="AE16" s="57"/>
      <c r="AF16" s="57"/>
      <c r="AG16" s="44">
        <f t="shared" si="2"/>
        <v>30080</v>
      </c>
      <c r="AH16" s="113">
        <f t="shared" si="3"/>
        <v>0</v>
      </c>
    </row>
    <row r="17" spans="1:34">
      <c r="A17" s="52"/>
      <c r="B17" s="54" t="s">
        <v>53</v>
      </c>
      <c r="C17" s="54"/>
      <c r="D17" s="52"/>
      <c r="E17" s="52"/>
      <c r="F17" s="52"/>
      <c r="G17" s="53"/>
      <c r="H17" s="52"/>
      <c r="I17" s="52"/>
      <c r="J17" s="52"/>
      <c r="K17" s="52"/>
      <c r="L17" s="60">
        <f>L18+L19+L20+L21</f>
        <v>16426222.648484001</v>
      </c>
      <c r="M17" s="60">
        <f t="shared" ref="M17:AE17" si="4">M18+M19+M20+M21</f>
        <v>8862439</v>
      </c>
      <c r="N17" s="60">
        <f t="shared" si="4"/>
        <v>821343</v>
      </c>
      <c r="O17" s="60">
        <f t="shared" si="4"/>
        <v>6742440.648484</v>
      </c>
      <c r="P17" s="60">
        <f t="shared" si="4"/>
        <v>10318893.75</v>
      </c>
      <c r="Q17" s="60">
        <f t="shared" si="4"/>
        <v>7941162</v>
      </c>
      <c r="R17" s="60">
        <f t="shared" si="4"/>
        <v>1384210</v>
      </c>
      <c r="S17" s="60">
        <f t="shared" si="4"/>
        <v>1011670</v>
      </c>
      <c r="T17" s="60">
        <f t="shared" si="4"/>
        <v>5600972</v>
      </c>
      <c r="U17" s="60">
        <f t="shared" si="4"/>
        <v>8058906</v>
      </c>
      <c r="V17" s="60">
        <f t="shared" si="4"/>
        <v>1534210</v>
      </c>
      <c r="W17" s="60">
        <f t="shared" si="4"/>
        <v>844862</v>
      </c>
      <c r="X17" s="60">
        <f t="shared" si="4"/>
        <v>5679834</v>
      </c>
      <c r="Y17" s="60">
        <f t="shared" si="4"/>
        <v>4300912</v>
      </c>
      <c r="Z17" s="60">
        <f t="shared" si="4"/>
        <v>809023</v>
      </c>
      <c r="AA17" s="60">
        <f t="shared" si="4"/>
        <v>452620</v>
      </c>
      <c r="AB17" s="60">
        <f t="shared" si="4"/>
        <v>1217820</v>
      </c>
      <c r="AC17" s="60">
        <f t="shared" si="4"/>
        <v>308600</v>
      </c>
      <c r="AD17" s="60">
        <f t="shared" si="4"/>
        <v>1042849</v>
      </c>
      <c r="AE17" s="60">
        <f t="shared" si="4"/>
        <v>470000</v>
      </c>
      <c r="AF17" s="57"/>
      <c r="AG17" s="44">
        <f t="shared" si="2"/>
        <v>-2040924.25</v>
      </c>
      <c r="AH17" s="113">
        <f t="shared" si="3"/>
        <v>0</v>
      </c>
    </row>
    <row r="18" spans="1:34" ht="90">
      <c r="A18" s="52"/>
      <c r="B18" s="54" t="s">
        <v>54</v>
      </c>
      <c r="C18" s="54"/>
      <c r="D18" s="52"/>
      <c r="E18" s="52"/>
      <c r="F18" s="52"/>
      <c r="G18" s="53"/>
      <c r="H18" s="52"/>
      <c r="I18" s="52"/>
      <c r="J18" s="52"/>
      <c r="K18" s="52"/>
      <c r="L18" s="60"/>
      <c r="M18" s="61"/>
      <c r="N18" s="61"/>
      <c r="O18" s="61"/>
      <c r="P18" s="61">
        <v>100000</v>
      </c>
      <c r="Q18" s="60"/>
      <c r="R18" s="61"/>
      <c r="S18" s="61"/>
      <c r="T18" s="61"/>
      <c r="U18" s="60">
        <f>SUM(V18:X18)</f>
        <v>26000</v>
      </c>
      <c r="V18" s="61"/>
      <c r="W18" s="61"/>
      <c r="X18" s="61">
        <v>26000</v>
      </c>
      <c r="Y18" s="60">
        <f>SUM(Z18:AE18)</f>
        <v>45000</v>
      </c>
      <c r="Z18" s="57"/>
      <c r="AA18" s="57"/>
      <c r="AB18" s="57"/>
      <c r="AC18" s="57"/>
      <c r="AD18" s="57">
        <v>45000</v>
      </c>
      <c r="AE18" s="57"/>
      <c r="AF18" s="57"/>
      <c r="AG18" s="44">
        <f t="shared" si="2"/>
        <v>29000</v>
      </c>
      <c r="AH18" s="113">
        <f t="shared" si="3"/>
        <v>0</v>
      </c>
    </row>
    <row r="19" spans="1:34" ht="30">
      <c r="A19" s="52"/>
      <c r="B19" s="54" t="s">
        <v>55</v>
      </c>
      <c r="C19" s="54"/>
      <c r="D19" s="52"/>
      <c r="E19" s="52"/>
      <c r="F19" s="52"/>
      <c r="G19" s="53"/>
      <c r="H19" s="52"/>
      <c r="I19" s="52"/>
      <c r="J19" s="52"/>
      <c r="K19" s="52"/>
      <c r="L19" s="60"/>
      <c r="M19" s="61"/>
      <c r="N19" s="61"/>
      <c r="O19" s="61"/>
      <c r="P19" s="61"/>
      <c r="Q19" s="60"/>
      <c r="R19" s="61"/>
      <c r="S19" s="61"/>
      <c r="T19" s="61"/>
      <c r="U19" s="60">
        <f>SUM(V19:X19)</f>
        <v>0</v>
      </c>
      <c r="V19" s="61"/>
      <c r="W19" s="61"/>
      <c r="X19" s="61"/>
      <c r="Y19" s="60">
        <f>SUM(Z19:AD19)</f>
        <v>1261643</v>
      </c>
      <c r="Z19" s="57">
        <v>809023</v>
      </c>
      <c r="AA19" s="57">
        <v>452620</v>
      </c>
      <c r="AB19" s="57"/>
      <c r="AC19" s="57"/>
      <c r="AD19" s="57"/>
      <c r="AE19" s="57"/>
      <c r="AF19" s="57"/>
      <c r="AG19" s="44">
        <f t="shared" si="2"/>
        <v>-1261643</v>
      </c>
      <c r="AH19" s="113">
        <f t="shared" si="3"/>
        <v>0</v>
      </c>
    </row>
    <row r="20" spans="1:34">
      <c r="A20" s="52"/>
      <c r="B20" s="54" t="s">
        <v>56</v>
      </c>
      <c r="C20" s="54"/>
      <c r="D20" s="52"/>
      <c r="E20" s="52"/>
      <c r="F20" s="52"/>
      <c r="G20" s="53"/>
      <c r="H20" s="52"/>
      <c r="I20" s="52"/>
      <c r="J20" s="52"/>
      <c r="K20" s="52"/>
      <c r="L20" s="60"/>
      <c r="M20" s="61"/>
      <c r="N20" s="61"/>
      <c r="O20" s="61"/>
      <c r="P20" s="61"/>
      <c r="Q20" s="60"/>
      <c r="R20" s="61"/>
      <c r="S20" s="61"/>
      <c r="T20" s="61"/>
      <c r="U20" s="60"/>
      <c r="V20" s="61"/>
      <c r="W20" s="61"/>
      <c r="X20" s="61"/>
      <c r="Y20" s="60">
        <f>SUM(Z20:AE20)</f>
        <v>470000</v>
      </c>
      <c r="Z20" s="57"/>
      <c r="AA20" s="57"/>
      <c r="AB20" s="57"/>
      <c r="AC20" s="57"/>
      <c r="AD20" s="57"/>
      <c r="AE20" s="57">
        <v>470000</v>
      </c>
      <c r="AF20" s="57"/>
      <c r="AG20" s="44">
        <f t="shared" si="2"/>
        <v>-470000</v>
      </c>
      <c r="AH20" s="113">
        <f t="shared" si="3"/>
        <v>0</v>
      </c>
    </row>
    <row r="21" spans="1:34">
      <c r="A21" s="52"/>
      <c r="B21" s="54" t="s">
        <v>57</v>
      </c>
      <c r="C21" s="54"/>
      <c r="D21" s="52"/>
      <c r="E21" s="52"/>
      <c r="F21" s="52"/>
      <c r="G21" s="53"/>
      <c r="H21" s="52"/>
      <c r="I21" s="52"/>
      <c r="J21" s="52"/>
      <c r="K21" s="52"/>
      <c r="L21" s="60">
        <f t="shared" ref="L21:AE21" si="5">L22+L130</f>
        <v>16426222.648484001</v>
      </c>
      <c r="M21" s="61">
        <f t="shared" si="5"/>
        <v>8862439</v>
      </c>
      <c r="N21" s="61">
        <f t="shared" si="5"/>
        <v>821343</v>
      </c>
      <c r="O21" s="61">
        <f t="shared" si="5"/>
        <v>6742440.648484</v>
      </c>
      <c r="P21" s="61">
        <f t="shared" si="5"/>
        <v>10218893.75</v>
      </c>
      <c r="Q21" s="60">
        <f t="shared" si="5"/>
        <v>7941162</v>
      </c>
      <c r="R21" s="61">
        <f t="shared" si="5"/>
        <v>1384210</v>
      </c>
      <c r="S21" s="61">
        <f t="shared" si="5"/>
        <v>1011670</v>
      </c>
      <c r="T21" s="61">
        <f t="shared" si="5"/>
        <v>5600972</v>
      </c>
      <c r="U21" s="60">
        <f t="shared" si="5"/>
        <v>8032906</v>
      </c>
      <c r="V21" s="61">
        <f t="shared" si="5"/>
        <v>1534210</v>
      </c>
      <c r="W21" s="61">
        <f t="shared" si="5"/>
        <v>844862</v>
      </c>
      <c r="X21" s="61">
        <f t="shared" si="5"/>
        <v>5653834</v>
      </c>
      <c r="Y21" s="60">
        <f t="shared" si="5"/>
        <v>2524269</v>
      </c>
      <c r="Z21" s="57">
        <f t="shared" si="5"/>
        <v>0</v>
      </c>
      <c r="AA21" s="57">
        <f t="shared" si="5"/>
        <v>0</v>
      </c>
      <c r="AB21" s="57">
        <f t="shared" si="5"/>
        <v>1217820</v>
      </c>
      <c r="AC21" s="57">
        <f t="shared" si="5"/>
        <v>308600</v>
      </c>
      <c r="AD21" s="57">
        <f t="shared" si="5"/>
        <v>997849</v>
      </c>
      <c r="AE21" s="57">
        <f t="shared" si="5"/>
        <v>0</v>
      </c>
      <c r="AF21" s="57"/>
      <c r="AG21" s="44">
        <f t="shared" si="2"/>
        <v>-338281.25</v>
      </c>
      <c r="AH21" s="113">
        <f t="shared" si="3"/>
        <v>0</v>
      </c>
    </row>
    <row r="22" spans="1:34" s="48" customFormat="1" ht="14.25">
      <c r="A22" s="58" t="s">
        <v>1</v>
      </c>
      <c r="B22" s="55" t="s">
        <v>58</v>
      </c>
      <c r="C22" s="55"/>
      <c r="D22" s="58"/>
      <c r="E22" s="58"/>
      <c r="F22" s="58"/>
      <c r="G22" s="59"/>
      <c r="H22" s="58"/>
      <c r="I22" s="58"/>
      <c r="J22" s="58"/>
      <c r="K22" s="58"/>
      <c r="L22" s="60">
        <f t="shared" ref="L22:AE22" si="6">L23+L32+L44+L47+L51+L56+L66+L70+L87+L97+L100+L106+L121</f>
        <v>16158747.569</v>
      </c>
      <c r="M22" s="60">
        <f t="shared" si="6"/>
        <v>8862439</v>
      </c>
      <c r="N22" s="60">
        <f t="shared" si="6"/>
        <v>821343</v>
      </c>
      <c r="O22" s="60">
        <f t="shared" si="6"/>
        <v>6474965.5690000001</v>
      </c>
      <c r="P22" s="60">
        <f t="shared" si="6"/>
        <v>5644733.75</v>
      </c>
      <c r="Q22" s="60">
        <f t="shared" si="6"/>
        <v>5616279</v>
      </c>
      <c r="R22" s="60">
        <f t="shared" si="6"/>
        <v>1384210</v>
      </c>
      <c r="S22" s="60">
        <f t="shared" si="6"/>
        <v>1011670</v>
      </c>
      <c r="T22" s="60">
        <f t="shared" si="6"/>
        <v>3276089</v>
      </c>
      <c r="U22" s="60">
        <f t="shared" si="6"/>
        <v>5704023</v>
      </c>
      <c r="V22" s="60">
        <f t="shared" si="6"/>
        <v>1534210</v>
      </c>
      <c r="W22" s="60">
        <f t="shared" si="6"/>
        <v>844862</v>
      </c>
      <c r="X22" s="60">
        <f t="shared" si="6"/>
        <v>3324951</v>
      </c>
      <c r="Y22" s="60">
        <f t="shared" si="6"/>
        <v>1410041</v>
      </c>
      <c r="Z22" s="60">
        <f t="shared" si="6"/>
        <v>0</v>
      </c>
      <c r="AA22" s="60">
        <f t="shared" si="6"/>
        <v>0</v>
      </c>
      <c r="AB22" s="60">
        <f t="shared" si="6"/>
        <v>659592</v>
      </c>
      <c r="AC22" s="60">
        <f t="shared" si="6"/>
        <v>212600</v>
      </c>
      <c r="AD22" s="60">
        <f t="shared" si="6"/>
        <v>537849</v>
      </c>
      <c r="AE22" s="60">
        <f t="shared" si="6"/>
        <v>0</v>
      </c>
      <c r="AF22" s="56"/>
      <c r="AG22" s="50">
        <f t="shared" si="2"/>
        <v>-1469330.25</v>
      </c>
      <c r="AH22" s="113">
        <f>L21-U21-Y22</f>
        <v>6983275.6484840009</v>
      </c>
    </row>
    <row r="23" spans="1:34" s="68" customFormat="1" ht="28.5">
      <c r="A23" s="62" t="s">
        <v>5</v>
      </c>
      <c r="B23" s="63" t="s">
        <v>59</v>
      </c>
      <c r="C23" s="63"/>
      <c r="D23" s="62"/>
      <c r="E23" s="62"/>
      <c r="F23" s="62"/>
      <c r="G23" s="64"/>
      <c r="H23" s="62"/>
      <c r="I23" s="62"/>
      <c r="J23" s="62"/>
      <c r="K23" s="62"/>
      <c r="L23" s="65">
        <f>L24+L26+L30</f>
        <v>1861971</v>
      </c>
      <c r="M23" s="65">
        <f t="shared" ref="M23:AE23" si="7">M24+M26+M30</f>
        <v>727879</v>
      </c>
      <c r="N23" s="65">
        <f t="shared" si="7"/>
        <v>208371</v>
      </c>
      <c r="O23" s="65">
        <f t="shared" si="7"/>
        <v>925721</v>
      </c>
      <c r="P23" s="65">
        <f t="shared" si="7"/>
        <v>1394254</v>
      </c>
      <c r="Q23" s="65">
        <f t="shared" si="7"/>
        <v>478480</v>
      </c>
      <c r="R23" s="65">
        <f t="shared" si="7"/>
        <v>4555</v>
      </c>
      <c r="S23" s="65">
        <f t="shared" si="7"/>
        <v>198300</v>
      </c>
      <c r="T23" s="65">
        <f t="shared" si="7"/>
        <v>275625</v>
      </c>
      <c r="U23" s="65">
        <f t="shared" si="7"/>
        <v>480480</v>
      </c>
      <c r="V23" s="65">
        <f t="shared" si="7"/>
        <v>4555</v>
      </c>
      <c r="W23" s="65">
        <f t="shared" si="7"/>
        <v>198300</v>
      </c>
      <c r="X23" s="65">
        <f t="shared" si="7"/>
        <v>277625</v>
      </c>
      <c r="Y23" s="65">
        <f t="shared" si="7"/>
        <v>203008</v>
      </c>
      <c r="Z23" s="65">
        <f t="shared" si="7"/>
        <v>0</v>
      </c>
      <c r="AA23" s="65">
        <f t="shared" si="7"/>
        <v>0</v>
      </c>
      <c r="AB23" s="65">
        <f t="shared" si="7"/>
        <v>53008</v>
      </c>
      <c r="AC23" s="65">
        <f t="shared" si="7"/>
        <v>0</v>
      </c>
      <c r="AD23" s="65">
        <f t="shared" si="7"/>
        <v>150000</v>
      </c>
      <c r="AE23" s="65">
        <f t="shared" si="7"/>
        <v>0</v>
      </c>
      <c r="AF23" s="66"/>
      <c r="AG23" s="67">
        <f t="shared" si="2"/>
        <v>710766</v>
      </c>
      <c r="AH23" s="113">
        <f t="shared" ref="AH23:AH86" si="8">L22-U22-Y23</f>
        <v>10251716.569</v>
      </c>
    </row>
    <row r="24" spans="1:34" s="48" customFormat="1" ht="42.75">
      <c r="A24" s="58" t="s">
        <v>73</v>
      </c>
      <c r="B24" s="55" t="s">
        <v>190</v>
      </c>
      <c r="C24" s="55"/>
      <c r="D24" s="58"/>
      <c r="E24" s="58"/>
      <c r="F24" s="58"/>
      <c r="G24" s="59"/>
      <c r="H24" s="58"/>
      <c r="I24" s="58"/>
      <c r="J24" s="58"/>
      <c r="K24" s="58"/>
      <c r="L24" s="60">
        <f>L25</f>
        <v>6682</v>
      </c>
      <c r="M24" s="60">
        <f t="shared" ref="M24:AE24" si="9">M25</f>
        <v>5284</v>
      </c>
      <c r="N24" s="60">
        <f t="shared" si="9"/>
        <v>0</v>
      </c>
      <c r="O24" s="60">
        <f t="shared" si="9"/>
        <v>1398</v>
      </c>
      <c r="P24" s="60">
        <f t="shared" si="9"/>
        <v>1587</v>
      </c>
      <c r="Q24" s="60">
        <f t="shared" si="9"/>
        <v>5552</v>
      </c>
      <c r="R24" s="60">
        <f t="shared" si="9"/>
        <v>4555</v>
      </c>
      <c r="S24" s="60">
        <f t="shared" si="9"/>
        <v>0</v>
      </c>
      <c r="T24" s="60">
        <f t="shared" si="9"/>
        <v>997</v>
      </c>
      <c r="U24" s="60">
        <f t="shared" si="9"/>
        <v>5552</v>
      </c>
      <c r="V24" s="60">
        <f t="shared" si="9"/>
        <v>4555</v>
      </c>
      <c r="W24" s="60">
        <f t="shared" si="9"/>
        <v>0</v>
      </c>
      <c r="X24" s="60">
        <f t="shared" si="9"/>
        <v>997</v>
      </c>
      <c r="Y24" s="60">
        <f t="shared" si="9"/>
        <v>8</v>
      </c>
      <c r="Z24" s="60">
        <f t="shared" si="9"/>
        <v>0</v>
      </c>
      <c r="AA24" s="60">
        <f t="shared" si="9"/>
        <v>0</v>
      </c>
      <c r="AB24" s="60">
        <f t="shared" si="9"/>
        <v>8</v>
      </c>
      <c r="AC24" s="60">
        <f t="shared" si="9"/>
        <v>0</v>
      </c>
      <c r="AD24" s="60">
        <f t="shared" si="9"/>
        <v>0</v>
      </c>
      <c r="AE24" s="60">
        <f t="shared" si="9"/>
        <v>0</v>
      </c>
      <c r="AF24" s="56"/>
      <c r="AG24" s="50">
        <f t="shared" si="2"/>
        <v>-3973</v>
      </c>
      <c r="AH24" s="113">
        <f t="shared" si="8"/>
        <v>1381483</v>
      </c>
    </row>
    <row r="25" spans="1:34" ht="45">
      <c r="A25" s="89">
        <v>1</v>
      </c>
      <c r="B25" s="54" t="s">
        <v>257</v>
      </c>
      <c r="C25" s="54" t="s">
        <v>258</v>
      </c>
      <c r="D25" s="89" t="s">
        <v>29</v>
      </c>
      <c r="E25" s="89" t="s">
        <v>181</v>
      </c>
      <c r="F25" s="89" t="s">
        <v>3</v>
      </c>
      <c r="G25" s="91">
        <v>7533030</v>
      </c>
      <c r="H25" s="89">
        <v>278</v>
      </c>
      <c r="I25" s="89"/>
      <c r="J25" s="89"/>
      <c r="K25" s="89" t="s">
        <v>259</v>
      </c>
      <c r="L25" s="60">
        <f t="shared" ref="L25" si="10">M25+O25+N25</f>
        <v>6682</v>
      </c>
      <c r="M25" s="61">
        <v>5284</v>
      </c>
      <c r="N25" s="61"/>
      <c r="O25" s="61">
        <v>1398</v>
      </c>
      <c r="P25" s="57">
        <v>1587</v>
      </c>
      <c r="Q25" s="60">
        <f>SUM(R25:T25)</f>
        <v>5552</v>
      </c>
      <c r="R25" s="61">
        <v>4555</v>
      </c>
      <c r="S25" s="61"/>
      <c r="T25" s="61">
        <v>997</v>
      </c>
      <c r="U25" s="60">
        <f>SUM(V25:X25)</f>
        <v>5552</v>
      </c>
      <c r="V25" s="61">
        <v>4555</v>
      </c>
      <c r="W25" s="61"/>
      <c r="X25" s="61">
        <v>997</v>
      </c>
      <c r="Y25" s="60">
        <f>SUM(Z25:AD25)</f>
        <v>8</v>
      </c>
      <c r="Z25" s="57"/>
      <c r="AA25" s="57"/>
      <c r="AB25" s="57">
        <v>8</v>
      </c>
      <c r="AC25" s="57"/>
      <c r="AD25" s="57"/>
      <c r="AE25" s="57"/>
      <c r="AF25" s="57"/>
      <c r="AG25" s="95"/>
      <c r="AH25" s="109">
        <f t="shared" si="8"/>
        <v>1122</v>
      </c>
    </row>
    <row r="26" spans="1:34" s="48" customFormat="1">
      <c r="A26" s="58" t="s">
        <v>60</v>
      </c>
      <c r="B26" s="55" t="s">
        <v>61</v>
      </c>
      <c r="C26" s="55"/>
      <c r="D26" s="58"/>
      <c r="E26" s="58"/>
      <c r="F26" s="58"/>
      <c r="G26" s="59"/>
      <c r="H26" s="89"/>
      <c r="I26" s="58"/>
      <c r="J26" s="58"/>
      <c r="K26" s="58"/>
      <c r="L26" s="60">
        <f t="shared" ref="L26:AE26" si="11">SUM(L27:L29)</f>
        <v>1540352</v>
      </c>
      <c r="M26" s="60">
        <f t="shared" si="11"/>
        <v>469664</v>
      </c>
      <c r="N26" s="60">
        <f t="shared" si="11"/>
        <v>208371</v>
      </c>
      <c r="O26" s="60">
        <f t="shared" si="11"/>
        <v>862317</v>
      </c>
      <c r="P26" s="60">
        <f t="shared" si="11"/>
        <v>1109224</v>
      </c>
      <c r="Q26" s="60">
        <f t="shared" si="11"/>
        <v>472528</v>
      </c>
      <c r="R26" s="60">
        <f t="shared" si="11"/>
        <v>0</v>
      </c>
      <c r="S26" s="60">
        <f t="shared" si="11"/>
        <v>198300</v>
      </c>
      <c r="T26" s="60">
        <f t="shared" si="11"/>
        <v>274228</v>
      </c>
      <c r="U26" s="60">
        <f t="shared" si="11"/>
        <v>474528</v>
      </c>
      <c r="V26" s="60">
        <f t="shared" si="11"/>
        <v>0</v>
      </c>
      <c r="W26" s="60">
        <f t="shared" si="11"/>
        <v>198300</v>
      </c>
      <c r="X26" s="60">
        <f t="shared" si="11"/>
        <v>276228</v>
      </c>
      <c r="Y26" s="60">
        <f t="shared" si="11"/>
        <v>180000</v>
      </c>
      <c r="Z26" s="56">
        <f t="shared" si="11"/>
        <v>0</v>
      </c>
      <c r="AA26" s="56">
        <f t="shared" si="11"/>
        <v>0</v>
      </c>
      <c r="AB26" s="56">
        <f t="shared" si="11"/>
        <v>30000</v>
      </c>
      <c r="AC26" s="56">
        <f t="shared" si="11"/>
        <v>0</v>
      </c>
      <c r="AD26" s="56">
        <f t="shared" si="11"/>
        <v>150000</v>
      </c>
      <c r="AE26" s="56">
        <f t="shared" si="11"/>
        <v>0</v>
      </c>
      <c r="AF26" s="56"/>
      <c r="AG26" s="50">
        <f>P26-U26-Y26</f>
        <v>454696</v>
      </c>
      <c r="AH26" s="113">
        <f t="shared" si="8"/>
        <v>-178870</v>
      </c>
    </row>
    <row r="27" spans="1:34" ht="45">
      <c r="A27" s="52">
        <v>1</v>
      </c>
      <c r="B27" s="54" t="s">
        <v>215</v>
      </c>
      <c r="C27" s="54" t="s">
        <v>335</v>
      </c>
      <c r="D27" s="52" t="s">
        <v>216</v>
      </c>
      <c r="E27" s="52" t="s">
        <v>181</v>
      </c>
      <c r="F27" s="52" t="s">
        <v>2</v>
      </c>
      <c r="G27" s="53">
        <v>7541370</v>
      </c>
      <c r="H27" s="89">
        <v>281</v>
      </c>
      <c r="I27" s="52"/>
      <c r="J27" s="52" t="s">
        <v>217</v>
      </c>
      <c r="K27" s="52" t="s">
        <v>218</v>
      </c>
      <c r="L27" s="60">
        <f>M27+O27+N27</f>
        <v>312868</v>
      </c>
      <c r="M27" s="61"/>
      <c r="N27" s="61"/>
      <c r="O27" s="61">
        <v>312868</v>
      </c>
      <c r="P27" s="57">
        <v>31283</v>
      </c>
      <c r="Q27" s="60">
        <f>SUM(R27:T27)</f>
        <v>21234</v>
      </c>
      <c r="R27" s="61"/>
      <c r="S27" s="61"/>
      <c r="T27" s="61">
        <f>1234+5000+15000</f>
        <v>21234</v>
      </c>
      <c r="U27" s="60">
        <f>SUM(V27:X27)</f>
        <v>23234</v>
      </c>
      <c r="V27" s="61"/>
      <c r="W27" s="61"/>
      <c r="X27" s="61">
        <f>3234+5000+15000</f>
        <v>23234</v>
      </c>
      <c r="Y27" s="60">
        <f>SUM(Z27:AD27)</f>
        <v>10000</v>
      </c>
      <c r="Z27" s="57"/>
      <c r="AA27" s="57"/>
      <c r="AB27" s="57">
        <v>10000</v>
      </c>
      <c r="AC27" s="57"/>
      <c r="AD27" s="57"/>
      <c r="AE27" s="57"/>
      <c r="AF27" s="57"/>
      <c r="AH27" s="113">
        <f t="shared" si="8"/>
        <v>1055824</v>
      </c>
    </row>
    <row r="28" spans="1:34" ht="45">
      <c r="A28" s="52">
        <v>2</v>
      </c>
      <c r="B28" s="54" t="s">
        <v>15</v>
      </c>
      <c r="C28" s="54" t="s">
        <v>335</v>
      </c>
      <c r="D28" s="52" t="s">
        <v>64</v>
      </c>
      <c r="E28" s="52" t="s">
        <v>181</v>
      </c>
      <c r="F28" s="52" t="s">
        <v>2</v>
      </c>
      <c r="G28" s="53">
        <v>7021916</v>
      </c>
      <c r="H28" s="89">
        <v>283</v>
      </c>
      <c r="I28" s="52" t="s">
        <v>65</v>
      </c>
      <c r="J28" s="52" t="s">
        <v>16</v>
      </c>
      <c r="K28" s="52" t="s">
        <v>66</v>
      </c>
      <c r="L28" s="60">
        <f>SUM(M28:O28)</f>
        <v>416742</v>
      </c>
      <c r="M28" s="61"/>
      <c r="N28" s="61">
        <v>208371</v>
      </c>
      <c r="O28" s="61">
        <v>208371</v>
      </c>
      <c r="P28" s="61">
        <v>299000</v>
      </c>
      <c r="Q28" s="60">
        <f>SUM(R28:T28)</f>
        <v>366280</v>
      </c>
      <c r="R28" s="61"/>
      <c r="S28" s="61">
        <f>84300+35000+60000+19000</f>
        <v>198300</v>
      </c>
      <c r="T28" s="61">
        <f>31980+25000+60000+31000+20000</f>
        <v>167980</v>
      </c>
      <c r="U28" s="60">
        <f>SUM(V28:X28)</f>
        <v>366280</v>
      </c>
      <c r="V28" s="61"/>
      <c r="W28" s="61">
        <f>84300+35000+60000+19000</f>
        <v>198300</v>
      </c>
      <c r="X28" s="61">
        <f>31980+25000+60000+31000+20000</f>
        <v>167980</v>
      </c>
      <c r="Y28" s="60">
        <f>SUM(Z28:AD28)</f>
        <v>20000</v>
      </c>
      <c r="Z28" s="57"/>
      <c r="AA28" s="57"/>
      <c r="AB28" s="57">
        <v>20000</v>
      </c>
      <c r="AC28" s="57"/>
      <c r="AD28" s="57"/>
      <c r="AE28" s="57"/>
      <c r="AF28" s="57"/>
      <c r="AG28" s="44">
        <f>P28-U28-Y28</f>
        <v>-87280</v>
      </c>
      <c r="AH28" s="113">
        <f t="shared" si="8"/>
        <v>269634</v>
      </c>
    </row>
    <row r="29" spans="1:34" ht="60">
      <c r="A29" s="52">
        <v>3</v>
      </c>
      <c r="B29" s="54" t="s">
        <v>69</v>
      </c>
      <c r="C29" s="54" t="s">
        <v>336</v>
      </c>
      <c r="D29" s="52" t="s">
        <v>70</v>
      </c>
      <c r="E29" s="52" t="s">
        <v>181</v>
      </c>
      <c r="F29" s="52" t="s">
        <v>2</v>
      </c>
      <c r="G29" s="53">
        <v>7403787</v>
      </c>
      <c r="H29" s="89">
        <v>283</v>
      </c>
      <c r="I29" s="52" t="s">
        <v>65</v>
      </c>
      <c r="J29" s="52" t="s">
        <v>22</v>
      </c>
      <c r="K29" s="52" t="s">
        <v>71</v>
      </c>
      <c r="L29" s="60">
        <f>SUM(M29:O29)</f>
        <v>810742</v>
      </c>
      <c r="M29" s="61">
        <v>469664</v>
      </c>
      <c r="N29" s="61"/>
      <c r="O29" s="61">
        <v>341078</v>
      </c>
      <c r="P29" s="61">
        <v>778941</v>
      </c>
      <c r="Q29" s="60">
        <f>SUM(R29:T29)</f>
        <v>85014</v>
      </c>
      <c r="R29" s="61"/>
      <c r="S29" s="61"/>
      <c r="T29" s="61">
        <f>3300+81714</f>
        <v>85014</v>
      </c>
      <c r="U29" s="60">
        <f>SUM(V29:X29)</f>
        <v>85014</v>
      </c>
      <c r="V29" s="61"/>
      <c r="W29" s="61"/>
      <c r="X29" s="61">
        <f>3300+81714</f>
        <v>85014</v>
      </c>
      <c r="Y29" s="60">
        <f>SUM(Z29:AD29)</f>
        <v>150000</v>
      </c>
      <c r="Z29" s="57"/>
      <c r="AA29" s="57"/>
      <c r="AB29" s="57"/>
      <c r="AC29" s="57"/>
      <c r="AD29" s="57">
        <v>150000</v>
      </c>
      <c r="AE29" s="57"/>
      <c r="AF29" s="57"/>
      <c r="AG29" s="44">
        <f>P29-U29-Y29</f>
        <v>543927</v>
      </c>
      <c r="AH29" s="113">
        <f t="shared" si="8"/>
        <v>-99538</v>
      </c>
    </row>
    <row r="30" spans="1:34" s="48" customFormat="1" ht="14.25">
      <c r="A30" s="58" t="s">
        <v>67</v>
      </c>
      <c r="B30" s="55" t="s">
        <v>68</v>
      </c>
      <c r="C30" s="55"/>
      <c r="D30" s="58"/>
      <c r="E30" s="58"/>
      <c r="F30" s="58"/>
      <c r="G30" s="59"/>
      <c r="H30" s="58"/>
      <c r="I30" s="58"/>
      <c r="J30" s="58"/>
      <c r="K30" s="58"/>
      <c r="L30" s="60">
        <f>L31</f>
        <v>314937</v>
      </c>
      <c r="M30" s="60">
        <f t="shared" ref="M30:AE30" si="12">M31</f>
        <v>252931</v>
      </c>
      <c r="N30" s="60">
        <f t="shared" si="12"/>
        <v>0</v>
      </c>
      <c r="O30" s="60">
        <f t="shared" si="12"/>
        <v>62006</v>
      </c>
      <c r="P30" s="60">
        <f t="shared" si="12"/>
        <v>283443</v>
      </c>
      <c r="Q30" s="60">
        <f t="shared" si="12"/>
        <v>400</v>
      </c>
      <c r="R30" s="60">
        <f t="shared" si="12"/>
        <v>0</v>
      </c>
      <c r="S30" s="60">
        <f t="shared" si="12"/>
        <v>0</v>
      </c>
      <c r="T30" s="60">
        <f t="shared" si="12"/>
        <v>400</v>
      </c>
      <c r="U30" s="60">
        <f t="shared" si="12"/>
        <v>400</v>
      </c>
      <c r="V30" s="60">
        <f t="shared" si="12"/>
        <v>0</v>
      </c>
      <c r="W30" s="60">
        <f t="shared" si="12"/>
        <v>0</v>
      </c>
      <c r="X30" s="60">
        <f t="shared" si="12"/>
        <v>400</v>
      </c>
      <c r="Y30" s="60">
        <f t="shared" si="12"/>
        <v>23000</v>
      </c>
      <c r="Z30" s="56">
        <f t="shared" si="12"/>
        <v>0</v>
      </c>
      <c r="AA30" s="56">
        <f t="shared" si="12"/>
        <v>0</v>
      </c>
      <c r="AB30" s="56">
        <f t="shared" si="12"/>
        <v>23000</v>
      </c>
      <c r="AC30" s="56">
        <f t="shared" si="12"/>
        <v>0</v>
      </c>
      <c r="AD30" s="56">
        <f t="shared" si="12"/>
        <v>0</v>
      </c>
      <c r="AE30" s="56">
        <f t="shared" si="12"/>
        <v>0</v>
      </c>
      <c r="AF30" s="56"/>
      <c r="AG30" s="50">
        <f>P30-U30-Y30</f>
        <v>260043</v>
      </c>
      <c r="AH30" s="113">
        <f t="shared" si="8"/>
        <v>702728</v>
      </c>
    </row>
    <row r="31" spans="1:34" ht="90">
      <c r="A31" s="52">
        <v>1</v>
      </c>
      <c r="B31" s="54" t="s">
        <v>260</v>
      </c>
      <c r="C31" s="54" t="s">
        <v>261</v>
      </c>
      <c r="D31" s="52" t="s">
        <v>29</v>
      </c>
      <c r="E31" s="52" t="s">
        <v>181</v>
      </c>
      <c r="F31" s="52" t="s">
        <v>2</v>
      </c>
      <c r="G31" s="1">
        <v>7633286</v>
      </c>
      <c r="H31" s="69">
        <v>283</v>
      </c>
      <c r="I31" s="52"/>
      <c r="J31" s="52"/>
      <c r="K31" s="52" t="s">
        <v>262</v>
      </c>
      <c r="L31" s="60">
        <f t="shared" ref="L31" si="13">M31+O31+N31</f>
        <v>314937</v>
      </c>
      <c r="M31" s="61">
        <v>252931</v>
      </c>
      <c r="N31" s="61"/>
      <c r="O31" s="61">
        <v>62006</v>
      </c>
      <c r="P31" s="61">
        <v>283443</v>
      </c>
      <c r="Q31" s="60">
        <f>SUM(R31:T31)</f>
        <v>400</v>
      </c>
      <c r="R31" s="61"/>
      <c r="S31" s="61"/>
      <c r="T31" s="61">
        <v>400</v>
      </c>
      <c r="U31" s="60">
        <f>SUM(V31:X31)</f>
        <v>400</v>
      </c>
      <c r="V31" s="61"/>
      <c r="W31" s="61"/>
      <c r="X31" s="61">
        <v>400</v>
      </c>
      <c r="Y31" s="60">
        <f>SUM(Z31:AD31)</f>
        <v>23000</v>
      </c>
      <c r="Z31" s="57"/>
      <c r="AA31" s="57"/>
      <c r="AB31" s="57">
        <v>23000</v>
      </c>
      <c r="AC31" s="57"/>
      <c r="AD31" s="57"/>
      <c r="AE31" s="57"/>
      <c r="AF31" s="57"/>
      <c r="AH31" s="113">
        <f t="shared" si="8"/>
        <v>291537</v>
      </c>
    </row>
    <row r="32" spans="1:34" s="68" customFormat="1" ht="14.25">
      <c r="A32" s="62" t="s">
        <v>6</v>
      </c>
      <c r="B32" s="63" t="s">
        <v>72</v>
      </c>
      <c r="C32" s="63"/>
      <c r="D32" s="62"/>
      <c r="E32" s="62"/>
      <c r="F32" s="62"/>
      <c r="G32" s="64"/>
      <c r="H32" s="62"/>
      <c r="I32" s="62"/>
      <c r="J32" s="62"/>
      <c r="K32" s="62"/>
      <c r="L32" s="65">
        <f t="shared" ref="L32:AE32" si="14">L33+L36+L42</f>
        <v>1437549.726</v>
      </c>
      <c r="M32" s="65">
        <f t="shared" si="14"/>
        <v>469831</v>
      </c>
      <c r="N32" s="65">
        <f t="shared" si="14"/>
        <v>100000</v>
      </c>
      <c r="O32" s="65">
        <f t="shared" si="14"/>
        <v>867718.72600000002</v>
      </c>
      <c r="P32" s="65">
        <f t="shared" si="14"/>
        <v>753141</v>
      </c>
      <c r="Q32" s="65">
        <f t="shared" si="14"/>
        <v>1093662</v>
      </c>
      <c r="R32" s="65">
        <f t="shared" si="14"/>
        <v>0</v>
      </c>
      <c r="S32" s="65">
        <f t="shared" si="14"/>
        <v>469831</v>
      </c>
      <c r="T32" s="65">
        <f t="shared" si="14"/>
        <v>623831</v>
      </c>
      <c r="U32" s="65">
        <f t="shared" si="14"/>
        <v>1078662</v>
      </c>
      <c r="V32" s="65">
        <f t="shared" si="14"/>
        <v>0</v>
      </c>
      <c r="W32" s="65">
        <f t="shared" si="14"/>
        <v>469831</v>
      </c>
      <c r="X32" s="65">
        <f t="shared" si="14"/>
        <v>608831</v>
      </c>
      <c r="Y32" s="65">
        <f t="shared" si="14"/>
        <v>78600</v>
      </c>
      <c r="Z32" s="65">
        <f t="shared" si="14"/>
        <v>0</v>
      </c>
      <c r="AA32" s="65">
        <f t="shared" si="14"/>
        <v>0</v>
      </c>
      <c r="AB32" s="65">
        <f t="shared" si="14"/>
        <v>67900</v>
      </c>
      <c r="AC32" s="65">
        <f t="shared" si="14"/>
        <v>10700</v>
      </c>
      <c r="AD32" s="65">
        <f t="shared" si="14"/>
        <v>0</v>
      </c>
      <c r="AE32" s="65">
        <f t="shared" si="14"/>
        <v>0</v>
      </c>
      <c r="AF32" s="66"/>
      <c r="AG32" s="67">
        <f>P32-U32-Y32</f>
        <v>-404121</v>
      </c>
      <c r="AH32" s="113">
        <f t="shared" si="8"/>
        <v>235937</v>
      </c>
    </row>
    <row r="33" spans="1:34" s="48" customFormat="1" ht="42.75">
      <c r="A33" s="58" t="s">
        <v>73</v>
      </c>
      <c r="B33" s="55" t="s">
        <v>190</v>
      </c>
      <c r="C33" s="55"/>
      <c r="D33" s="58"/>
      <c r="E33" s="58"/>
      <c r="F33" s="58"/>
      <c r="G33" s="59"/>
      <c r="H33" s="58"/>
      <c r="I33" s="58"/>
      <c r="J33" s="58"/>
      <c r="K33" s="58"/>
      <c r="L33" s="60">
        <f t="shared" ref="L33" si="15">SUM(L34:L35)</f>
        <v>616616</v>
      </c>
      <c r="M33" s="60">
        <f t="shared" ref="M33" si="16">SUM(M34:M35)</f>
        <v>469831</v>
      </c>
      <c r="N33" s="60">
        <f t="shared" ref="N33" si="17">SUM(N34:N35)</f>
        <v>0</v>
      </c>
      <c r="O33" s="60">
        <f t="shared" ref="O33" si="18">SUM(O34:O35)</f>
        <v>146785</v>
      </c>
      <c r="P33" s="60">
        <f t="shared" ref="P33" si="19">SUM(P34:P35)</f>
        <v>118463</v>
      </c>
      <c r="Q33" s="60">
        <f t="shared" ref="Q33" si="20">SUM(Q34:Q35)</f>
        <v>584149</v>
      </c>
      <c r="R33" s="60">
        <f t="shared" ref="R33" si="21">SUM(R34:R35)</f>
        <v>0</v>
      </c>
      <c r="S33" s="60">
        <f t="shared" ref="S33" si="22">SUM(S34:S35)</f>
        <v>469831</v>
      </c>
      <c r="T33" s="60">
        <f t="shared" ref="T33" si="23">SUM(T34:T35)</f>
        <v>114318</v>
      </c>
      <c r="U33" s="60">
        <f t="shared" ref="U33" si="24">SUM(U34:U35)</f>
        <v>569149</v>
      </c>
      <c r="V33" s="60">
        <f t="shared" ref="V33" si="25">SUM(V34:V35)</f>
        <v>0</v>
      </c>
      <c r="W33" s="60">
        <f t="shared" ref="W33" si="26">SUM(W34:W35)</f>
        <v>469831</v>
      </c>
      <c r="X33" s="60">
        <f t="shared" ref="X33" si="27">SUM(X34:X35)</f>
        <v>99318</v>
      </c>
      <c r="Y33" s="60">
        <f t="shared" ref="Y33" si="28">SUM(Y34:Y35)</f>
        <v>15400</v>
      </c>
      <c r="Z33" s="60">
        <f t="shared" ref="Z33" si="29">SUM(Z34:Z35)</f>
        <v>0</v>
      </c>
      <c r="AA33" s="60">
        <f t="shared" ref="AA33" si="30">SUM(AA34:AA35)</f>
        <v>0</v>
      </c>
      <c r="AB33" s="60">
        <f t="shared" ref="AB33" si="31">SUM(AB34:AB35)</f>
        <v>15400</v>
      </c>
      <c r="AC33" s="60">
        <f t="shared" ref="AC33" si="32">SUM(AC34:AC35)</f>
        <v>0</v>
      </c>
      <c r="AD33" s="60">
        <f t="shared" ref="AD33" si="33">SUM(AD34:AD35)</f>
        <v>0</v>
      </c>
      <c r="AE33" s="60">
        <f t="shared" ref="AE33" si="34">SUM(AE34:AE35)</f>
        <v>0</v>
      </c>
      <c r="AF33" s="56"/>
      <c r="AG33" s="50">
        <f>P33-U33-Y33</f>
        <v>-466086</v>
      </c>
      <c r="AH33" s="113">
        <f t="shared" si="8"/>
        <v>343487.72600000002</v>
      </c>
    </row>
    <row r="34" spans="1:34" ht="60">
      <c r="A34" s="52">
        <v>1</v>
      </c>
      <c r="B34" s="54" t="s">
        <v>74</v>
      </c>
      <c r="C34" s="54" t="s">
        <v>337</v>
      </c>
      <c r="D34" s="52" t="s">
        <v>75</v>
      </c>
      <c r="E34" s="52" t="s">
        <v>181</v>
      </c>
      <c r="F34" s="52" t="s">
        <v>2</v>
      </c>
      <c r="G34" s="53">
        <v>7043803</v>
      </c>
      <c r="H34" s="101">
        <v>292</v>
      </c>
      <c r="I34" s="52" t="s">
        <v>76</v>
      </c>
      <c r="J34" s="52" t="s">
        <v>77</v>
      </c>
      <c r="K34" s="52" t="s">
        <v>78</v>
      </c>
      <c r="L34" s="60">
        <f>SUM(M34:O34)</f>
        <v>607850</v>
      </c>
      <c r="M34" s="61">
        <v>469831</v>
      </c>
      <c r="N34" s="61"/>
      <c r="O34" s="61">
        <v>138019</v>
      </c>
      <c r="P34" s="61">
        <v>109697</v>
      </c>
      <c r="Q34" s="60">
        <f>SUM(R34:T34)</f>
        <v>576149</v>
      </c>
      <c r="R34" s="61"/>
      <c r="S34" s="61">
        <v>469831</v>
      </c>
      <c r="T34" s="61">
        <f>24429+10238+35794+20857+15000</f>
        <v>106318</v>
      </c>
      <c r="U34" s="60">
        <f>SUM(V34:X34)</f>
        <v>561149</v>
      </c>
      <c r="V34" s="61"/>
      <c r="W34" s="61">
        <v>469831</v>
      </c>
      <c r="X34" s="61">
        <f>24429+10238+35794+20857</f>
        <v>91318</v>
      </c>
      <c r="Y34" s="60">
        <f>SUM(Z34:AD34)</f>
        <v>15000</v>
      </c>
      <c r="Z34" s="57"/>
      <c r="AA34" s="57"/>
      <c r="AB34" s="57">
        <v>15000</v>
      </c>
      <c r="AC34" s="57"/>
      <c r="AD34" s="57"/>
      <c r="AE34" s="57"/>
      <c r="AF34" s="57"/>
      <c r="AG34" s="44">
        <f>P34-U34-Y34</f>
        <v>-466452</v>
      </c>
      <c r="AH34" s="113">
        <f t="shared" si="8"/>
        <v>32467</v>
      </c>
    </row>
    <row r="35" spans="1:34" ht="45">
      <c r="A35" s="52">
        <v>2</v>
      </c>
      <c r="B35" s="54" t="s">
        <v>233</v>
      </c>
      <c r="C35" s="54" t="s">
        <v>264</v>
      </c>
      <c r="D35" s="52" t="s">
        <v>14</v>
      </c>
      <c r="E35" s="52" t="s">
        <v>181</v>
      </c>
      <c r="F35" s="52" t="s">
        <v>3</v>
      </c>
      <c r="G35" s="53">
        <v>7004686</v>
      </c>
      <c r="H35" s="102" t="s">
        <v>364</v>
      </c>
      <c r="I35" s="52" t="s">
        <v>105</v>
      </c>
      <c r="J35" s="52" t="s">
        <v>25</v>
      </c>
      <c r="K35" s="52" t="s">
        <v>234</v>
      </c>
      <c r="L35" s="60">
        <f>SUM(M35:O35)</f>
        <v>8766</v>
      </c>
      <c r="M35" s="61"/>
      <c r="N35" s="61"/>
      <c r="O35" s="61">
        <v>8766</v>
      </c>
      <c r="P35" s="61">
        <v>8766</v>
      </c>
      <c r="Q35" s="60">
        <f>SUM(R35:T35)</f>
        <v>8000</v>
      </c>
      <c r="R35" s="61"/>
      <c r="S35" s="61"/>
      <c r="T35" s="61">
        <v>8000</v>
      </c>
      <c r="U35" s="60">
        <f>SUM(V35:X35)</f>
        <v>8000</v>
      </c>
      <c r="V35" s="61"/>
      <c r="W35" s="61"/>
      <c r="X35" s="61">
        <f>3000+5000</f>
        <v>8000</v>
      </c>
      <c r="Y35" s="60">
        <f>SUM(Z35:AD35)</f>
        <v>400</v>
      </c>
      <c r="Z35" s="57"/>
      <c r="AA35" s="57"/>
      <c r="AB35" s="57">
        <v>400</v>
      </c>
      <c r="AC35" s="57"/>
      <c r="AD35" s="57"/>
      <c r="AE35" s="57"/>
      <c r="AF35" s="57"/>
      <c r="AH35" s="113">
        <f t="shared" si="8"/>
        <v>46301</v>
      </c>
    </row>
    <row r="36" spans="1:34" s="48" customFormat="1" ht="14.25">
      <c r="A36" s="58" t="s">
        <v>60</v>
      </c>
      <c r="B36" s="55" t="s">
        <v>61</v>
      </c>
      <c r="C36" s="55"/>
      <c r="D36" s="58"/>
      <c r="E36" s="58"/>
      <c r="F36" s="58"/>
      <c r="G36" s="59"/>
      <c r="H36" s="58"/>
      <c r="I36" s="58"/>
      <c r="J36" s="58"/>
      <c r="K36" s="58"/>
      <c r="L36" s="60">
        <f>SUM(L37:L41)</f>
        <v>814681.72600000002</v>
      </c>
      <c r="M36" s="60">
        <f t="shared" ref="M36:AE36" si="35">SUM(M37:M41)</f>
        <v>0</v>
      </c>
      <c r="N36" s="60">
        <f t="shared" si="35"/>
        <v>100000</v>
      </c>
      <c r="O36" s="60">
        <f t="shared" si="35"/>
        <v>714681.72600000002</v>
      </c>
      <c r="P36" s="60">
        <f t="shared" si="35"/>
        <v>628546</v>
      </c>
      <c r="Q36" s="60">
        <f t="shared" si="35"/>
        <v>509413</v>
      </c>
      <c r="R36" s="60">
        <f t="shared" si="35"/>
        <v>0</v>
      </c>
      <c r="S36" s="60">
        <f t="shared" si="35"/>
        <v>0</v>
      </c>
      <c r="T36" s="60">
        <f t="shared" si="35"/>
        <v>509413</v>
      </c>
      <c r="U36" s="60">
        <f t="shared" si="35"/>
        <v>509413</v>
      </c>
      <c r="V36" s="60">
        <f t="shared" si="35"/>
        <v>0</v>
      </c>
      <c r="W36" s="60">
        <f t="shared" si="35"/>
        <v>0</v>
      </c>
      <c r="X36" s="60">
        <f t="shared" si="35"/>
        <v>509413</v>
      </c>
      <c r="Y36" s="60">
        <f t="shared" si="35"/>
        <v>57700</v>
      </c>
      <c r="Z36" s="56">
        <f t="shared" si="35"/>
        <v>0</v>
      </c>
      <c r="AA36" s="56">
        <f t="shared" si="35"/>
        <v>0</v>
      </c>
      <c r="AB36" s="56">
        <f t="shared" si="35"/>
        <v>47000</v>
      </c>
      <c r="AC36" s="56">
        <f t="shared" si="35"/>
        <v>10700</v>
      </c>
      <c r="AD36" s="56">
        <f t="shared" si="35"/>
        <v>0</v>
      </c>
      <c r="AE36" s="56">
        <f t="shared" si="35"/>
        <v>0</v>
      </c>
      <c r="AF36" s="56"/>
      <c r="AG36" s="50">
        <f>P36-U36-Y36</f>
        <v>61433</v>
      </c>
      <c r="AH36" s="113">
        <f t="shared" si="8"/>
        <v>-56934</v>
      </c>
    </row>
    <row r="37" spans="1:34" ht="60">
      <c r="A37" s="52">
        <v>1</v>
      </c>
      <c r="B37" s="54" t="s">
        <v>238</v>
      </c>
      <c r="C37" s="54" t="s">
        <v>336</v>
      </c>
      <c r="D37" s="52" t="s">
        <v>79</v>
      </c>
      <c r="E37" s="52" t="s">
        <v>181</v>
      </c>
      <c r="F37" s="52" t="s">
        <v>2</v>
      </c>
      <c r="G37" s="53">
        <v>7175437</v>
      </c>
      <c r="H37" s="52">
        <v>223</v>
      </c>
      <c r="I37" s="52" t="s">
        <v>63</v>
      </c>
      <c r="J37" s="52" t="s">
        <v>80</v>
      </c>
      <c r="K37" s="52" t="s">
        <v>81</v>
      </c>
      <c r="L37" s="60">
        <f>SUM(M37:O37)</f>
        <v>546474</v>
      </c>
      <c r="M37" s="61"/>
      <c r="N37" s="61"/>
      <c r="O37" s="61">
        <v>546474</v>
      </c>
      <c r="P37" s="61">
        <v>363070</v>
      </c>
      <c r="Q37" s="60">
        <f>SUM(R37:T37)</f>
        <v>408806</v>
      </c>
      <c r="R37" s="61"/>
      <c r="S37" s="61"/>
      <c r="T37" s="61">
        <f>127224+11900+150000+40850+4828+74004</f>
        <v>408806</v>
      </c>
      <c r="U37" s="60">
        <f>SUM(V37:X37)</f>
        <v>408806</v>
      </c>
      <c r="V37" s="61"/>
      <c r="W37" s="61"/>
      <c r="X37" s="61">
        <f>127224+11900+150000+40850+4828+74004</f>
        <v>408806</v>
      </c>
      <c r="Y37" s="60">
        <f>SUM(Z37:AD37)</f>
        <v>13000</v>
      </c>
      <c r="Z37" s="57"/>
      <c r="AA37" s="57"/>
      <c r="AB37" s="57">
        <v>13000</v>
      </c>
      <c r="AC37" s="57"/>
      <c r="AD37" s="57"/>
      <c r="AE37" s="57"/>
      <c r="AF37" s="57"/>
      <c r="AG37" s="44">
        <f>P37-U37-Y37</f>
        <v>-58736</v>
      </c>
      <c r="AH37" s="113">
        <f t="shared" si="8"/>
        <v>292268.72600000002</v>
      </c>
    </row>
    <row r="38" spans="1:34" ht="45">
      <c r="A38" s="52">
        <v>2</v>
      </c>
      <c r="B38" s="54" t="s">
        <v>82</v>
      </c>
      <c r="C38" s="54" t="s">
        <v>336</v>
      </c>
      <c r="D38" s="52" t="s">
        <v>83</v>
      </c>
      <c r="E38" s="52" t="s">
        <v>181</v>
      </c>
      <c r="F38" s="52" t="s">
        <v>2</v>
      </c>
      <c r="G38" s="53">
        <v>7564436</v>
      </c>
      <c r="H38" s="89">
        <v>223</v>
      </c>
      <c r="I38" s="52" t="s">
        <v>63</v>
      </c>
      <c r="J38" s="52" t="s">
        <v>22</v>
      </c>
      <c r="K38" s="52" t="s">
        <v>84</v>
      </c>
      <c r="L38" s="60">
        <f>SUM(M38:O38)</f>
        <v>99484.725999999995</v>
      </c>
      <c r="M38" s="61"/>
      <c r="N38" s="61"/>
      <c r="O38" s="61">
        <v>99484.725999999995</v>
      </c>
      <c r="P38" s="61">
        <v>99285</v>
      </c>
      <c r="Q38" s="60">
        <f>SUM(R38:T38)</f>
        <v>73657</v>
      </c>
      <c r="R38" s="61"/>
      <c r="S38" s="61"/>
      <c r="T38" s="61">
        <f>47511+26146</f>
        <v>73657</v>
      </c>
      <c r="U38" s="60">
        <f>SUM(V38:X38)</f>
        <v>73657</v>
      </c>
      <c r="V38" s="61"/>
      <c r="W38" s="61"/>
      <c r="X38" s="61">
        <f>47511+26146</f>
        <v>73657</v>
      </c>
      <c r="Y38" s="60">
        <f>SUM(Z38:AD38)</f>
        <v>5000</v>
      </c>
      <c r="Z38" s="57"/>
      <c r="AA38" s="57"/>
      <c r="AB38" s="57">
        <v>5000</v>
      </c>
      <c r="AC38" s="57"/>
      <c r="AD38" s="57"/>
      <c r="AE38" s="57"/>
      <c r="AF38" s="57"/>
      <c r="AG38" s="44">
        <f>P38-U38-Y38</f>
        <v>20628</v>
      </c>
      <c r="AH38" s="113">
        <f t="shared" si="8"/>
        <v>132668</v>
      </c>
    </row>
    <row r="39" spans="1:34" ht="60">
      <c r="A39" s="52">
        <v>3</v>
      </c>
      <c r="B39" s="54" t="s">
        <v>87</v>
      </c>
      <c r="C39" s="54" t="s">
        <v>338</v>
      </c>
      <c r="D39" s="52" t="s">
        <v>88</v>
      </c>
      <c r="E39" s="52" t="s">
        <v>181</v>
      </c>
      <c r="F39" s="52" t="s">
        <v>3</v>
      </c>
      <c r="G39" s="53">
        <v>7545459</v>
      </c>
      <c r="H39" s="52">
        <v>223</v>
      </c>
      <c r="I39" s="52" t="s">
        <v>85</v>
      </c>
      <c r="J39" s="52" t="s">
        <v>25</v>
      </c>
      <c r="K39" s="52" t="s">
        <v>89</v>
      </c>
      <c r="L39" s="60">
        <f>SUM(M39:O39)</f>
        <v>21395</v>
      </c>
      <c r="M39" s="61"/>
      <c r="N39" s="61"/>
      <c r="O39" s="61">
        <v>21395</v>
      </c>
      <c r="P39" s="61">
        <v>20895</v>
      </c>
      <c r="Q39" s="60">
        <f>SUM(R39:T39)</f>
        <v>6800</v>
      </c>
      <c r="R39" s="61"/>
      <c r="S39" s="61"/>
      <c r="T39" s="61">
        <f>500+6300</f>
        <v>6800</v>
      </c>
      <c r="U39" s="60">
        <f>SUM(V39:X39)</f>
        <v>6800</v>
      </c>
      <c r="V39" s="61"/>
      <c r="W39" s="61"/>
      <c r="X39" s="61">
        <f>500+6300</f>
        <v>6800</v>
      </c>
      <c r="Y39" s="60">
        <f>SUM(Z39:AD39)</f>
        <v>10700</v>
      </c>
      <c r="Z39" s="57"/>
      <c r="AA39" s="57"/>
      <c r="AB39" s="57"/>
      <c r="AC39" s="57">
        <v>10700</v>
      </c>
      <c r="AD39" s="57"/>
      <c r="AE39" s="57"/>
      <c r="AF39" s="57"/>
      <c r="AG39" s="44">
        <f>P39-U39-Y39</f>
        <v>3395</v>
      </c>
      <c r="AH39" s="113">
        <f t="shared" si="8"/>
        <v>15127.725999999995</v>
      </c>
    </row>
    <row r="40" spans="1:34" ht="90">
      <c r="A40" s="52">
        <v>4</v>
      </c>
      <c r="B40" s="54" t="s">
        <v>19</v>
      </c>
      <c r="C40" s="54" t="s">
        <v>338</v>
      </c>
      <c r="D40" s="52" t="s">
        <v>17</v>
      </c>
      <c r="E40" s="52" t="s">
        <v>181</v>
      </c>
      <c r="F40" s="52" t="s">
        <v>2</v>
      </c>
      <c r="G40" s="53">
        <v>7466791</v>
      </c>
      <c r="H40" s="52">
        <v>223</v>
      </c>
      <c r="I40" s="52" t="s">
        <v>239</v>
      </c>
      <c r="J40" s="52" t="s">
        <v>18</v>
      </c>
      <c r="K40" s="53" t="s">
        <v>20</v>
      </c>
      <c r="L40" s="60">
        <f>SUM(M40:O40)</f>
        <v>137185</v>
      </c>
      <c r="M40" s="57"/>
      <c r="N40" s="57">
        <v>100000</v>
      </c>
      <c r="O40" s="61">
        <v>37185</v>
      </c>
      <c r="P40" s="61">
        <v>135650</v>
      </c>
      <c r="Q40" s="60">
        <f>SUM(R40:T40)</f>
        <v>15000</v>
      </c>
      <c r="R40" s="61"/>
      <c r="S40" s="61"/>
      <c r="T40" s="61">
        <v>15000</v>
      </c>
      <c r="U40" s="60">
        <f>SUM(V40:X40)</f>
        <v>15000</v>
      </c>
      <c r="V40" s="61"/>
      <c r="W40" s="61"/>
      <c r="X40" s="61">
        <v>15000</v>
      </c>
      <c r="Y40" s="60">
        <f>SUM(Z40:AD40)</f>
        <v>25000</v>
      </c>
      <c r="Z40" s="57"/>
      <c r="AA40" s="57"/>
      <c r="AB40" s="57">
        <v>25000</v>
      </c>
      <c r="AC40" s="57"/>
      <c r="AD40" s="57"/>
      <c r="AE40" s="57"/>
      <c r="AF40" s="57"/>
      <c r="AH40" s="113">
        <f t="shared" si="8"/>
        <v>-10405</v>
      </c>
    </row>
    <row r="41" spans="1:34" ht="75">
      <c r="A41" s="52">
        <v>5</v>
      </c>
      <c r="B41" s="54" t="s">
        <v>90</v>
      </c>
      <c r="C41" s="54" t="s">
        <v>338</v>
      </c>
      <c r="D41" s="52" t="s">
        <v>29</v>
      </c>
      <c r="E41" s="52" t="s">
        <v>181</v>
      </c>
      <c r="F41" s="52" t="s">
        <v>3</v>
      </c>
      <c r="G41" s="53">
        <v>7613999</v>
      </c>
      <c r="H41" s="52">
        <v>223</v>
      </c>
      <c r="I41" s="52" t="s">
        <v>85</v>
      </c>
      <c r="J41" s="52" t="s">
        <v>34</v>
      </c>
      <c r="K41" s="52" t="s">
        <v>91</v>
      </c>
      <c r="L41" s="60">
        <f>SUM(M41:O41)</f>
        <v>10143</v>
      </c>
      <c r="M41" s="61">
        <v>0</v>
      </c>
      <c r="N41" s="61"/>
      <c r="O41" s="61">
        <v>10143</v>
      </c>
      <c r="P41" s="61">
        <f>9600+46</f>
        <v>9646</v>
      </c>
      <c r="Q41" s="60">
        <f>SUM(R41:T41)</f>
        <v>5150</v>
      </c>
      <c r="R41" s="61"/>
      <c r="S41" s="61"/>
      <c r="T41" s="61">
        <f>150+5000</f>
        <v>5150</v>
      </c>
      <c r="U41" s="60">
        <f>SUM(V41:X41)</f>
        <v>5150</v>
      </c>
      <c r="V41" s="61"/>
      <c r="W41" s="61"/>
      <c r="X41" s="61">
        <f>150+5000</f>
        <v>5150</v>
      </c>
      <c r="Y41" s="60">
        <f>SUM(Z41:AD41)</f>
        <v>4000</v>
      </c>
      <c r="Z41" s="57"/>
      <c r="AA41" s="57"/>
      <c r="AB41" s="57">
        <v>4000</v>
      </c>
      <c r="AC41" s="57"/>
      <c r="AD41" s="57"/>
      <c r="AE41" s="57"/>
      <c r="AF41" s="57"/>
      <c r="AG41" s="44">
        <f t="shared" ref="AG41:AG58" si="36">P41-U41-Y41</f>
        <v>496</v>
      </c>
      <c r="AH41" s="113">
        <f t="shared" si="8"/>
        <v>118185</v>
      </c>
    </row>
    <row r="42" spans="1:34" s="48" customFormat="1" ht="14.25">
      <c r="A42" s="58" t="s">
        <v>67</v>
      </c>
      <c r="B42" s="55" t="s">
        <v>68</v>
      </c>
      <c r="C42" s="55"/>
      <c r="D42" s="58"/>
      <c r="E42" s="58"/>
      <c r="F42" s="58"/>
      <c r="G42" s="59"/>
      <c r="H42" s="58"/>
      <c r="I42" s="58"/>
      <c r="J42" s="58"/>
      <c r="K42" s="58"/>
      <c r="L42" s="60">
        <f>L43</f>
        <v>6252</v>
      </c>
      <c r="M42" s="60">
        <f t="shared" ref="M42:AE42" si="37">M43</f>
        <v>0</v>
      </c>
      <c r="N42" s="60">
        <f t="shared" si="37"/>
        <v>0</v>
      </c>
      <c r="O42" s="60">
        <f t="shared" si="37"/>
        <v>6252</v>
      </c>
      <c r="P42" s="60">
        <f t="shared" si="37"/>
        <v>6132</v>
      </c>
      <c r="Q42" s="60">
        <f t="shared" si="37"/>
        <v>100</v>
      </c>
      <c r="R42" s="60">
        <f t="shared" si="37"/>
        <v>0</v>
      </c>
      <c r="S42" s="60">
        <f t="shared" si="37"/>
        <v>0</v>
      </c>
      <c r="T42" s="60">
        <f t="shared" si="37"/>
        <v>100</v>
      </c>
      <c r="U42" s="60">
        <f t="shared" si="37"/>
        <v>100</v>
      </c>
      <c r="V42" s="60">
        <f t="shared" si="37"/>
        <v>0</v>
      </c>
      <c r="W42" s="60">
        <f t="shared" si="37"/>
        <v>0</v>
      </c>
      <c r="X42" s="60">
        <f t="shared" si="37"/>
        <v>100</v>
      </c>
      <c r="Y42" s="60">
        <f t="shared" si="37"/>
        <v>5500</v>
      </c>
      <c r="Z42" s="56">
        <f t="shared" si="37"/>
        <v>0</v>
      </c>
      <c r="AA42" s="56">
        <f t="shared" si="37"/>
        <v>0</v>
      </c>
      <c r="AB42" s="56">
        <f t="shared" si="37"/>
        <v>5500</v>
      </c>
      <c r="AC42" s="56">
        <f t="shared" si="37"/>
        <v>0</v>
      </c>
      <c r="AD42" s="56">
        <f t="shared" si="37"/>
        <v>0</v>
      </c>
      <c r="AE42" s="56">
        <f t="shared" si="37"/>
        <v>0</v>
      </c>
      <c r="AF42" s="56"/>
      <c r="AG42" s="50">
        <f t="shared" si="36"/>
        <v>532</v>
      </c>
      <c r="AH42" s="113">
        <f t="shared" si="8"/>
        <v>-507</v>
      </c>
    </row>
    <row r="43" spans="1:34" ht="45">
      <c r="A43" s="52">
        <v>1</v>
      </c>
      <c r="B43" s="54" t="s">
        <v>221</v>
      </c>
      <c r="C43" s="54" t="s">
        <v>339</v>
      </c>
      <c r="D43" s="52" t="s">
        <v>29</v>
      </c>
      <c r="E43" s="52" t="s">
        <v>181</v>
      </c>
      <c r="F43" s="52" t="s">
        <v>3</v>
      </c>
      <c r="G43" s="53">
        <v>7572546</v>
      </c>
      <c r="H43" s="52">
        <v>292</v>
      </c>
      <c r="I43" s="52" t="s">
        <v>85</v>
      </c>
      <c r="J43" s="52" t="s">
        <v>18</v>
      </c>
      <c r="K43" s="52" t="s">
        <v>324</v>
      </c>
      <c r="L43" s="60">
        <f>SUM(M43:O43)</f>
        <v>6252</v>
      </c>
      <c r="M43" s="61"/>
      <c r="N43" s="61"/>
      <c r="O43" s="61">
        <v>6252</v>
      </c>
      <c r="P43" s="61">
        <v>6132</v>
      </c>
      <c r="Q43" s="60">
        <f>SUM(R43:T43)</f>
        <v>100</v>
      </c>
      <c r="R43" s="61"/>
      <c r="S43" s="61"/>
      <c r="T43" s="61">
        <v>100</v>
      </c>
      <c r="U43" s="60">
        <f>SUM(V43:X43)</f>
        <v>100</v>
      </c>
      <c r="V43" s="61"/>
      <c r="W43" s="61"/>
      <c r="X43" s="61">
        <v>100</v>
      </c>
      <c r="Y43" s="60">
        <f>SUM(Z43:AD43)</f>
        <v>5500</v>
      </c>
      <c r="Z43" s="57"/>
      <c r="AA43" s="57"/>
      <c r="AB43" s="57">
        <v>5500</v>
      </c>
      <c r="AC43" s="57"/>
      <c r="AD43" s="57"/>
      <c r="AE43" s="57"/>
      <c r="AF43" s="57"/>
      <c r="AG43" s="44">
        <f t="shared" si="36"/>
        <v>532</v>
      </c>
      <c r="AH43" s="113">
        <f t="shared" si="8"/>
        <v>652</v>
      </c>
    </row>
    <row r="44" spans="1:34" s="68" customFormat="1" ht="14.25">
      <c r="A44" s="62" t="s">
        <v>24</v>
      </c>
      <c r="B44" s="63" t="s">
        <v>92</v>
      </c>
      <c r="C44" s="63"/>
      <c r="D44" s="62"/>
      <c r="E44" s="62"/>
      <c r="F44" s="62"/>
      <c r="G44" s="64"/>
      <c r="H44" s="62"/>
      <c r="I44" s="62"/>
      <c r="J44" s="62"/>
      <c r="K44" s="62"/>
      <c r="L44" s="65">
        <f>L45</f>
        <v>557534</v>
      </c>
      <c r="M44" s="65">
        <f t="shared" ref="M44:AE45" si="38">M45</f>
        <v>0</v>
      </c>
      <c r="N44" s="65">
        <f t="shared" si="38"/>
        <v>473904</v>
      </c>
      <c r="O44" s="65">
        <f t="shared" si="38"/>
        <v>83630</v>
      </c>
      <c r="P44" s="65">
        <f t="shared" si="38"/>
        <v>52823</v>
      </c>
      <c r="Q44" s="65">
        <f t="shared" si="38"/>
        <v>18250</v>
      </c>
      <c r="R44" s="65">
        <f t="shared" si="38"/>
        <v>0</v>
      </c>
      <c r="S44" s="65">
        <f t="shared" si="38"/>
        <v>13000</v>
      </c>
      <c r="T44" s="65">
        <f t="shared" si="38"/>
        <v>5250</v>
      </c>
      <c r="U44" s="65">
        <f t="shared" si="38"/>
        <v>31823</v>
      </c>
      <c r="V44" s="65">
        <f t="shared" si="38"/>
        <v>0</v>
      </c>
      <c r="W44" s="65">
        <f t="shared" si="38"/>
        <v>23000</v>
      </c>
      <c r="X44" s="65">
        <f t="shared" si="38"/>
        <v>8823</v>
      </c>
      <c r="Y44" s="65">
        <f t="shared" si="38"/>
        <v>5000</v>
      </c>
      <c r="Z44" s="66">
        <f t="shared" si="38"/>
        <v>0</v>
      </c>
      <c r="AA44" s="66">
        <f t="shared" si="38"/>
        <v>0</v>
      </c>
      <c r="AB44" s="66">
        <f t="shared" si="38"/>
        <v>5000</v>
      </c>
      <c r="AC44" s="66">
        <f t="shared" si="38"/>
        <v>0</v>
      </c>
      <c r="AD44" s="66">
        <f t="shared" si="38"/>
        <v>0</v>
      </c>
      <c r="AE44" s="66">
        <f t="shared" si="38"/>
        <v>0</v>
      </c>
      <c r="AF44" s="66"/>
      <c r="AG44" s="67">
        <f t="shared" si="36"/>
        <v>16000</v>
      </c>
      <c r="AH44" s="113">
        <f t="shared" si="8"/>
        <v>1152</v>
      </c>
    </row>
    <row r="45" spans="1:34" s="48" customFormat="1" ht="14.25">
      <c r="A45" s="58" t="s">
        <v>60</v>
      </c>
      <c r="B45" s="55" t="s">
        <v>61</v>
      </c>
      <c r="C45" s="55"/>
      <c r="D45" s="58"/>
      <c r="E45" s="58"/>
      <c r="F45" s="58"/>
      <c r="G45" s="59"/>
      <c r="H45" s="58"/>
      <c r="I45" s="58"/>
      <c r="J45" s="58"/>
      <c r="K45" s="58"/>
      <c r="L45" s="60">
        <f>L46</f>
        <v>557534</v>
      </c>
      <c r="M45" s="60">
        <f t="shared" si="38"/>
        <v>0</v>
      </c>
      <c r="N45" s="60">
        <f t="shared" si="38"/>
        <v>473904</v>
      </c>
      <c r="O45" s="60">
        <f t="shared" si="38"/>
        <v>83630</v>
      </c>
      <c r="P45" s="60">
        <f t="shared" si="38"/>
        <v>52823</v>
      </c>
      <c r="Q45" s="60">
        <f t="shared" si="38"/>
        <v>18250</v>
      </c>
      <c r="R45" s="60">
        <f t="shared" si="38"/>
        <v>0</v>
      </c>
      <c r="S45" s="60">
        <f t="shared" si="38"/>
        <v>13000</v>
      </c>
      <c r="T45" s="60">
        <f t="shared" si="38"/>
        <v>5250</v>
      </c>
      <c r="U45" s="60">
        <f t="shared" si="38"/>
        <v>31823</v>
      </c>
      <c r="V45" s="60">
        <f t="shared" si="38"/>
        <v>0</v>
      </c>
      <c r="W45" s="60">
        <f t="shared" si="38"/>
        <v>23000</v>
      </c>
      <c r="X45" s="60">
        <f t="shared" si="38"/>
        <v>8823</v>
      </c>
      <c r="Y45" s="60">
        <f t="shared" si="38"/>
        <v>5000</v>
      </c>
      <c r="Z45" s="56">
        <f t="shared" si="38"/>
        <v>0</v>
      </c>
      <c r="AA45" s="56">
        <f t="shared" si="38"/>
        <v>0</v>
      </c>
      <c r="AB45" s="56">
        <f t="shared" si="38"/>
        <v>5000</v>
      </c>
      <c r="AC45" s="56">
        <f t="shared" si="38"/>
        <v>0</v>
      </c>
      <c r="AD45" s="56">
        <f t="shared" si="38"/>
        <v>0</v>
      </c>
      <c r="AE45" s="56">
        <f t="shared" si="38"/>
        <v>0</v>
      </c>
      <c r="AF45" s="56"/>
      <c r="AG45" s="50">
        <f t="shared" si="36"/>
        <v>16000</v>
      </c>
      <c r="AH45" s="113">
        <f t="shared" si="8"/>
        <v>520711</v>
      </c>
    </row>
    <row r="46" spans="1:34" ht="75">
      <c r="A46" s="52">
        <v>1</v>
      </c>
      <c r="B46" s="54" t="s">
        <v>21</v>
      </c>
      <c r="C46" s="54" t="s">
        <v>340</v>
      </c>
      <c r="D46" s="52" t="s">
        <v>93</v>
      </c>
      <c r="E46" s="52" t="s">
        <v>181</v>
      </c>
      <c r="F46" s="52" t="s">
        <v>2</v>
      </c>
      <c r="G46" s="53">
        <v>7517127</v>
      </c>
      <c r="H46" s="52">
        <v>302</v>
      </c>
      <c r="I46" s="52"/>
      <c r="J46" s="52" t="s">
        <v>22</v>
      </c>
      <c r="K46" s="52" t="s">
        <v>23</v>
      </c>
      <c r="L46" s="60">
        <f>SUM(M46:O46)</f>
        <v>557534</v>
      </c>
      <c r="M46" s="61"/>
      <c r="N46" s="61">
        <v>473904</v>
      </c>
      <c r="O46" s="61">
        <v>83630</v>
      </c>
      <c r="P46" s="61">
        <v>52823</v>
      </c>
      <c r="Q46" s="60">
        <f>SUM(R46:T46)</f>
        <v>18250</v>
      </c>
      <c r="R46" s="61"/>
      <c r="S46" s="61">
        <f>10000+3000</f>
        <v>13000</v>
      </c>
      <c r="T46" s="61">
        <f>1000+2250+2000</f>
        <v>5250</v>
      </c>
      <c r="U46" s="60">
        <f>SUM(V46:X46)</f>
        <v>31823</v>
      </c>
      <c r="V46" s="61"/>
      <c r="W46" s="61">
        <f>10000+13000</f>
        <v>23000</v>
      </c>
      <c r="X46" s="61">
        <f>1000+2250+2000+3573</f>
        <v>8823</v>
      </c>
      <c r="Y46" s="60">
        <f>SUM(Z46:AD46)</f>
        <v>5000</v>
      </c>
      <c r="Z46" s="57"/>
      <c r="AA46" s="57"/>
      <c r="AB46" s="57">
        <v>5000</v>
      </c>
      <c r="AC46" s="57"/>
      <c r="AD46" s="57"/>
      <c r="AE46" s="57"/>
      <c r="AF46" s="57"/>
      <c r="AG46" s="44">
        <f t="shared" si="36"/>
        <v>16000</v>
      </c>
      <c r="AH46" s="113">
        <f t="shared" si="8"/>
        <v>520711</v>
      </c>
    </row>
    <row r="47" spans="1:34" s="68" customFormat="1" ht="14.25">
      <c r="A47" s="62" t="s">
        <v>26</v>
      </c>
      <c r="B47" s="63" t="s">
        <v>94</v>
      </c>
      <c r="C47" s="63"/>
      <c r="D47" s="62"/>
      <c r="E47" s="62"/>
      <c r="F47" s="62"/>
      <c r="G47" s="64"/>
      <c r="H47" s="62"/>
      <c r="I47" s="62"/>
      <c r="J47" s="62"/>
      <c r="K47" s="62"/>
      <c r="L47" s="65">
        <f t="shared" ref="L47:AD47" si="39">L48</f>
        <v>28330</v>
      </c>
      <c r="M47" s="65">
        <f t="shared" si="39"/>
        <v>0</v>
      </c>
      <c r="N47" s="65">
        <f t="shared" si="39"/>
        <v>0</v>
      </c>
      <c r="O47" s="65">
        <f t="shared" si="39"/>
        <v>28330</v>
      </c>
      <c r="P47" s="65">
        <f t="shared" si="39"/>
        <v>28150</v>
      </c>
      <c r="Q47" s="65">
        <f t="shared" si="39"/>
        <v>17050</v>
      </c>
      <c r="R47" s="65">
        <f t="shared" si="39"/>
        <v>0</v>
      </c>
      <c r="S47" s="65">
        <f t="shared" si="39"/>
        <v>0</v>
      </c>
      <c r="T47" s="65">
        <f t="shared" si="39"/>
        <v>17050</v>
      </c>
      <c r="U47" s="65">
        <f t="shared" si="39"/>
        <v>17050</v>
      </c>
      <c r="V47" s="65">
        <f t="shared" si="39"/>
        <v>0</v>
      </c>
      <c r="W47" s="65">
        <f t="shared" si="39"/>
        <v>0</v>
      </c>
      <c r="X47" s="65">
        <f t="shared" si="39"/>
        <v>17050</v>
      </c>
      <c r="Y47" s="65">
        <f t="shared" si="39"/>
        <v>9400</v>
      </c>
      <c r="Z47" s="66">
        <f t="shared" si="39"/>
        <v>0</v>
      </c>
      <c r="AA47" s="66">
        <f t="shared" si="39"/>
        <v>0</v>
      </c>
      <c r="AB47" s="66">
        <f t="shared" si="39"/>
        <v>9400</v>
      </c>
      <c r="AC47" s="66">
        <f t="shared" si="39"/>
        <v>0</v>
      </c>
      <c r="AD47" s="66">
        <f t="shared" si="39"/>
        <v>0</v>
      </c>
      <c r="AE47" s="66">
        <f>AE48</f>
        <v>0</v>
      </c>
      <c r="AF47" s="66"/>
      <c r="AG47" s="67">
        <f t="shared" si="36"/>
        <v>1700</v>
      </c>
      <c r="AH47" s="113">
        <f t="shared" si="8"/>
        <v>516311</v>
      </c>
    </row>
    <row r="48" spans="1:34" s="48" customFormat="1" ht="14.25">
      <c r="A48" s="58" t="s">
        <v>60</v>
      </c>
      <c r="B48" s="55" t="s">
        <v>61</v>
      </c>
      <c r="C48" s="55"/>
      <c r="D48" s="58"/>
      <c r="E48" s="58"/>
      <c r="F48" s="58"/>
      <c r="G48" s="59"/>
      <c r="H48" s="58"/>
      <c r="I48" s="58"/>
      <c r="J48" s="58"/>
      <c r="K48" s="58"/>
      <c r="L48" s="60">
        <f t="shared" ref="L48:AE48" si="40">SUM(L49:L50)</f>
        <v>28330</v>
      </c>
      <c r="M48" s="60">
        <f t="shared" si="40"/>
        <v>0</v>
      </c>
      <c r="N48" s="60">
        <f t="shared" si="40"/>
        <v>0</v>
      </c>
      <c r="O48" s="60">
        <f t="shared" si="40"/>
        <v>28330</v>
      </c>
      <c r="P48" s="60">
        <f t="shared" si="40"/>
        <v>28150</v>
      </c>
      <c r="Q48" s="60">
        <f t="shared" si="40"/>
        <v>17050</v>
      </c>
      <c r="R48" s="60">
        <f t="shared" si="40"/>
        <v>0</v>
      </c>
      <c r="S48" s="60">
        <f t="shared" si="40"/>
        <v>0</v>
      </c>
      <c r="T48" s="60">
        <f t="shared" si="40"/>
        <v>17050</v>
      </c>
      <c r="U48" s="60">
        <f t="shared" si="40"/>
        <v>17050</v>
      </c>
      <c r="V48" s="60">
        <f t="shared" si="40"/>
        <v>0</v>
      </c>
      <c r="W48" s="60">
        <f t="shared" si="40"/>
        <v>0</v>
      </c>
      <c r="X48" s="60">
        <f t="shared" si="40"/>
        <v>17050</v>
      </c>
      <c r="Y48" s="60">
        <f t="shared" si="40"/>
        <v>9400</v>
      </c>
      <c r="Z48" s="56">
        <f t="shared" si="40"/>
        <v>0</v>
      </c>
      <c r="AA48" s="56">
        <f t="shared" si="40"/>
        <v>0</v>
      </c>
      <c r="AB48" s="56">
        <f t="shared" si="40"/>
        <v>9400</v>
      </c>
      <c r="AC48" s="56">
        <f t="shared" si="40"/>
        <v>0</v>
      </c>
      <c r="AD48" s="56">
        <f t="shared" si="40"/>
        <v>0</v>
      </c>
      <c r="AE48" s="56">
        <f t="shared" si="40"/>
        <v>0</v>
      </c>
      <c r="AF48" s="56"/>
      <c r="AG48" s="50">
        <f t="shared" si="36"/>
        <v>1700</v>
      </c>
      <c r="AH48" s="113">
        <f t="shared" si="8"/>
        <v>1880</v>
      </c>
    </row>
    <row r="49" spans="1:34" ht="90">
      <c r="A49" s="52">
        <v>1</v>
      </c>
      <c r="B49" s="54" t="s">
        <v>95</v>
      </c>
      <c r="C49" s="54" t="s">
        <v>341</v>
      </c>
      <c r="D49" s="52" t="s">
        <v>29</v>
      </c>
      <c r="E49" s="52" t="s">
        <v>181</v>
      </c>
      <c r="F49" s="52" t="s">
        <v>3</v>
      </c>
      <c r="G49" s="53">
        <v>7560268</v>
      </c>
      <c r="H49" s="52">
        <v>351</v>
      </c>
      <c r="I49" s="52" t="s">
        <v>96</v>
      </c>
      <c r="J49" s="52" t="s">
        <v>34</v>
      </c>
      <c r="K49" s="52" t="s">
        <v>97</v>
      </c>
      <c r="L49" s="60">
        <f>SUM(M49:O49)</f>
        <v>23850</v>
      </c>
      <c r="M49" s="61"/>
      <c r="N49" s="61"/>
      <c r="O49" s="61">
        <v>23850</v>
      </c>
      <c r="P49" s="61">
        <v>23700</v>
      </c>
      <c r="Q49" s="60">
        <f>SUM(R49:T49)</f>
        <v>14600</v>
      </c>
      <c r="R49" s="61"/>
      <c r="S49" s="61"/>
      <c r="T49" s="61">
        <f>100+6500+8000</f>
        <v>14600</v>
      </c>
      <c r="U49" s="60">
        <f>SUM(V49:X49)</f>
        <v>14600</v>
      </c>
      <c r="V49" s="61"/>
      <c r="W49" s="61"/>
      <c r="X49" s="61">
        <f>100+6500+8000</f>
        <v>14600</v>
      </c>
      <c r="Y49" s="60">
        <f>SUM(Z49:AD49)</f>
        <v>8000</v>
      </c>
      <c r="Z49" s="57"/>
      <c r="AA49" s="57"/>
      <c r="AB49" s="57">
        <v>8000</v>
      </c>
      <c r="AC49" s="57"/>
      <c r="AD49" s="57"/>
      <c r="AE49" s="57"/>
      <c r="AF49" s="57"/>
      <c r="AG49" s="44">
        <f t="shared" si="36"/>
        <v>1100</v>
      </c>
      <c r="AH49" s="113">
        <f t="shared" si="8"/>
        <v>3280</v>
      </c>
    </row>
    <row r="50" spans="1:34" ht="75">
      <c r="A50" s="89">
        <v>2</v>
      </c>
      <c r="B50" s="54" t="s">
        <v>98</v>
      </c>
      <c r="C50" s="54" t="s">
        <v>342</v>
      </c>
      <c r="D50" s="89" t="s">
        <v>29</v>
      </c>
      <c r="E50" s="89" t="s">
        <v>181</v>
      </c>
      <c r="F50" s="89" t="s">
        <v>3</v>
      </c>
      <c r="G50" s="91">
        <v>7578437</v>
      </c>
      <c r="H50" s="89">
        <v>341</v>
      </c>
      <c r="I50" s="89" t="s">
        <v>96</v>
      </c>
      <c r="J50" s="89" t="s">
        <v>25</v>
      </c>
      <c r="K50" s="89" t="s">
        <v>99</v>
      </c>
      <c r="L50" s="60">
        <f>SUM(M50:O50)</f>
        <v>4480</v>
      </c>
      <c r="M50" s="61"/>
      <c r="N50" s="61"/>
      <c r="O50" s="61">
        <v>4480</v>
      </c>
      <c r="P50" s="61">
        <v>4450</v>
      </c>
      <c r="Q50" s="60">
        <f>SUM(R50:T50)</f>
        <v>2450</v>
      </c>
      <c r="R50" s="61"/>
      <c r="S50" s="61"/>
      <c r="T50" s="61">
        <f>30+120+2300</f>
        <v>2450</v>
      </c>
      <c r="U50" s="60">
        <f>SUM(V50:X50)</f>
        <v>2450</v>
      </c>
      <c r="V50" s="61"/>
      <c r="W50" s="61"/>
      <c r="X50" s="61">
        <f>30+120+2300</f>
        <v>2450</v>
      </c>
      <c r="Y50" s="60">
        <f>SUM(Z50:AD50)</f>
        <v>1400</v>
      </c>
      <c r="Z50" s="57"/>
      <c r="AA50" s="57"/>
      <c r="AB50" s="57">
        <v>1400</v>
      </c>
      <c r="AC50" s="57"/>
      <c r="AD50" s="57"/>
      <c r="AE50" s="57"/>
      <c r="AF50" s="57"/>
      <c r="AG50" s="93">
        <f t="shared" si="36"/>
        <v>600</v>
      </c>
      <c r="AH50" s="113">
        <f t="shared" si="8"/>
        <v>7850</v>
      </c>
    </row>
    <row r="51" spans="1:34" s="68" customFormat="1" ht="14.25">
      <c r="A51" s="62" t="s">
        <v>28</v>
      </c>
      <c r="B51" s="63" t="s">
        <v>100</v>
      </c>
      <c r="C51" s="63"/>
      <c r="D51" s="62"/>
      <c r="E51" s="62"/>
      <c r="F51" s="62"/>
      <c r="G51" s="64"/>
      <c r="H51" s="62"/>
      <c r="I51" s="62"/>
      <c r="J51" s="62"/>
      <c r="K51" s="62"/>
      <c r="L51" s="65">
        <f>L52+L54</f>
        <v>24731</v>
      </c>
      <c r="M51" s="65">
        <f t="shared" ref="M51:AE51" si="41">M52+M54</f>
        <v>0</v>
      </c>
      <c r="N51" s="65">
        <f t="shared" si="41"/>
        <v>0</v>
      </c>
      <c r="O51" s="65">
        <f t="shared" si="41"/>
        <v>24731</v>
      </c>
      <c r="P51" s="65">
        <f t="shared" si="41"/>
        <v>24356</v>
      </c>
      <c r="Q51" s="65">
        <f t="shared" si="41"/>
        <v>6180</v>
      </c>
      <c r="R51" s="65">
        <f t="shared" si="41"/>
        <v>0</v>
      </c>
      <c r="S51" s="65">
        <f t="shared" si="41"/>
        <v>0</v>
      </c>
      <c r="T51" s="65">
        <f t="shared" si="41"/>
        <v>6180</v>
      </c>
      <c r="U51" s="65">
        <f t="shared" si="41"/>
        <v>6180</v>
      </c>
      <c r="V51" s="65">
        <f t="shared" si="41"/>
        <v>0</v>
      </c>
      <c r="W51" s="65">
        <f t="shared" si="41"/>
        <v>0</v>
      </c>
      <c r="X51" s="65">
        <f t="shared" si="41"/>
        <v>6180</v>
      </c>
      <c r="Y51" s="65">
        <f t="shared" si="41"/>
        <v>15500</v>
      </c>
      <c r="Z51" s="66">
        <f t="shared" si="41"/>
        <v>0</v>
      </c>
      <c r="AA51" s="66">
        <f t="shared" si="41"/>
        <v>0</v>
      </c>
      <c r="AB51" s="66">
        <f t="shared" si="41"/>
        <v>15500</v>
      </c>
      <c r="AC51" s="66">
        <f t="shared" si="41"/>
        <v>0</v>
      </c>
      <c r="AD51" s="66">
        <f t="shared" si="41"/>
        <v>0</v>
      </c>
      <c r="AE51" s="66">
        <f t="shared" si="41"/>
        <v>0</v>
      </c>
      <c r="AF51" s="66"/>
      <c r="AG51" s="67">
        <f t="shared" si="36"/>
        <v>2676</v>
      </c>
      <c r="AH51" s="113">
        <f t="shared" si="8"/>
        <v>-13470</v>
      </c>
    </row>
    <row r="52" spans="1:34" s="48" customFormat="1" ht="14.25">
      <c r="A52" s="58" t="s">
        <v>60</v>
      </c>
      <c r="B52" s="55" t="s">
        <v>61</v>
      </c>
      <c r="C52" s="55"/>
      <c r="D52" s="58"/>
      <c r="E52" s="58"/>
      <c r="F52" s="58"/>
      <c r="G52" s="59"/>
      <c r="H52" s="58"/>
      <c r="I52" s="58"/>
      <c r="J52" s="58"/>
      <c r="K52" s="58">
        <v>0</v>
      </c>
      <c r="L52" s="60">
        <f>L53</f>
        <v>21656</v>
      </c>
      <c r="M52" s="60">
        <f t="shared" ref="M52:AE52" si="42">M53</f>
        <v>0</v>
      </c>
      <c r="N52" s="60">
        <f t="shared" si="42"/>
        <v>0</v>
      </c>
      <c r="O52" s="60">
        <f t="shared" si="42"/>
        <v>21656</v>
      </c>
      <c r="P52" s="60">
        <f t="shared" si="42"/>
        <v>21606</v>
      </c>
      <c r="Q52" s="60">
        <f t="shared" si="42"/>
        <v>6050</v>
      </c>
      <c r="R52" s="60">
        <f t="shared" si="42"/>
        <v>0</v>
      </c>
      <c r="S52" s="60">
        <f t="shared" si="42"/>
        <v>0</v>
      </c>
      <c r="T52" s="60">
        <f t="shared" si="42"/>
        <v>6050</v>
      </c>
      <c r="U52" s="60">
        <f t="shared" si="42"/>
        <v>6050</v>
      </c>
      <c r="V52" s="60">
        <f t="shared" si="42"/>
        <v>0</v>
      </c>
      <c r="W52" s="60">
        <f t="shared" si="42"/>
        <v>0</v>
      </c>
      <c r="X52" s="60">
        <f t="shared" si="42"/>
        <v>6050</v>
      </c>
      <c r="Y52" s="60">
        <f t="shared" si="42"/>
        <v>13000</v>
      </c>
      <c r="Z52" s="56">
        <f t="shared" si="42"/>
        <v>0</v>
      </c>
      <c r="AA52" s="56">
        <f t="shared" si="42"/>
        <v>0</v>
      </c>
      <c r="AB52" s="56">
        <f t="shared" si="42"/>
        <v>13000</v>
      </c>
      <c r="AC52" s="56">
        <f t="shared" si="42"/>
        <v>0</v>
      </c>
      <c r="AD52" s="56">
        <f t="shared" si="42"/>
        <v>0</v>
      </c>
      <c r="AE52" s="56">
        <f t="shared" si="42"/>
        <v>0</v>
      </c>
      <c r="AF52" s="56"/>
      <c r="AG52" s="50">
        <f t="shared" si="36"/>
        <v>2556</v>
      </c>
      <c r="AH52" s="113">
        <f t="shared" si="8"/>
        <v>5551</v>
      </c>
    </row>
    <row r="53" spans="1:34" ht="60">
      <c r="A53" s="52">
        <v>1</v>
      </c>
      <c r="B53" s="54" t="s">
        <v>102</v>
      </c>
      <c r="C53" s="54" t="s">
        <v>342</v>
      </c>
      <c r="D53" s="52" t="s">
        <v>38</v>
      </c>
      <c r="E53" s="52" t="s">
        <v>181</v>
      </c>
      <c r="F53" s="52" t="s">
        <v>3</v>
      </c>
      <c r="G53" s="53">
        <v>7578439</v>
      </c>
      <c r="H53" s="52">
        <v>191</v>
      </c>
      <c r="I53" s="52" t="s">
        <v>96</v>
      </c>
      <c r="J53" s="52" t="s">
        <v>25</v>
      </c>
      <c r="K53" s="52" t="s">
        <v>103</v>
      </c>
      <c r="L53" s="60">
        <f>SUM(M53:O53)</f>
        <v>21656</v>
      </c>
      <c r="M53" s="61"/>
      <c r="N53" s="61"/>
      <c r="O53" s="61">
        <v>21656</v>
      </c>
      <c r="P53" s="61">
        <v>21606</v>
      </c>
      <c r="Q53" s="60">
        <f>SUM(R53:T53)</f>
        <v>6050</v>
      </c>
      <c r="R53" s="61"/>
      <c r="S53" s="61"/>
      <c r="T53" s="61">
        <f>50+6000</f>
        <v>6050</v>
      </c>
      <c r="U53" s="60">
        <f>SUM(V53:X53)</f>
        <v>6050</v>
      </c>
      <c r="V53" s="61"/>
      <c r="W53" s="61"/>
      <c r="X53" s="61">
        <f>50+6000</f>
        <v>6050</v>
      </c>
      <c r="Y53" s="60">
        <f>SUM(Z53:AD53)</f>
        <v>13000</v>
      </c>
      <c r="Z53" s="57"/>
      <c r="AA53" s="57"/>
      <c r="AB53" s="57">
        <v>13000</v>
      </c>
      <c r="AC53" s="57"/>
      <c r="AD53" s="57"/>
      <c r="AE53" s="57"/>
      <c r="AF53" s="57"/>
      <c r="AG53" s="44">
        <f t="shared" si="36"/>
        <v>2556</v>
      </c>
      <c r="AH53" s="113">
        <f t="shared" si="8"/>
        <v>2606</v>
      </c>
    </row>
    <row r="54" spans="1:34" s="48" customFormat="1" ht="14.25">
      <c r="A54" s="58" t="s">
        <v>67</v>
      </c>
      <c r="B54" s="55" t="s">
        <v>101</v>
      </c>
      <c r="C54" s="55"/>
      <c r="D54" s="58"/>
      <c r="E54" s="58"/>
      <c r="F54" s="58"/>
      <c r="G54" s="59"/>
      <c r="H54" s="58"/>
      <c r="I54" s="58"/>
      <c r="J54" s="58"/>
      <c r="K54" s="58"/>
      <c r="L54" s="60">
        <f>SUM(L55)</f>
        <v>3075</v>
      </c>
      <c r="M54" s="60">
        <f t="shared" ref="M54:AE54" si="43">SUM(M55)</f>
        <v>0</v>
      </c>
      <c r="N54" s="60">
        <f t="shared" si="43"/>
        <v>0</v>
      </c>
      <c r="O54" s="60">
        <f t="shared" si="43"/>
        <v>3075</v>
      </c>
      <c r="P54" s="60">
        <f t="shared" si="43"/>
        <v>2750</v>
      </c>
      <c r="Q54" s="60">
        <f t="shared" si="43"/>
        <v>130</v>
      </c>
      <c r="R54" s="60">
        <f t="shared" si="43"/>
        <v>0</v>
      </c>
      <c r="S54" s="60">
        <f t="shared" si="43"/>
        <v>0</v>
      </c>
      <c r="T54" s="60">
        <f t="shared" si="43"/>
        <v>130</v>
      </c>
      <c r="U54" s="60">
        <f t="shared" si="43"/>
        <v>130</v>
      </c>
      <c r="V54" s="60">
        <f t="shared" si="43"/>
        <v>0</v>
      </c>
      <c r="W54" s="60">
        <f t="shared" si="43"/>
        <v>0</v>
      </c>
      <c r="X54" s="60">
        <f t="shared" si="43"/>
        <v>130</v>
      </c>
      <c r="Y54" s="60">
        <f t="shared" si="43"/>
        <v>2500</v>
      </c>
      <c r="Z54" s="56">
        <f t="shared" si="43"/>
        <v>0</v>
      </c>
      <c r="AA54" s="56">
        <f t="shared" si="43"/>
        <v>0</v>
      </c>
      <c r="AB54" s="56">
        <f t="shared" si="43"/>
        <v>2500</v>
      </c>
      <c r="AC54" s="56">
        <f t="shared" si="43"/>
        <v>0</v>
      </c>
      <c r="AD54" s="56">
        <f t="shared" si="43"/>
        <v>0</v>
      </c>
      <c r="AE54" s="56">
        <f t="shared" si="43"/>
        <v>0</v>
      </c>
      <c r="AF54" s="56"/>
      <c r="AG54" s="50">
        <f t="shared" si="36"/>
        <v>120</v>
      </c>
      <c r="AH54" s="113">
        <f t="shared" si="8"/>
        <v>13106</v>
      </c>
    </row>
    <row r="55" spans="1:34" ht="45">
      <c r="A55" s="52">
        <v>1</v>
      </c>
      <c r="B55" s="54" t="s">
        <v>214</v>
      </c>
      <c r="C55" s="54" t="s">
        <v>343</v>
      </c>
      <c r="D55" s="52" t="s">
        <v>29</v>
      </c>
      <c r="E55" s="52" t="s">
        <v>181</v>
      </c>
      <c r="F55" s="52" t="s">
        <v>3</v>
      </c>
      <c r="G55" s="53">
        <v>7678430</v>
      </c>
      <c r="H55" s="52">
        <v>201</v>
      </c>
      <c r="I55" s="52" t="s">
        <v>96</v>
      </c>
      <c r="J55" s="52" t="s">
        <v>18</v>
      </c>
      <c r="K55" s="52" t="s">
        <v>256</v>
      </c>
      <c r="L55" s="60">
        <f>SUM(M55:O55)</f>
        <v>3075</v>
      </c>
      <c r="M55" s="61"/>
      <c r="N55" s="61"/>
      <c r="O55" s="61">
        <v>3075</v>
      </c>
      <c r="P55" s="61">
        <v>2750</v>
      </c>
      <c r="Q55" s="60">
        <f>SUM(R55:T55)</f>
        <v>130</v>
      </c>
      <c r="R55" s="61"/>
      <c r="S55" s="61"/>
      <c r="T55" s="61">
        <v>130</v>
      </c>
      <c r="U55" s="60">
        <f>SUM(V55:X55)</f>
        <v>130</v>
      </c>
      <c r="V55" s="61"/>
      <c r="W55" s="61"/>
      <c r="X55" s="61">
        <v>130</v>
      </c>
      <c r="Y55" s="60">
        <f>SUM(Z55:AD55)</f>
        <v>2500</v>
      </c>
      <c r="Z55" s="57"/>
      <c r="AA55" s="57"/>
      <c r="AB55" s="57">
        <v>2500</v>
      </c>
      <c r="AC55" s="57"/>
      <c r="AD55" s="57"/>
      <c r="AE55" s="57"/>
      <c r="AF55" s="57"/>
      <c r="AG55" s="44">
        <f t="shared" si="36"/>
        <v>120</v>
      </c>
      <c r="AH55" s="113">
        <f t="shared" si="8"/>
        <v>445</v>
      </c>
    </row>
    <row r="56" spans="1:34" s="68" customFormat="1" ht="14.25">
      <c r="A56" s="62" t="s">
        <v>30</v>
      </c>
      <c r="B56" s="63" t="s">
        <v>319</v>
      </c>
      <c r="C56" s="63"/>
      <c r="D56" s="62"/>
      <c r="E56" s="62"/>
      <c r="F56" s="62"/>
      <c r="G56" s="64"/>
      <c r="H56" s="62"/>
      <c r="I56" s="62"/>
      <c r="J56" s="62"/>
      <c r="K56" s="62"/>
      <c r="L56" s="65">
        <f t="shared" ref="L56:AE56" si="44">L57+L64</f>
        <v>165486</v>
      </c>
      <c r="M56" s="65">
        <f t="shared" si="44"/>
        <v>0</v>
      </c>
      <c r="N56" s="65">
        <f t="shared" si="44"/>
        <v>0</v>
      </c>
      <c r="O56" s="65">
        <f t="shared" si="44"/>
        <v>165486</v>
      </c>
      <c r="P56" s="65">
        <f t="shared" si="44"/>
        <v>151939</v>
      </c>
      <c r="Q56" s="65">
        <f t="shared" si="44"/>
        <v>117519</v>
      </c>
      <c r="R56" s="65">
        <f t="shared" si="44"/>
        <v>0</v>
      </c>
      <c r="S56" s="65">
        <f t="shared" si="44"/>
        <v>0</v>
      </c>
      <c r="T56" s="65">
        <f t="shared" si="44"/>
        <v>117519</v>
      </c>
      <c r="U56" s="65">
        <f t="shared" si="44"/>
        <v>108138</v>
      </c>
      <c r="V56" s="65">
        <f t="shared" si="44"/>
        <v>0</v>
      </c>
      <c r="W56" s="65">
        <f t="shared" si="44"/>
        <v>0</v>
      </c>
      <c r="X56" s="65">
        <f t="shared" si="44"/>
        <v>108138</v>
      </c>
      <c r="Y56" s="65">
        <f t="shared" si="44"/>
        <v>30781</v>
      </c>
      <c r="Z56" s="65">
        <f t="shared" si="44"/>
        <v>0</v>
      </c>
      <c r="AA56" s="65">
        <f t="shared" si="44"/>
        <v>0</v>
      </c>
      <c r="AB56" s="65">
        <f t="shared" si="44"/>
        <v>30781</v>
      </c>
      <c r="AC56" s="65">
        <f t="shared" si="44"/>
        <v>0</v>
      </c>
      <c r="AD56" s="65">
        <f t="shared" si="44"/>
        <v>0</v>
      </c>
      <c r="AE56" s="65">
        <f t="shared" si="44"/>
        <v>0</v>
      </c>
      <c r="AF56" s="66"/>
      <c r="AG56" s="67">
        <f t="shared" si="36"/>
        <v>13020</v>
      </c>
      <c r="AH56" s="113">
        <f t="shared" si="8"/>
        <v>-27836</v>
      </c>
    </row>
    <row r="57" spans="1:34" s="48" customFormat="1" ht="42.75">
      <c r="A57" s="58" t="s">
        <v>73</v>
      </c>
      <c r="B57" s="55" t="s">
        <v>190</v>
      </c>
      <c r="C57" s="55"/>
      <c r="D57" s="58"/>
      <c r="E57" s="58"/>
      <c r="F57" s="58"/>
      <c r="G57" s="59"/>
      <c r="H57" s="58"/>
      <c r="I57" s="58"/>
      <c r="J57" s="58"/>
      <c r="K57" s="58"/>
      <c r="L57" s="60">
        <f t="shared" ref="L57" si="45">SUM(L58:L63)</f>
        <v>92151</v>
      </c>
      <c r="M57" s="60">
        <f t="shared" ref="M57" si="46">SUM(M58:M63)</f>
        <v>0</v>
      </c>
      <c r="N57" s="60">
        <f t="shared" ref="N57" si="47">SUM(N58:N63)</f>
        <v>0</v>
      </c>
      <c r="O57" s="60">
        <f t="shared" ref="O57" si="48">SUM(O58:O63)</f>
        <v>92151</v>
      </c>
      <c r="P57" s="60">
        <f t="shared" ref="P57" si="49">SUM(P58:P63)</f>
        <v>85939</v>
      </c>
      <c r="Q57" s="60">
        <f t="shared" ref="Q57" si="50">SUM(Q58:Q63)</f>
        <v>89319</v>
      </c>
      <c r="R57" s="60">
        <f t="shared" ref="R57" si="51">SUM(R58:R63)</f>
        <v>0</v>
      </c>
      <c r="S57" s="60">
        <f t="shared" ref="S57" si="52">SUM(S58:S63)</f>
        <v>0</v>
      </c>
      <c r="T57" s="60">
        <f t="shared" ref="T57" si="53">SUM(T58:T63)</f>
        <v>89319</v>
      </c>
      <c r="U57" s="60">
        <f t="shared" ref="U57" si="54">SUM(U58:U63)</f>
        <v>79938</v>
      </c>
      <c r="V57" s="60">
        <f t="shared" ref="V57" si="55">SUM(V58:V63)</f>
        <v>0</v>
      </c>
      <c r="W57" s="60">
        <f t="shared" ref="W57" si="56">SUM(W58:W63)</f>
        <v>0</v>
      </c>
      <c r="X57" s="60">
        <f t="shared" ref="X57" si="57">SUM(X58:X63)</f>
        <v>79938</v>
      </c>
      <c r="Y57" s="60">
        <f t="shared" ref="Y57" si="58">SUM(Y58:Y63)</f>
        <v>10781</v>
      </c>
      <c r="Z57" s="60">
        <f t="shared" ref="Z57" si="59">SUM(Z58:Z63)</f>
        <v>0</v>
      </c>
      <c r="AA57" s="60">
        <f t="shared" ref="AA57" si="60">SUM(AA58:AA63)</f>
        <v>0</v>
      </c>
      <c r="AB57" s="60">
        <f t="shared" ref="AB57" si="61">SUM(AB58:AB63)</f>
        <v>10781</v>
      </c>
      <c r="AC57" s="60">
        <f t="shared" ref="AC57" si="62">SUM(AC58:AC63)</f>
        <v>0</v>
      </c>
      <c r="AD57" s="60">
        <f t="shared" ref="AD57" si="63">SUM(AD58:AD63)</f>
        <v>0</v>
      </c>
      <c r="AE57" s="60">
        <f t="shared" ref="AE57" si="64">SUM(AE58:AE63)</f>
        <v>0</v>
      </c>
      <c r="AF57" s="56"/>
      <c r="AG57" s="50">
        <f t="shared" si="36"/>
        <v>-4780</v>
      </c>
      <c r="AH57" s="113">
        <f t="shared" si="8"/>
        <v>46567</v>
      </c>
    </row>
    <row r="58" spans="1:34" ht="45">
      <c r="A58" s="52">
        <v>1</v>
      </c>
      <c r="B58" s="54" t="s">
        <v>106</v>
      </c>
      <c r="C58" s="54" t="s">
        <v>344</v>
      </c>
      <c r="D58" s="52" t="s">
        <v>107</v>
      </c>
      <c r="E58" s="52" t="s">
        <v>181</v>
      </c>
      <c r="F58" s="52" t="s">
        <v>3</v>
      </c>
      <c r="G58" s="53">
        <v>7608269</v>
      </c>
      <c r="H58" s="52">
        <v>161</v>
      </c>
      <c r="I58" s="52" t="s">
        <v>108</v>
      </c>
      <c r="J58" s="52" t="s">
        <v>18</v>
      </c>
      <c r="K58" s="52" t="s">
        <v>109</v>
      </c>
      <c r="L58" s="60">
        <f>SUM(M58:O58)</f>
        <v>7346</v>
      </c>
      <c r="M58" s="61"/>
      <c r="N58" s="61"/>
      <c r="O58" s="61">
        <v>7346</v>
      </c>
      <c r="P58" s="61">
        <v>6900</v>
      </c>
      <c r="Q58" s="60">
        <f>SUM(R58:T58)</f>
        <v>5100</v>
      </c>
      <c r="R58" s="61"/>
      <c r="S58" s="61"/>
      <c r="T58" s="61">
        <f>100+5000</f>
        <v>5100</v>
      </c>
      <c r="U58" s="60">
        <f t="shared" ref="U58:U63" si="65">SUM(V58:X58)</f>
        <v>5100</v>
      </c>
      <c r="V58" s="61"/>
      <c r="W58" s="61"/>
      <c r="X58" s="61">
        <f>100+5000</f>
        <v>5100</v>
      </c>
      <c r="Y58" s="60">
        <f t="shared" ref="Y58:Y63" si="66">SUM(Z58:AD58)</f>
        <v>1500</v>
      </c>
      <c r="Z58" s="57"/>
      <c r="AA58" s="57"/>
      <c r="AB58" s="57">
        <v>1500</v>
      </c>
      <c r="AC58" s="57"/>
      <c r="AD58" s="57"/>
      <c r="AE58" s="57"/>
      <c r="AF58" s="57"/>
      <c r="AG58" s="44">
        <f t="shared" si="36"/>
        <v>300</v>
      </c>
      <c r="AH58" s="113">
        <f t="shared" si="8"/>
        <v>10713</v>
      </c>
    </row>
    <row r="59" spans="1:34" ht="45">
      <c r="A59" s="52">
        <v>2</v>
      </c>
      <c r="B59" s="54" t="s">
        <v>310</v>
      </c>
      <c r="C59" s="54" t="s">
        <v>344</v>
      </c>
      <c r="D59" s="52" t="s">
        <v>32</v>
      </c>
      <c r="E59" s="52" t="s">
        <v>181</v>
      </c>
      <c r="F59" s="52" t="s">
        <v>3</v>
      </c>
      <c r="G59" s="53">
        <v>7506001</v>
      </c>
      <c r="H59" s="52">
        <v>161</v>
      </c>
      <c r="I59" s="52" t="s">
        <v>309</v>
      </c>
      <c r="J59" s="52" t="s">
        <v>307</v>
      </c>
      <c r="K59" s="52" t="s">
        <v>308</v>
      </c>
      <c r="L59" s="60">
        <f>SUM(M59:O59)</f>
        <v>27258</v>
      </c>
      <c r="M59" s="61"/>
      <c r="N59" s="61"/>
      <c r="O59" s="61">
        <v>27258</v>
      </c>
      <c r="P59" s="61">
        <v>26822</v>
      </c>
      <c r="Q59" s="60">
        <f t="shared" ref="Q59:Q63" si="67">SUM(R59:T59)</f>
        <v>26922</v>
      </c>
      <c r="R59" s="61"/>
      <c r="S59" s="61"/>
      <c r="T59" s="61">
        <f>22587+4335</f>
        <v>26922</v>
      </c>
      <c r="U59" s="60">
        <f t="shared" si="65"/>
        <v>22587</v>
      </c>
      <c r="V59" s="61"/>
      <c r="W59" s="61"/>
      <c r="X59" s="61">
        <v>22587</v>
      </c>
      <c r="Y59" s="60">
        <f t="shared" si="66"/>
        <v>4335</v>
      </c>
      <c r="Z59" s="57"/>
      <c r="AA59" s="57"/>
      <c r="AB59" s="57">
        <v>4335</v>
      </c>
      <c r="AC59" s="57"/>
      <c r="AD59" s="57"/>
      <c r="AE59" s="57"/>
      <c r="AF59" s="57"/>
      <c r="AH59" s="113">
        <f t="shared" si="8"/>
        <v>-2089</v>
      </c>
    </row>
    <row r="60" spans="1:34" ht="45">
      <c r="A60" s="52">
        <v>3</v>
      </c>
      <c r="B60" s="54" t="s">
        <v>311</v>
      </c>
      <c r="C60" s="54" t="s">
        <v>344</v>
      </c>
      <c r="D60" s="52" t="s">
        <v>312</v>
      </c>
      <c r="E60" s="52" t="s">
        <v>181</v>
      </c>
      <c r="F60" s="52" t="s">
        <v>3</v>
      </c>
      <c r="G60" s="53">
        <v>7530648</v>
      </c>
      <c r="H60" s="52">
        <v>161</v>
      </c>
      <c r="I60" s="52" t="s">
        <v>309</v>
      </c>
      <c r="J60" s="52" t="s">
        <v>307</v>
      </c>
      <c r="K60" s="52" t="s">
        <v>313</v>
      </c>
      <c r="L60" s="60">
        <f t="shared" ref="L60:L63" si="68">SUM(M60:O60)</f>
        <v>36321</v>
      </c>
      <c r="M60" s="61"/>
      <c r="N60" s="61"/>
      <c r="O60" s="61">
        <v>36321</v>
      </c>
      <c r="P60" s="61">
        <v>35963</v>
      </c>
      <c r="Q60" s="60">
        <f t="shared" si="67"/>
        <v>36154</v>
      </c>
      <c r="R60" s="61"/>
      <c r="S60" s="61"/>
      <c r="T60" s="61">
        <f>200+28954+4000+3000</f>
        <v>36154</v>
      </c>
      <c r="U60" s="60">
        <f t="shared" si="65"/>
        <v>33154</v>
      </c>
      <c r="V60" s="61"/>
      <c r="W60" s="61"/>
      <c r="X60" s="61">
        <f>200+28954+4000</f>
        <v>33154</v>
      </c>
      <c r="Y60" s="60">
        <f t="shared" si="66"/>
        <v>3000</v>
      </c>
      <c r="Z60" s="57"/>
      <c r="AA60" s="57"/>
      <c r="AB60" s="57">
        <v>3000</v>
      </c>
      <c r="AC60" s="57"/>
      <c r="AD60" s="57"/>
      <c r="AE60" s="57"/>
      <c r="AF60" s="57"/>
      <c r="AH60" s="113">
        <f t="shared" si="8"/>
        <v>1671</v>
      </c>
    </row>
    <row r="61" spans="1:34" ht="45">
      <c r="A61" s="52">
        <v>4</v>
      </c>
      <c r="B61" s="54" t="s">
        <v>314</v>
      </c>
      <c r="C61" s="54" t="s">
        <v>344</v>
      </c>
      <c r="D61" s="52" t="s">
        <v>64</v>
      </c>
      <c r="E61" s="52" t="s">
        <v>181</v>
      </c>
      <c r="F61" s="52" t="s">
        <v>3</v>
      </c>
      <c r="G61" s="53">
        <v>7462036</v>
      </c>
      <c r="H61" s="52">
        <v>161</v>
      </c>
      <c r="I61" s="52" t="s">
        <v>309</v>
      </c>
      <c r="J61" s="52" t="s">
        <v>315</v>
      </c>
      <c r="K61" s="52" t="s">
        <v>316</v>
      </c>
      <c r="L61" s="60">
        <f t="shared" si="68"/>
        <v>6723</v>
      </c>
      <c r="M61" s="61"/>
      <c r="N61" s="61"/>
      <c r="O61" s="61">
        <v>6723</v>
      </c>
      <c r="P61" s="61">
        <v>1857</v>
      </c>
      <c r="Q61" s="60">
        <f t="shared" si="67"/>
        <v>6957</v>
      </c>
      <c r="R61" s="61"/>
      <c r="S61" s="61"/>
      <c r="T61" s="61">
        <f>5000+100+1147+710</f>
        <v>6957</v>
      </c>
      <c r="U61" s="60">
        <f t="shared" si="65"/>
        <v>6247</v>
      </c>
      <c r="V61" s="61"/>
      <c r="W61" s="61"/>
      <c r="X61" s="61">
        <f>5000+100+1147</f>
        <v>6247</v>
      </c>
      <c r="Y61" s="60">
        <f t="shared" si="66"/>
        <v>710</v>
      </c>
      <c r="Z61" s="57"/>
      <c r="AA61" s="57"/>
      <c r="AB61" s="57">
        <v>710</v>
      </c>
      <c r="AC61" s="57"/>
      <c r="AD61" s="57"/>
      <c r="AE61" s="57"/>
      <c r="AF61" s="57"/>
      <c r="AH61" s="113">
        <f t="shared" si="8"/>
        <v>2457</v>
      </c>
    </row>
    <row r="62" spans="1:34" ht="60">
      <c r="A62" s="52">
        <v>5</v>
      </c>
      <c r="B62" s="54" t="s">
        <v>317</v>
      </c>
      <c r="C62" s="54" t="s">
        <v>344</v>
      </c>
      <c r="D62" s="52" t="s">
        <v>14</v>
      </c>
      <c r="E62" s="52" t="s">
        <v>181</v>
      </c>
      <c r="F62" s="52" t="s">
        <v>3</v>
      </c>
      <c r="G62" s="53">
        <v>7591539</v>
      </c>
      <c r="H62" s="52">
        <v>161</v>
      </c>
      <c r="I62" s="52" t="s">
        <v>309</v>
      </c>
      <c r="J62" s="52" t="s">
        <v>86</v>
      </c>
      <c r="K62" s="52" t="s">
        <v>318</v>
      </c>
      <c r="L62" s="60">
        <f t="shared" si="68"/>
        <v>4273</v>
      </c>
      <c r="M62" s="61"/>
      <c r="N62" s="61"/>
      <c r="O62" s="61">
        <v>4273</v>
      </c>
      <c r="P62" s="61">
        <v>4186</v>
      </c>
      <c r="Q62" s="60">
        <f t="shared" si="67"/>
        <v>3786</v>
      </c>
      <c r="R62" s="61"/>
      <c r="S62" s="61"/>
      <c r="T62" s="61">
        <f>3550+236</f>
        <v>3786</v>
      </c>
      <c r="U62" s="60">
        <f t="shared" si="65"/>
        <v>3550</v>
      </c>
      <c r="V62" s="61"/>
      <c r="W62" s="61"/>
      <c r="X62" s="61">
        <v>3550</v>
      </c>
      <c r="Y62" s="60">
        <f t="shared" si="66"/>
        <v>236</v>
      </c>
      <c r="Z62" s="57"/>
      <c r="AA62" s="57"/>
      <c r="AB62" s="57">
        <v>236</v>
      </c>
      <c r="AC62" s="57"/>
      <c r="AD62" s="57"/>
      <c r="AE62" s="57"/>
      <c r="AF62" s="57"/>
      <c r="AH62" s="113">
        <f t="shared" si="8"/>
        <v>240</v>
      </c>
    </row>
    <row r="63" spans="1:34" ht="45">
      <c r="A63" s="52">
        <v>6</v>
      </c>
      <c r="B63" s="54" t="s">
        <v>320</v>
      </c>
      <c r="C63" s="54" t="s">
        <v>344</v>
      </c>
      <c r="D63" s="52" t="s">
        <v>64</v>
      </c>
      <c r="E63" s="52" t="s">
        <v>181</v>
      </c>
      <c r="F63" s="52" t="s">
        <v>3</v>
      </c>
      <c r="G63" s="53">
        <v>7545417</v>
      </c>
      <c r="H63" s="52">
        <v>221</v>
      </c>
      <c r="I63" s="52" t="s">
        <v>309</v>
      </c>
      <c r="J63" s="52" t="s">
        <v>315</v>
      </c>
      <c r="K63" s="52" t="s">
        <v>321</v>
      </c>
      <c r="L63" s="60">
        <f t="shared" si="68"/>
        <v>10230</v>
      </c>
      <c r="M63" s="61"/>
      <c r="N63" s="61"/>
      <c r="O63" s="61">
        <v>10230</v>
      </c>
      <c r="P63" s="61">
        <v>10211</v>
      </c>
      <c r="Q63" s="60">
        <f t="shared" si="67"/>
        <v>10400</v>
      </c>
      <c r="R63" s="61"/>
      <c r="S63" s="61"/>
      <c r="T63" s="61">
        <f>100+9200+1100</f>
        <v>10400</v>
      </c>
      <c r="U63" s="60">
        <f t="shared" si="65"/>
        <v>9300</v>
      </c>
      <c r="V63" s="61"/>
      <c r="W63" s="61"/>
      <c r="X63" s="61">
        <f>100+9200</f>
        <v>9300</v>
      </c>
      <c r="Y63" s="60">
        <f t="shared" si="66"/>
        <v>1000</v>
      </c>
      <c r="Z63" s="57"/>
      <c r="AA63" s="57"/>
      <c r="AB63" s="57">
        <v>1000</v>
      </c>
      <c r="AC63" s="57"/>
      <c r="AD63" s="57"/>
      <c r="AE63" s="57"/>
      <c r="AF63" s="57"/>
      <c r="AH63" s="113">
        <f t="shared" si="8"/>
        <v>-277</v>
      </c>
    </row>
    <row r="64" spans="1:34" s="48" customFormat="1" ht="14.25">
      <c r="A64" s="58" t="s">
        <v>67</v>
      </c>
      <c r="B64" s="55" t="s">
        <v>61</v>
      </c>
      <c r="C64" s="55"/>
      <c r="D64" s="58"/>
      <c r="E64" s="58"/>
      <c r="F64" s="58"/>
      <c r="G64" s="59"/>
      <c r="H64" s="58"/>
      <c r="I64" s="58"/>
      <c r="J64" s="58"/>
      <c r="K64" s="58"/>
      <c r="L64" s="60">
        <f>SUM(L65:L65)</f>
        <v>73335</v>
      </c>
      <c r="M64" s="60">
        <f t="shared" ref="M64:AE64" si="69">SUM(M65:M65)</f>
        <v>0</v>
      </c>
      <c r="N64" s="60">
        <f t="shared" si="69"/>
        <v>0</v>
      </c>
      <c r="O64" s="60">
        <f t="shared" si="69"/>
        <v>73335</v>
      </c>
      <c r="P64" s="60">
        <f t="shared" si="69"/>
        <v>66000</v>
      </c>
      <c r="Q64" s="60">
        <f t="shared" si="69"/>
        <v>28200</v>
      </c>
      <c r="R64" s="60">
        <f t="shared" si="69"/>
        <v>0</v>
      </c>
      <c r="S64" s="60">
        <f t="shared" si="69"/>
        <v>0</v>
      </c>
      <c r="T64" s="60">
        <f t="shared" si="69"/>
        <v>28200</v>
      </c>
      <c r="U64" s="60">
        <f t="shared" si="69"/>
        <v>28200</v>
      </c>
      <c r="V64" s="60">
        <f t="shared" si="69"/>
        <v>0</v>
      </c>
      <c r="W64" s="60">
        <f t="shared" si="69"/>
        <v>0</v>
      </c>
      <c r="X64" s="60">
        <f t="shared" si="69"/>
        <v>28200</v>
      </c>
      <c r="Y64" s="60">
        <f t="shared" si="69"/>
        <v>20000</v>
      </c>
      <c r="Z64" s="60">
        <f t="shared" si="69"/>
        <v>0</v>
      </c>
      <c r="AA64" s="60">
        <f t="shared" si="69"/>
        <v>0</v>
      </c>
      <c r="AB64" s="60">
        <f t="shared" si="69"/>
        <v>20000</v>
      </c>
      <c r="AC64" s="60">
        <f t="shared" si="69"/>
        <v>0</v>
      </c>
      <c r="AD64" s="60">
        <f t="shared" si="69"/>
        <v>0</v>
      </c>
      <c r="AE64" s="60">
        <f t="shared" si="69"/>
        <v>0</v>
      </c>
      <c r="AF64" s="56"/>
      <c r="AG64" s="50">
        <f t="shared" ref="AG64:AG71" si="70">P64-U64-Y64</f>
        <v>17800</v>
      </c>
      <c r="AH64" s="113">
        <f t="shared" si="8"/>
        <v>-19070</v>
      </c>
    </row>
    <row r="65" spans="1:34" ht="60">
      <c r="A65" s="52">
        <v>1</v>
      </c>
      <c r="B65" s="54" t="s">
        <v>110</v>
      </c>
      <c r="C65" s="54" t="s">
        <v>344</v>
      </c>
      <c r="D65" s="52" t="s">
        <v>13</v>
      </c>
      <c r="E65" s="52" t="s">
        <v>181</v>
      </c>
      <c r="F65" s="52" t="s">
        <v>3</v>
      </c>
      <c r="G65" s="53">
        <v>7608266</v>
      </c>
      <c r="H65" s="52">
        <v>161</v>
      </c>
      <c r="I65" s="52" t="s">
        <v>63</v>
      </c>
      <c r="J65" s="52" t="s">
        <v>18</v>
      </c>
      <c r="K65" s="52" t="s">
        <v>111</v>
      </c>
      <c r="L65" s="60">
        <f>SUM(M65:O65)</f>
        <v>73335</v>
      </c>
      <c r="M65" s="61"/>
      <c r="N65" s="61"/>
      <c r="O65" s="61">
        <v>73335</v>
      </c>
      <c r="P65" s="61">
        <v>66000</v>
      </c>
      <c r="Q65" s="60">
        <f>SUM(R65:T65)</f>
        <v>28200</v>
      </c>
      <c r="R65" s="61"/>
      <c r="S65" s="61"/>
      <c r="T65" s="61">
        <f>200+28000</f>
        <v>28200</v>
      </c>
      <c r="U65" s="60">
        <f>SUM(V65:X65)</f>
        <v>28200</v>
      </c>
      <c r="V65" s="61"/>
      <c r="W65" s="61"/>
      <c r="X65" s="61">
        <f>200+28000</f>
        <v>28200</v>
      </c>
      <c r="Y65" s="60">
        <f>SUM(Z65:AD65)</f>
        <v>20000</v>
      </c>
      <c r="Z65" s="57"/>
      <c r="AA65" s="57"/>
      <c r="AB65" s="57">
        <v>20000</v>
      </c>
      <c r="AC65" s="57"/>
      <c r="AD65" s="57"/>
      <c r="AE65" s="57"/>
      <c r="AF65" s="57"/>
      <c r="AG65" s="44">
        <f t="shared" si="70"/>
        <v>17800</v>
      </c>
      <c r="AH65" s="113">
        <f t="shared" si="8"/>
        <v>25135</v>
      </c>
    </row>
    <row r="66" spans="1:34" s="68" customFormat="1" ht="14.25">
      <c r="A66" s="62" t="s">
        <v>31</v>
      </c>
      <c r="B66" s="63" t="s">
        <v>112</v>
      </c>
      <c r="C66" s="63"/>
      <c r="D66" s="62"/>
      <c r="E66" s="62"/>
      <c r="F66" s="62"/>
      <c r="G66" s="64"/>
      <c r="H66" s="62"/>
      <c r="I66" s="62"/>
      <c r="J66" s="62"/>
      <c r="K66" s="62"/>
      <c r="L66" s="65">
        <f t="shared" ref="L66:AD66" si="71">L67</f>
        <v>184110</v>
      </c>
      <c r="M66" s="65">
        <f t="shared" si="71"/>
        <v>0</v>
      </c>
      <c r="N66" s="65">
        <f t="shared" si="71"/>
        <v>0</v>
      </c>
      <c r="O66" s="65">
        <f t="shared" si="71"/>
        <v>184110</v>
      </c>
      <c r="P66" s="65">
        <f t="shared" si="71"/>
        <v>171251</v>
      </c>
      <c r="Q66" s="65">
        <f t="shared" si="71"/>
        <v>146627</v>
      </c>
      <c r="R66" s="65">
        <f t="shared" si="71"/>
        <v>0</v>
      </c>
      <c r="S66" s="65">
        <f t="shared" si="71"/>
        <v>0</v>
      </c>
      <c r="T66" s="65">
        <f t="shared" si="71"/>
        <v>146627</v>
      </c>
      <c r="U66" s="65">
        <f t="shared" si="71"/>
        <v>146627</v>
      </c>
      <c r="V66" s="65">
        <f t="shared" si="71"/>
        <v>0</v>
      </c>
      <c r="W66" s="65">
        <f t="shared" si="71"/>
        <v>0</v>
      </c>
      <c r="X66" s="65">
        <f t="shared" si="71"/>
        <v>146627</v>
      </c>
      <c r="Y66" s="65">
        <f t="shared" si="71"/>
        <v>18073</v>
      </c>
      <c r="Z66" s="66">
        <f t="shared" si="71"/>
        <v>0</v>
      </c>
      <c r="AA66" s="66">
        <f t="shared" si="71"/>
        <v>0</v>
      </c>
      <c r="AB66" s="66">
        <f t="shared" si="71"/>
        <v>18073</v>
      </c>
      <c r="AC66" s="66">
        <f t="shared" si="71"/>
        <v>0</v>
      </c>
      <c r="AD66" s="66">
        <f t="shared" si="71"/>
        <v>0</v>
      </c>
      <c r="AE66" s="66">
        <f>AE67</f>
        <v>0</v>
      </c>
      <c r="AF66" s="66"/>
      <c r="AG66" s="67">
        <f t="shared" si="70"/>
        <v>6551</v>
      </c>
      <c r="AH66" s="113">
        <f t="shared" si="8"/>
        <v>27062</v>
      </c>
    </row>
    <row r="67" spans="1:34" s="48" customFormat="1" ht="14.25">
      <c r="A67" s="58" t="s">
        <v>60</v>
      </c>
      <c r="B67" s="55" t="s">
        <v>61</v>
      </c>
      <c r="C67" s="55"/>
      <c r="D67" s="58"/>
      <c r="E67" s="58"/>
      <c r="F67" s="58"/>
      <c r="G67" s="59"/>
      <c r="H67" s="58"/>
      <c r="I67" s="58"/>
      <c r="J67" s="58"/>
      <c r="K67" s="58"/>
      <c r="L67" s="60">
        <f>SUM(L68:L69)</f>
        <v>184110</v>
      </c>
      <c r="M67" s="60">
        <f t="shared" ref="M67:AE67" si="72">SUM(M68:M69)</f>
        <v>0</v>
      </c>
      <c r="N67" s="60">
        <f t="shared" si="72"/>
        <v>0</v>
      </c>
      <c r="O67" s="60">
        <f t="shared" si="72"/>
        <v>184110</v>
      </c>
      <c r="P67" s="60">
        <f t="shared" si="72"/>
        <v>171251</v>
      </c>
      <c r="Q67" s="60">
        <f t="shared" si="72"/>
        <v>146627</v>
      </c>
      <c r="R67" s="60">
        <f t="shared" si="72"/>
        <v>0</v>
      </c>
      <c r="S67" s="60">
        <f t="shared" si="72"/>
        <v>0</v>
      </c>
      <c r="T67" s="60">
        <f t="shared" si="72"/>
        <v>146627</v>
      </c>
      <c r="U67" s="60">
        <f t="shared" si="72"/>
        <v>146627</v>
      </c>
      <c r="V67" s="60">
        <f t="shared" si="72"/>
        <v>0</v>
      </c>
      <c r="W67" s="60">
        <f t="shared" si="72"/>
        <v>0</v>
      </c>
      <c r="X67" s="60">
        <f t="shared" si="72"/>
        <v>146627</v>
      </c>
      <c r="Y67" s="60">
        <f t="shared" si="72"/>
        <v>18073</v>
      </c>
      <c r="Z67" s="56">
        <f t="shared" si="72"/>
        <v>0</v>
      </c>
      <c r="AA67" s="56">
        <f t="shared" si="72"/>
        <v>0</v>
      </c>
      <c r="AB67" s="56">
        <f t="shared" si="72"/>
        <v>18073</v>
      </c>
      <c r="AC67" s="56">
        <f t="shared" si="72"/>
        <v>0</v>
      </c>
      <c r="AD67" s="56">
        <f t="shared" si="72"/>
        <v>0</v>
      </c>
      <c r="AE67" s="56">
        <f t="shared" si="72"/>
        <v>0</v>
      </c>
      <c r="AF67" s="56"/>
      <c r="AG67" s="50">
        <f t="shared" si="70"/>
        <v>6551</v>
      </c>
      <c r="AH67" s="113">
        <f t="shared" si="8"/>
        <v>19410</v>
      </c>
    </row>
    <row r="68" spans="1:34" ht="45">
      <c r="A68" s="52">
        <v>1</v>
      </c>
      <c r="B68" s="54" t="s">
        <v>113</v>
      </c>
      <c r="C68" s="54" t="s">
        <v>336</v>
      </c>
      <c r="D68" s="52" t="s">
        <v>29</v>
      </c>
      <c r="E68" s="52" t="s">
        <v>181</v>
      </c>
      <c r="F68" s="52" t="s">
        <v>3</v>
      </c>
      <c r="G68" s="53">
        <v>7435684</v>
      </c>
      <c r="H68" s="52">
        <v>101</v>
      </c>
      <c r="I68" s="52" t="s">
        <v>63</v>
      </c>
      <c r="J68" s="52" t="s">
        <v>22</v>
      </c>
      <c r="K68" s="52" t="s">
        <v>114</v>
      </c>
      <c r="L68" s="60">
        <f>SUM(M68:O68)</f>
        <v>141607</v>
      </c>
      <c r="M68" s="61"/>
      <c r="N68" s="61"/>
      <c r="O68" s="61">
        <v>141607</v>
      </c>
      <c r="P68" s="61">
        <v>129990</v>
      </c>
      <c r="Q68" s="60">
        <f>SUM(R68:T68)</f>
        <v>119927</v>
      </c>
      <c r="R68" s="61"/>
      <c r="S68" s="61"/>
      <c r="T68" s="61">
        <f>400+13500+25000+81027</f>
        <v>119927</v>
      </c>
      <c r="U68" s="60">
        <f>SUM(V68:X68)</f>
        <v>119927</v>
      </c>
      <c r="V68" s="61"/>
      <c r="W68" s="61"/>
      <c r="X68" s="61">
        <f>400+13500+25000+81027</f>
        <v>119927</v>
      </c>
      <c r="Y68" s="60">
        <f>SUM(Z68:AD68)</f>
        <v>5073</v>
      </c>
      <c r="Z68" s="57"/>
      <c r="AA68" s="57"/>
      <c r="AB68" s="57">
        <v>5073</v>
      </c>
      <c r="AC68" s="57"/>
      <c r="AD68" s="57"/>
      <c r="AE68" s="57"/>
      <c r="AF68" s="57"/>
      <c r="AG68" s="44">
        <f t="shared" si="70"/>
        <v>4990</v>
      </c>
      <c r="AH68" s="113">
        <f t="shared" si="8"/>
        <v>32410</v>
      </c>
    </row>
    <row r="69" spans="1:34" ht="45">
      <c r="A69" s="52">
        <v>2</v>
      </c>
      <c r="B69" s="54" t="s">
        <v>115</v>
      </c>
      <c r="C69" s="54" t="s">
        <v>338</v>
      </c>
      <c r="D69" s="52" t="s">
        <v>29</v>
      </c>
      <c r="E69" s="52" t="s">
        <v>181</v>
      </c>
      <c r="F69" s="52" t="s">
        <v>3</v>
      </c>
      <c r="G69" s="53">
        <v>7541959</v>
      </c>
      <c r="H69" s="52">
        <v>101</v>
      </c>
      <c r="I69" s="52" t="s">
        <v>96</v>
      </c>
      <c r="J69" s="52" t="s">
        <v>25</v>
      </c>
      <c r="K69" s="52" t="s">
        <v>116</v>
      </c>
      <c r="L69" s="60">
        <f>SUM(M69:O69)</f>
        <v>42503</v>
      </c>
      <c r="M69" s="61"/>
      <c r="N69" s="61"/>
      <c r="O69" s="61">
        <v>42503</v>
      </c>
      <c r="P69" s="61">
        <v>41261</v>
      </c>
      <c r="Q69" s="60">
        <f>SUM(R69:T69)</f>
        <v>26700</v>
      </c>
      <c r="R69" s="61"/>
      <c r="S69" s="61"/>
      <c r="T69" s="61">
        <f>10000+16700</f>
        <v>26700</v>
      </c>
      <c r="U69" s="60">
        <f>SUM(V69:X69)</f>
        <v>26700</v>
      </c>
      <c r="V69" s="61"/>
      <c r="W69" s="61"/>
      <c r="X69" s="61">
        <f>10000+16700</f>
        <v>26700</v>
      </c>
      <c r="Y69" s="60">
        <f>SUM(Z69:AD69)</f>
        <v>13000</v>
      </c>
      <c r="Z69" s="57"/>
      <c r="AA69" s="57"/>
      <c r="AB69" s="57">
        <v>13000</v>
      </c>
      <c r="AC69" s="57"/>
      <c r="AD69" s="57"/>
      <c r="AE69" s="57"/>
      <c r="AF69" s="57"/>
      <c r="AG69" s="44">
        <f t="shared" si="70"/>
        <v>1561</v>
      </c>
      <c r="AH69" s="113">
        <f t="shared" si="8"/>
        <v>8680</v>
      </c>
    </row>
    <row r="70" spans="1:34" s="68" customFormat="1" ht="28.5">
      <c r="A70" s="62" t="s">
        <v>33</v>
      </c>
      <c r="B70" s="63" t="s">
        <v>117</v>
      </c>
      <c r="C70" s="63"/>
      <c r="D70" s="62"/>
      <c r="E70" s="62"/>
      <c r="F70" s="62"/>
      <c r="G70" s="64"/>
      <c r="H70" s="62"/>
      <c r="I70" s="62"/>
      <c r="J70" s="62"/>
      <c r="K70" s="62"/>
      <c r="L70" s="65">
        <f t="shared" ref="L70:AE70" si="73">L73+L84+L71</f>
        <v>483872</v>
      </c>
      <c r="M70" s="65">
        <f t="shared" si="73"/>
        <v>0</v>
      </c>
      <c r="N70" s="65">
        <f t="shared" si="73"/>
        <v>0</v>
      </c>
      <c r="O70" s="65">
        <f t="shared" si="73"/>
        <v>483872</v>
      </c>
      <c r="P70" s="65">
        <f t="shared" si="73"/>
        <v>404597</v>
      </c>
      <c r="Q70" s="65">
        <f t="shared" si="73"/>
        <v>237307</v>
      </c>
      <c r="R70" s="65">
        <f t="shared" si="73"/>
        <v>0</v>
      </c>
      <c r="S70" s="65">
        <f t="shared" si="73"/>
        <v>0</v>
      </c>
      <c r="T70" s="65">
        <f t="shared" si="73"/>
        <v>264286</v>
      </c>
      <c r="U70" s="65">
        <f t="shared" si="73"/>
        <v>264286</v>
      </c>
      <c r="V70" s="65">
        <f t="shared" si="73"/>
        <v>0</v>
      </c>
      <c r="W70" s="65">
        <f t="shared" si="73"/>
        <v>0</v>
      </c>
      <c r="X70" s="65">
        <f t="shared" si="73"/>
        <v>264286</v>
      </c>
      <c r="Y70" s="65">
        <f t="shared" si="73"/>
        <v>151297</v>
      </c>
      <c r="Z70" s="65">
        <f t="shared" si="73"/>
        <v>0</v>
      </c>
      <c r="AA70" s="65">
        <f t="shared" si="73"/>
        <v>0</v>
      </c>
      <c r="AB70" s="65">
        <f t="shared" si="73"/>
        <v>1297</v>
      </c>
      <c r="AC70" s="65">
        <f t="shared" si="73"/>
        <v>0</v>
      </c>
      <c r="AD70" s="65">
        <f t="shared" si="73"/>
        <v>150000</v>
      </c>
      <c r="AE70" s="65">
        <f t="shared" si="73"/>
        <v>0</v>
      </c>
      <c r="AF70" s="66"/>
      <c r="AG70" s="67">
        <f t="shared" si="70"/>
        <v>-10986</v>
      </c>
      <c r="AH70" s="113">
        <f t="shared" si="8"/>
        <v>-135494</v>
      </c>
    </row>
    <row r="71" spans="1:34" s="48" customFormat="1" ht="42.75">
      <c r="A71" s="58" t="s">
        <v>73</v>
      </c>
      <c r="B71" s="55" t="s">
        <v>190</v>
      </c>
      <c r="C71" s="55"/>
      <c r="D71" s="58"/>
      <c r="E71" s="58"/>
      <c r="F71" s="58"/>
      <c r="G71" s="59"/>
      <c r="H71" s="58"/>
      <c r="I71" s="58"/>
      <c r="J71" s="58"/>
      <c r="K71" s="58"/>
      <c r="L71" s="60">
        <f t="shared" ref="L71:AE71" si="74">SUM(L72:L72)</f>
        <v>29585</v>
      </c>
      <c r="M71" s="60">
        <f t="shared" si="74"/>
        <v>0</v>
      </c>
      <c r="N71" s="60">
        <f t="shared" si="74"/>
        <v>0</v>
      </c>
      <c r="O71" s="60">
        <f t="shared" si="74"/>
        <v>29585</v>
      </c>
      <c r="P71" s="60">
        <f t="shared" si="74"/>
        <v>1297</v>
      </c>
      <c r="Q71" s="60">
        <f t="shared" si="74"/>
        <v>0</v>
      </c>
      <c r="R71" s="60">
        <f t="shared" si="74"/>
        <v>0</v>
      </c>
      <c r="S71" s="60">
        <f t="shared" si="74"/>
        <v>0</v>
      </c>
      <c r="T71" s="60">
        <f t="shared" si="74"/>
        <v>26979</v>
      </c>
      <c r="U71" s="60">
        <f t="shared" si="74"/>
        <v>26979</v>
      </c>
      <c r="V71" s="60">
        <f t="shared" si="74"/>
        <v>0</v>
      </c>
      <c r="W71" s="60">
        <f t="shared" si="74"/>
        <v>0</v>
      </c>
      <c r="X71" s="60">
        <f t="shared" si="74"/>
        <v>26979</v>
      </c>
      <c r="Y71" s="60">
        <f t="shared" si="74"/>
        <v>1297</v>
      </c>
      <c r="Z71" s="60">
        <f t="shared" si="74"/>
        <v>0</v>
      </c>
      <c r="AA71" s="60">
        <f t="shared" si="74"/>
        <v>0</v>
      </c>
      <c r="AB71" s="60">
        <f t="shared" si="74"/>
        <v>1297</v>
      </c>
      <c r="AC71" s="60">
        <f t="shared" si="74"/>
        <v>0</v>
      </c>
      <c r="AD71" s="60">
        <f t="shared" si="74"/>
        <v>0</v>
      </c>
      <c r="AE71" s="60">
        <f t="shared" si="74"/>
        <v>0</v>
      </c>
      <c r="AF71" s="56"/>
      <c r="AG71" s="50">
        <f t="shared" si="70"/>
        <v>-26979</v>
      </c>
      <c r="AH71" s="113">
        <f t="shared" si="8"/>
        <v>218289</v>
      </c>
    </row>
    <row r="72" spans="1:34" ht="45">
      <c r="A72" s="52">
        <v>1</v>
      </c>
      <c r="B72" s="54" t="s">
        <v>322</v>
      </c>
      <c r="C72" s="54" t="s">
        <v>345</v>
      </c>
      <c r="D72" s="52" t="s">
        <v>17</v>
      </c>
      <c r="E72" s="52" t="s">
        <v>181</v>
      </c>
      <c r="F72" s="52" t="s">
        <v>2</v>
      </c>
      <c r="G72" s="53">
        <v>7045428</v>
      </c>
      <c r="H72" s="70">
        <v>494</v>
      </c>
      <c r="I72" s="52" t="s">
        <v>63</v>
      </c>
      <c r="J72" s="52" t="s">
        <v>323</v>
      </c>
      <c r="K72" s="52" t="s">
        <v>236</v>
      </c>
      <c r="L72" s="60">
        <f>SUM(M72:O72)</f>
        <v>29585</v>
      </c>
      <c r="M72" s="61"/>
      <c r="N72" s="61"/>
      <c r="O72" s="61">
        <v>29585</v>
      </c>
      <c r="P72" s="61">
        <v>1297</v>
      </c>
      <c r="Q72" s="60"/>
      <c r="R72" s="61"/>
      <c r="S72" s="61"/>
      <c r="T72" s="61">
        <v>26979</v>
      </c>
      <c r="U72" s="60">
        <f>SUM(V72:X72)</f>
        <v>26979</v>
      </c>
      <c r="V72" s="61"/>
      <c r="W72" s="61"/>
      <c r="X72" s="61">
        <v>26979</v>
      </c>
      <c r="Y72" s="60">
        <f>SUM(Z72:AD72)</f>
        <v>1297</v>
      </c>
      <c r="Z72" s="57"/>
      <c r="AA72" s="57"/>
      <c r="AB72" s="57">
        <v>1297</v>
      </c>
      <c r="AC72" s="57"/>
      <c r="AD72" s="57"/>
      <c r="AE72" s="57"/>
      <c r="AF72" s="57"/>
      <c r="AH72" s="113">
        <f t="shared" si="8"/>
        <v>1309</v>
      </c>
    </row>
    <row r="73" spans="1:34" s="48" customFormat="1" ht="14.25">
      <c r="A73" s="58" t="s">
        <v>60</v>
      </c>
      <c r="B73" s="55" t="s">
        <v>118</v>
      </c>
      <c r="C73" s="55"/>
      <c r="D73" s="58"/>
      <c r="E73" s="58"/>
      <c r="F73" s="58"/>
      <c r="G73" s="59"/>
      <c r="H73" s="58"/>
      <c r="I73" s="58"/>
      <c r="J73" s="58"/>
      <c r="K73" s="58"/>
      <c r="L73" s="60">
        <f t="shared" ref="L73:AE73" si="75">SUM(L74:L83)</f>
        <v>441766</v>
      </c>
      <c r="M73" s="60">
        <f t="shared" si="75"/>
        <v>0</v>
      </c>
      <c r="N73" s="60">
        <f t="shared" si="75"/>
        <v>0</v>
      </c>
      <c r="O73" s="60">
        <f t="shared" si="75"/>
        <v>441766</v>
      </c>
      <c r="P73" s="60">
        <f t="shared" si="75"/>
        <v>391300</v>
      </c>
      <c r="Q73" s="60">
        <f t="shared" si="75"/>
        <v>237007</v>
      </c>
      <c r="R73" s="60">
        <f t="shared" si="75"/>
        <v>0</v>
      </c>
      <c r="S73" s="60">
        <f t="shared" si="75"/>
        <v>0</v>
      </c>
      <c r="T73" s="60">
        <f t="shared" si="75"/>
        <v>237007</v>
      </c>
      <c r="U73" s="60">
        <f t="shared" si="75"/>
        <v>237007</v>
      </c>
      <c r="V73" s="60">
        <f t="shared" si="75"/>
        <v>0</v>
      </c>
      <c r="W73" s="60">
        <f t="shared" si="75"/>
        <v>0</v>
      </c>
      <c r="X73" s="60">
        <f t="shared" si="75"/>
        <v>237007</v>
      </c>
      <c r="Y73" s="60">
        <f t="shared" si="75"/>
        <v>42000</v>
      </c>
      <c r="Z73" s="60">
        <f t="shared" si="75"/>
        <v>0</v>
      </c>
      <c r="AA73" s="60">
        <f t="shared" si="75"/>
        <v>0</v>
      </c>
      <c r="AB73" s="60">
        <f t="shared" si="75"/>
        <v>0</v>
      </c>
      <c r="AC73" s="60">
        <f t="shared" si="75"/>
        <v>0</v>
      </c>
      <c r="AD73" s="60">
        <f t="shared" si="75"/>
        <v>42000</v>
      </c>
      <c r="AE73" s="60">
        <f t="shared" si="75"/>
        <v>0</v>
      </c>
      <c r="AF73" s="56"/>
      <c r="AG73" s="50">
        <f>P73-U73-Y73</f>
        <v>112293</v>
      </c>
      <c r="AH73" s="113">
        <f t="shared" si="8"/>
        <v>-39394</v>
      </c>
    </row>
    <row r="74" spans="1:34" ht="60">
      <c r="A74" s="52">
        <v>1</v>
      </c>
      <c r="B74" s="54" t="s">
        <v>119</v>
      </c>
      <c r="C74" s="54" t="s">
        <v>346</v>
      </c>
      <c r="D74" s="52" t="s">
        <v>29</v>
      </c>
      <c r="E74" s="52" t="s">
        <v>181</v>
      </c>
      <c r="F74" s="52" t="s">
        <v>3</v>
      </c>
      <c r="G74" s="53">
        <v>7538013</v>
      </c>
      <c r="H74" s="70" t="s">
        <v>227</v>
      </c>
      <c r="I74" s="52" t="s">
        <v>63</v>
      </c>
      <c r="J74" s="52" t="s">
        <v>22</v>
      </c>
      <c r="K74" s="52" t="s">
        <v>120</v>
      </c>
      <c r="L74" s="60">
        <f t="shared" ref="L74:L80" si="76">SUM(M74:O74)</f>
        <v>89757</v>
      </c>
      <c r="M74" s="61"/>
      <c r="N74" s="61"/>
      <c r="O74" s="61">
        <v>89757</v>
      </c>
      <c r="P74" s="61">
        <v>75102</v>
      </c>
      <c r="Q74" s="60">
        <f t="shared" ref="Q74:Q80" si="77">SUM(R74:T74)</f>
        <v>50202</v>
      </c>
      <c r="R74" s="61"/>
      <c r="S74" s="61"/>
      <c r="T74" s="61">
        <f>100+22800+4000+23302</f>
        <v>50202</v>
      </c>
      <c r="U74" s="60">
        <f t="shared" ref="U74:U80" si="78">SUM(V74:X74)</f>
        <v>50202</v>
      </c>
      <c r="V74" s="61"/>
      <c r="W74" s="61"/>
      <c r="X74" s="61">
        <f>100+22800+4000+23302</f>
        <v>50202</v>
      </c>
      <c r="Y74" s="60">
        <f t="shared" ref="Y74:Y83" si="79">SUM(Z74:AD74)</f>
        <v>5000</v>
      </c>
      <c r="Z74" s="57"/>
      <c r="AA74" s="57"/>
      <c r="AB74" s="57"/>
      <c r="AC74" s="57"/>
      <c r="AD74" s="57">
        <v>5000</v>
      </c>
      <c r="AE74" s="57"/>
      <c r="AF74" s="57"/>
      <c r="AG74" s="44">
        <f>P74-U74-Y74</f>
        <v>19900</v>
      </c>
      <c r="AH74" s="113">
        <f t="shared" si="8"/>
        <v>199759</v>
      </c>
    </row>
    <row r="75" spans="1:34" ht="75">
      <c r="A75" s="52">
        <v>2</v>
      </c>
      <c r="B75" s="54" t="s">
        <v>243</v>
      </c>
      <c r="C75" s="54" t="s">
        <v>245</v>
      </c>
      <c r="D75" s="52" t="s">
        <v>29</v>
      </c>
      <c r="E75" s="52" t="s">
        <v>181</v>
      </c>
      <c r="F75" s="52" t="s">
        <v>3</v>
      </c>
      <c r="G75" s="53">
        <v>7469485</v>
      </c>
      <c r="H75" s="52" t="s">
        <v>227</v>
      </c>
      <c r="I75" s="52" t="s">
        <v>63</v>
      </c>
      <c r="J75" s="52" t="s">
        <v>22</v>
      </c>
      <c r="K75" s="52" t="s">
        <v>244</v>
      </c>
      <c r="L75" s="60">
        <f t="shared" si="76"/>
        <v>55488</v>
      </c>
      <c r="M75" s="61"/>
      <c r="N75" s="61"/>
      <c r="O75" s="61">
        <v>55488</v>
      </c>
      <c r="P75" s="61">
        <v>54600</v>
      </c>
      <c r="Q75" s="60">
        <f t="shared" si="77"/>
        <v>50500</v>
      </c>
      <c r="R75" s="61"/>
      <c r="S75" s="61"/>
      <c r="T75" s="61">
        <v>50500</v>
      </c>
      <c r="U75" s="60">
        <f t="shared" si="78"/>
        <v>50500</v>
      </c>
      <c r="V75" s="61"/>
      <c r="W75" s="61"/>
      <c r="X75" s="61">
        <v>50500</v>
      </c>
      <c r="Y75" s="60">
        <f t="shared" si="79"/>
        <v>3000</v>
      </c>
      <c r="Z75" s="57"/>
      <c r="AA75" s="57"/>
      <c r="AB75" s="57"/>
      <c r="AC75" s="57"/>
      <c r="AD75" s="57">
        <v>3000</v>
      </c>
      <c r="AE75" s="57"/>
      <c r="AF75" s="57"/>
      <c r="AH75" s="113">
        <f t="shared" si="8"/>
        <v>36555</v>
      </c>
    </row>
    <row r="76" spans="1:34" ht="45">
      <c r="A76" s="52">
        <v>3</v>
      </c>
      <c r="B76" s="54" t="s">
        <v>121</v>
      </c>
      <c r="C76" s="54" t="s">
        <v>338</v>
      </c>
      <c r="D76" s="52" t="s">
        <v>29</v>
      </c>
      <c r="E76" s="52" t="s">
        <v>181</v>
      </c>
      <c r="F76" s="52" t="s">
        <v>2</v>
      </c>
      <c r="G76" s="53">
        <v>7467957</v>
      </c>
      <c r="H76" s="70" t="s">
        <v>365</v>
      </c>
      <c r="I76" s="52" t="s">
        <v>63</v>
      </c>
      <c r="J76" s="52" t="s">
        <v>22</v>
      </c>
      <c r="K76" s="52" t="s">
        <v>122</v>
      </c>
      <c r="L76" s="60">
        <f>SUM(M76:O76)</f>
        <v>106848</v>
      </c>
      <c r="M76" s="61"/>
      <c r="N76" s="61"/>
      <c r="O76" s="61">
        <v>106848</v>
      </c>
      <c r="P76" s="61">
        <v>98198</v>
      </c>
      <c r="Q76" s="60">
        <f t="shared" si="77"/>
        <v>68382</v>
      </c>
      <c r="R76" s="61"/>
      <c r="S76" s="61"/>
      <c r="T76" s="61">
        <f>37000+31382</f>
        <v>68382</v>
      </c>
      <c r="U76" s="60">
        <f t="shared" si="78"/>
        <v>68382</v>
      </c>
      <c r="V76" s="61"/>
      <c r="W76" s="61"/>
      <c r="X76" s="61">
        <f>37000+31382</f>
        <v>68382</v>
      </c>
      <c r="Y76" s="60">
        <f t="shared" si="79"/>
        <v>5000</v>
      </c>
      <c r="Z76" s="57"/>
      <c r="AA76" s="57"/>
      <c r="AB76" s="57"/>
      <c r="AC76" s="57"/>
      <c r="AD76" s="57">
        <v>5000</v>
      </c>
      <c r="AE76" s="57"/>
      <c r="AF76" s="57"/>
      <c r="AG76" s="44">
        <f t="shared" ref="AG76:AG84" si="80">P76-U76-Y76</f>
        <v>24816</v>
      </c>
      <c r="AH76" s="113">
        <f t="shared" si="8"/>
        <v>-12</v>
      </c>
    </row>
    <row r="77" spans="1:34" ht="45">
      <c r="A77" s="52">
        <v>4</v>
      </c>
      <c r="B77" s="54" t="s">
        <v>123</v>
      </c>
      <c r="C77" s="54" t="s">
        <v>345</v>
      </c>
      <c r="D77" s="52" t="s">
        <v>124</v>
      </c>
      <c r="E77" s="52" t="s">
        <v>181</v>
      </c>
      <c r="F77" s="52" t="s">
        <v>3</v>
      </c>
      <c r="G77" s="53">
        <v>7577734</v>
      </c>
      <c r="H77" s="70" t="s">
        <v>365</v>
      </c>
      <c r="I77" s="52" t="s">
        <v>63</v>
      </c>
      <c r="J77" s="52" t="s">
        <v>25</v>
      </c>
      <c r="K77" s="52" t="s">
        <v>125</v>
      </c>
      <c r="L77" s="60">
        <f t="shared" si="76"/>
        <v>24950</v>
      </c>
      <c r="M77" s="61"/>
      <c r="N77" s="61"/>
      <c r="O77" s="61">
        <v>24950</v>
      </c>
      <c r="P77" s="61">
        <v>22100</v>
      </c>
      <c r="Q77" s="60">
        <f t="shared" si="77"/>
        <v>21100</v>
      </c>
      <c r="R77" s="61"/>
      <c r="S77" s="61"/>
      <c r="T77" s="61">
        <f>100+6000+15000</f>
        <v>21100</v>
      </c>
      <c r="U77" s="60">
        <f t="shared" si="78"/>
        <v>21100</v>
      </c>
      <c r="V77" s="61"/>
      <c r="W77" s="61"/>
      <c r="X77" s="61">
        <f>100+6000+15000</f>
        <v>21100</v>
      </c>
      <c r="Y77" s="60">
        <f t="shared" si="79"/>
        <v>1000</v>
      </c>
      <c r="Z77" s="57"/>
      <c r="AA77" s="57"/>
      <c r="AB77" s="57"/>
      <c r="AC77" s="57"/>
      <c r="AD77" s="57">
        <v>1000</v>
      </c>
      <c r="AE77" s="57"/>
      <c r="AF77" s="57"/>
      <c r="AG77" s="44">
        <f t="shared" si="80"/>
        <v>0</v>
      </c>
      <c r="AH77" s="113">
        <f t="shared" si="8"/>
        <v>37466</v>
      </c>
    </row>
    <row r="78" spans="1:34" ht="45">
      <c r="A78" s="52">
        <v>5</v>
      </c>
      <c r="B78" s="54" t="s">
        <v>126</v>
      </c>
      <c r="C78" s="54" t="s">
        <v>345</v>
      </c>
      <c r="D78" s="52" t="s">
        <v>17</v>
      </c>
      <c r="E78" s="52" t="s">
        <v>181</v>
      </c>
      <c r="F78" s="52" t="s">
        <v>3</v>
      </c>
      <c r="G78" s="53">
        <v>7570153</v>
      </c>
      <c r="H78" s="70" t="s">
        <v>365</v>
      </c>
      <c r="I78" s="52" t="s">
        <v>63</v>
      </c>
      <c r="J78" s="52" t="s">
        <v>25</v>
      </c>
      <c r="K78" s="52" t="s">
        <v>127</v>
      </c>
      <c r="L78" s="60">
        <f t="shared" si="76"/>
        <v>27764</v>
      </c>
      <c r="M78" s="61"/>
      <c r="N78" s="61"/>
      <c r="O78" s="61">
        <v>27764</v>
      </c>
      <c r="P78" s="61">
        <v>22600</v>
      </c>
      <c r="Q78" s="60">
        <f t="shared" si="77"/>
        <v>20100</v>
      </c>
      <c r="R78" s="61"/>
      <c r="S78" s="61"/>
      <c r="T78" s="61">
        <f>100+7000+1000+12000</f>
        <v>20100</v>
      </c>
      <c r="U78" s="60">
        <f t="shared" si="78"/>
        <v>20100</v>
      </c>
      <c r="V78" s="61"/>
      <c r="W78" s="61"/>
      <c r="X78" s="61">
        <f>100+7000+1000+12000</f>
        <v>20100</v>
      </c>
      <c r="Y78" s="60">
        <f t="shared" si="79"/>
        <v>2000</v>
      </c>
      <c r="Z78" s="57"/>
      <c r="AA78" s="57"/>
      <c r="AB78" s="57"/>
      <c r="AC78" s="57"/>
      <c r="AD78" s="57">
        <v>2000</v>
      </c>
      <c r="AE78" s="57"/>
      <c r="AF78" s="57"/>
      <c r="AG78" s="44">
        <f t="shared" si="80"/>
        <v>500</v>
      </c>
      <c r="AH78" s="113">
        <f t="shared" si="8"/>
        <v>1850</v>
      </c>
    </row>
    <row r="79" spans="1:34" ht="45">
      <c r="A79" s="52">
        <v>6</v>
      </c>
      <c r="B79" s="54" t="s">
        <v>128</v>
      </c>
      <c r="C79" s="54" t="s">
        <v>345</v>
      </c>
      <c r="D79" s="52" t="s">
        <v>62</v>
      </c>
      <c r="E79" s="52" t="s">
        <v>181</v>
      </c>
      <c r="F79" s="52" t="s">
        <v>3</v>
      </c>
      <c r="G79" s="53">
        <v>7577064</v>
      </c>
      <c r="H79" s="70" t="s">
        <v>365</v>
      </c>
      <c r="I79" s="52" t="s">
        <v>63</v>
      </c>
      <c r="J79" s="52" t="s">
        <v>25</v>
      </c>
      <c r="K79" s="52" t="s">
        <v>129</v>
      </c>
      <c r="L79" s="60">
        <f t="shared" si="76"/>
        <v>18902</v>
      </c>
      <c r="M79" s="61"/>
      <c r="N79" s="61"/>
      <c r="O79" s="61">
        <v>18902</v>
      </c>
      <c r="P79" s="61">
        <v>15300</v>
      </c>
      <c r="Q79" s="60">
        <f t="shared" si="77"/>
        <v>9600</v>
      </c>
      <c r="R79" s="61"/>
      <c r="S79" s="61"/>
      <c r="T79" s="61">
        <f>100+4000-2500+8000</f>
        <v>9600</v>
      </c>
      <c r="U79" s="60">
        <f t="shared" si="78"/>
        <v>9600</v>
      </c>
      <c r="V79" s="61"/>
      <c r="W79" s="61"/>
      <c r="X79" s="61">
        <f>100+4000-2500+8000</f>
        <v>9600</v>
      </c>
      <c r="Y79" s="60">
        <f t="shared" si="79"/>
        <v>5000</v>
      </c>
      <c r="Z79" s="57"/>
      <c r="AA79" s="57"/>
      <c r="AB79" s="57"/>
      <c r="AC79" s="57"/>
      <c r="AD79" s="57">
        <v>5000</v>
      </c>
      <c r="AE79" s="57"/>
      <c r="AF79" s="57"/>
      <c r="AG79" s="44">
        <f t="shared" si="80"/>
        <v>700</v>
      </c>
      <c r="AH79" s="113">
        <f t="shared" si="8"/>
        <v>2664</v>
      </c>
    </row>
    <row r="80" spans="1:34" ht="45">
      <c r="A80" s="52">
        <v>7</v>
      </c>
      <c r="B80" s="54" t="s">
        <v>130</v>
      </c>
      <c r="C80" s="54" t="s">
        <v>345</v>
      </c>
      <c r="D80" s="52" t="s">
        <v>13</v>
      </c>
      <c r="E80" s="52" t="s">
        <v>181</v>
      </c>
      <c r="F80" s="52" t="s">
        <v>3</v>
      </c>
      <c r="G80" s="53">
        <v>7577058</v>
      </c>
      <c r="H80" s="70" t="s">
        <v>365</v>
      </c>
      <c r="I80" s="52" t="s">
        <v>63</v>
      </c>
      <c r="J80" s="52" t="s">
        <v>25</v>
      </c>
      <c r="K80" s="52" t="s">
        <v>127</v>
      </c>
      <c r="L80" s="60">
        <f t="shared" si="76"/>
        <v>21199</v>
      </c>
      <c r="M80" s="61"/>
      <c r="N80" s="61"/>
      <c r="O80" s="61">
        <v>21199</v>
      </c>
      <c r="P80" s="61">
        <v>19900</v>
      </c>
      <c r="Q80" s="60">
        <f t="shared" si="77"/>
        <v>10600</v>
      </c>
      <c r="R80" s="61"/>
      <c r="S80" s="61"/>
      <c r="T80" s="61">
        <f>100+3000-500+8000</f>
        <v>10600</v>
      </c>
      <c r="U80" s="60">
        <f t="shared" si="78"/>
        <v>10600</v>
      </c>
      <c r="V80" s="61"/>
      <c r="W80" s="61"/>
      <c r="X80" s="61">
        <f>100+3000-500+8000</f>
        <v>10600</v>
      </c>
      <c r="Y80" s="60">
        <f t="shared" si="79"/>
        <v>9000</v>
      </c>
      <c r="Z80" s="57"/>
      <c r="AA80" s="57"/>
      <c r="AB80" s="57"/>
      <c r="AC80" s="57"/>
      <c r="AD80" s="57">
        <v>9000</v>
      </c>
      <c r="AE80" s="57"/>
      <c r="AF80" s="57"/>
      <c r="AG80" s="44">
        <f t="shared" si="80"/>
        <v>300</v>
      </c>
      <c r="AH80" s="113">
        <f t="shared" si="8"/>
        <v>302</v>
      </c>
    </row>
    <row r="81" spans="1:34" ht="45">
      <c r="A81" s="89">
        <v>8</v>
      </c>
      <c r="B81" s="54" t="s">
        <v>131</v>
      </c>
      <c r="C81" s="54" t="s">
        <v>345</v>
      </c>
      <c r="D81" s="52" t="s">
        <v>13</v>
      </c>
      <c r="E81" s="52" t="s">
        <v>181</v>
      </c>
      <c r="F81" s="52" t="s">
        <v>3</v>
      </c>
      <c r="G81" s="53">
        <v>7586410</v>
      </c>
      <c r="H81" s="70" t="s">
        <v>365</v>
      </c>
      <c r="I81" s="52" t="s">
        <v>63</v>
      </c>
      <c r="J81" s="52" t="s">
        <v>18</v>
      </c>
      <c r="K81" s="52" t="s">
        <v>132</v>
      </c>
      <c r="L81" s="60">
        <f>SUM(M81:O81)</f>
        <v>42954</v>
      </c>
      <c r="M81" s="61"/>
      <c r="N81" s="61"/>
      <c r="O81" s="61">
        <v>42954</v>
      </c>
      <c r="P81" s="61">
        <v>38500</v>
      </c>
      <c r="Q81" s="60">
        <f>SUM(R81:T81)</f>
        <v>1350</v>
      </c>
      <c r="R81" s="61"/>
      <c r="S81" s="61"/>
      <c r="T81" s="61">
        <f>150+1200</f>
        <v>1350</v>
      </c>
      <c r="U81" s="60">
        <f>SUM(V81:X81)</f>
        <v>1350</v>
      </c>
      <c r="V81" s="61"/>
      <c r="W81" s="61"/>
      <c r="X81" s="61">
        <f>150+1200</f>
        <v>1350</v>
      </c>
      <c r="Y81" s="60">
        <f t="shared" si="79"/>
        <v>5000</v>
      </c>
      <c r="Z81" s="57"/>
      <c r="AA81" s="57"/>
      <c r="AB81" s="57"/>
      <c r="AC81" s="57"/>
      <c r="AD81" s="57">
        <v>5000</v>
      </c>
      <c r="AE81" s="57"/>
      <c r="AF81" s="57"/>
      <c r="AG81" s="44">
        <f t="shared" si="80"/>
        <v>32150</v>
      </c>
      <c r="AH81" s="113">
        <f t="shared" si="8"/>
        <v>5599</v>
      </c>
    </row>
    <row r="82" spans="1:34" ht="45">
      <c r="A82" s="89">
        <v>9</v>
      </c>
      <c r="B82" s="54" t="s">
        <v>133</v>
      </c>
      <c r="C82" s="54" t="s">
        <v>345</v>
      </c>
      <c r="D82" s="52" t="s">
        <v>62</v>
      </c>
      <c r="E82" s="52" t="s">
        <v>181</v>
      </c>
      <c r="F82" s="52" t="s">
        <v>3</v>
      </c>
      <c r="G82" s="53">
        <v>7602083</v>
      </c>
      <c r="H82" s="70" t="s">
        <v>365</v>
      </c>
      <c r="I82" s="52" t="s">
        <v>63</v>
      </c>
      <c r="J82" s="52" t="s">
        <v>18</v>
      </c>
      <c r="K82" s="52" t="s">
        <v>134</v>
      </c>
      <c r="L82" s="60">
        <f>SUM(M82:O82)</f>
        <v>7499</v>
      </c>
      <c r="M82" s="61"/>
      <c r="N82" s="61"/>
      <c r="O82" s="61">
        <v>7499</v>
      </c>
      <c r="P82" s="61">
        <v>6000</v>
      </c>
      <c r="Q82" s="60">
        <f>SUM(R82:T82)</f>
        <v>3773</v>
      </c>
      <c r="R82" s="61"/>
      <c r="S82" s="61"/>
      <c r="T82" s="61">
        <v>3773</v>
      </c>
      <c r="U82" s="60">
        <f>SUM(V82:X82)</f>
        <v>3773</v>
      </c>
      <c r="V82" s="61"/>
      <c r="W82" s="61"/>
      <c r="X82" s="61">
        <f>70+3703</f>
        <v>3773</v>
      </c>
      <c r="Y82" s="60">
        <f t="shared" si="79"/>
        <v>2000</v>
      </c>
      <c r="Z82" s="57"/>
      <c r="AA82" s="57"/>
      <c r="AB82" s="57"/>
      <c r="AC82" s="57"/>
      <c r="AD82" s="57">
        <v>2000</v>
      </c>
      <c r="AE82" s="57"/>
      <c r="AF82" s="57"/>
      <c r="AG82" s="44">
        <f t="shared" si="80"/>
        <v>227</v>
      </c>
      <c r="AH82" s="113">
        <f t="shared" si="8"/>
        <v>39604</v>
      </c>
    </row>
    <row r="83" spans="1:34" ht="45">
      <c r="A83" s="89">
        <v>10</v>
      </c>
      <c r="B83" s="54" t="s">
        <v>135</v>
      </c>
      <c r="C83" s="54" t="s">
        <v>345</v>
      </c>
      <c r="D83" s="52" t="s">
        <v>32</v>
      </c>
      <c r="E83" s="52" t="s">
        <v>181</v>
      </c>
      <c r="F83" s="52" t="s">
        <v>2</v>
      </c>
      <c r="G83" s="53">
        <v>7623911</v>
      </c>
      <c r="H83" s="70" t="s">
        <v>365</v>
      </c>
      <c r="I83" s="52" t="s">
        <v>63</v>
      </c>
      <c r="J83" s="52" t="s">
        <v>18</v>
      </c>
      <c r="K83" s="52" t="s">
        <v>136</v>
      </c>
      <c r="L83" s="60">
        <f>SUM(M83:O83)</f>
        <v>46405</v>
      </c>
      <c r="M83" s="61"/>
      <c r="N83" s="61"/>
      <c r="O83" s="61">
        <v>46405</v>
      </c>
      <c r="P83" s="61">
        <v>39000</v>
      </c>
      <c r="Q83" s="60">
        <f>SUM(R83:T83)</f>
        <v>1400</v>
      </c>
      <c r="R83" s="61"/>
      <c r="S83" s="61"/>
      <c r="T83" s="61">
        <f>200+1200</f>
        <v>1400</v>
      </c>
      <c r="U83" s="60">
        <f>SUM(V83:X83)</f>
        <v>1400</v>
      </c>
      <c r="V83" s="61"/>
      <c r="W83" s="61"/>
      <c r="X83" s="61">
        <f>200+1200</f>
        <v>1400</v>
      </c>
      <c r="Y83" s="60">
        <f t="shared" si="79"/>
        <v>5000</v>
      </c>
      <c r="Z83" s="57"/>
      <c r="AA83" s="57"/>
      <c r="AB83" s="57"/>
      <c r="AC83" s="57"/>
      <c r="AD83" s="57">
        <v>5000</v>
      </c>
      <c r="AE83" s="57"/>
      <c r="AF83" s="57"/>
      <c r="AG83" s="44">
        <f t="shared" si="80"/>
        <v>32600</v>
      </c>
      <c r="AH83" s="113">
        <f t="shared" si="8"/>
        <v>-1274</v>
      </c>
    </row>
    <row r="84" spans="1:34" s="48" customFormat="1" ht="14.25">
      <c r="A84" s="58" t="s">
        <v>67</v>
      </c>
      <c r="B84" s="55" t="s">
        <v>101</v>
      </c>
      <c r="C84" s="55"/>
      <c r="D84" s="58"/>
      <c r="E84" s="58"/>
      <c r="F84" s="58"/>
      <c r="G84" s="59"/>
      <c r="H84" s="58"/>
      <c r="I84" s="58"/>
      <c r="J84" s="58"/>
      <c r="K84" s="58"/>
      <c r="L84" s="56">
        <f t="shared" ref="L84:AE84" si="81">SUM(L85:L86)</f>
        <v>12521</v>
      </c>
      <c r="M84" s="56">
        <f t="shared" si="81"/>
        <v>0</v>
      </c>
      <c r="N84" s="56">
        <f t="shared" si="81"/>
        <v>0</v>
      </c>
      <c r="O84" s="56">
        <f t="shared" si="81"/>
        <v>12521</v>
      </c>
      <c r="P84" s="56">
        <f t="shared" si="81"/>
        <v>12000</v>
      </c>
      <c r="Q84" s="56">
        <f t="shared" si="81"/>
        <v>300</v>
      </c>
      <c r="R84" s="56">
        <f t="shared" si="81"/>
        <v>0</v>
      </c>
      <c r="S84" s="56">
        <f t="shared" si="81"/>
        <v>0</v>
      </c>
      <c r="T84" s="56">
        <f t="shared" si="81"/>
        <v>300</v>
      </c>
      <c r="U84" s="56">
        <f t="shared" si="81"/>
        <v>300</v>
      </c>
      <c r="V84" s="56">
        <f t="shared" si="81"/>
        <v>0</v>
      </c>
      <c r="W84" s="56">
        <f t="shared" si="81"/>
        <v>0</v>
      </c>
      <c r="X84" s="56">
        <f t="shared" si="81"/>
        <v>300</v>
      </c>
      <c r="Y84" s="56">
        <f t="shared" si="81"/>
        <v>108000</v>
      </c>
      <c r="Z84" s="56">
        <f t="shared" si="81"/>
        <v>0</v>
      </c>
      <c r="AA84" s="56">
        <f t="shared" si="81"/>
        <v>0</v>
      </c>
      <c r="AB84" s="56">
        <f t="shared" si="81"/>
        <v>0</v>
      </c>
      <c r="AC84" s="56">
        <f t="shared" si="81"/>
        <v>0</v>
      </c>
      <c r="AD84" s="56">
        <f t="shared" si="81"/>
        <v>108000</v>
      </c>
      <c r="AE84" s="56">
        <f t="shared" si="81"/>
        <v>0</v>
      </c>
      <c r="AF84" s="56"/>
      <c r="AG84" s="50">
        <f t="shared" si="80"/>
        <v>-96300</v>
      </c>
      <c r="AH84" s="113">
        <f t="shared" si="8"/>
        <v>-62995</v>
      </c>
    </row>
    <row r="85" spans="1:34" ht="75">
      <c r="A85" s="52">
        <v>1</v>
      </c>
      <c r="B85" s="54" t="s">
        <v>229</v>
      </c>
      <c r="C85" s="54" t="s">
        <v>245</v>
      </c>
      <c r="D85" s="52" t="s">
        <v>17</v>
      </c>
      <c r="E85" s="52" t="s">
        <v>181</v>
      </c>
      <c r="F85" s="52" t="s">
        <v>3</v>
      </c>
      <c r="G85" s="53">
        <v>7662833</v>
      </c>
      <c r="H85" s="52" t="s">
        <v>227</v>
      </c>
      <c r="I85" s="52" t="s">
        <v>224</v>
      </c>
      <c r="J85" s="52" t="s">
        <v>34</v>
      </c>
      <c r="K85" s="52" t="s">
        <v>228</v>
      </c>
      <c r="L85" s="60">
        <f>SUM(M85:O85)</f>
        <v>12521</v>
      </c>
      <c r="M85" s="61"/>
      <c r="N85" s="61"/>
      <c r="O85" s="61">
        <v>12521</v>
      </c>
      <c r="P85" s="61">
        <v>12000</v>
      </c>
      <c r="Q85" s="60">
        <f>SUM(R85:T85)</f>
        <v>300</v>
      </c>
      <c r="R85" s="61"/>
      <c r="S85" s="61"/>
      <c r="T85" s="61">
        <v>300</v>
      </c>
      <c r="U85" s="60">
        <f>SUM(V85:X85)</f>
        <v>300</v>
      </c>
      <c r="V85" s="61"/>
      <c r="W85" s="61"/>
      <c r="X85" s="61">
        <v>300</v>
      </c>
      <c r="Y85" s="60">
        <f>SUM(Z85:AD85)</f>
        <v>10000</v>
      </c>
      <c r="Z85" s="57"/>
      <c r="AA85" s="57"/>
      <c r="AB85" s="57"/>
      <c r="AC85" s="57"/>
      <c r="AD85" s="57">
        <v>10000</v>
      </c>
      <c r="AE85" s="57"/>
      <c r="AF85" s="57"/>
      <c r="AH85" s="113">
        <f t="shared" si="8"/>
        <v>2221</v>
      </c>
    </row>
    <row r="86" spans="1:34" ht="30">
      <c r="A86" s="89">
        <v>1</v>
      </c>
      <c r="B86" s="54" t="s">
        <v>353</v>
      </c>
      <c r="C86" s="54"/>
      <c r="D86" s="89"/>
      <c r="E86" s="89"/>
      <c r="F86" s="89"/>
      <c r="G86" s="91"/>
      <c r="H86" s="89"/>
      <c r="I86" s="89"/>
      <c r="J86" s="89"/>
      <c r="K86" s="89"/>
      <c r="L86" s="60"/>
      <c r="M86" s="61"/>
      <c r="N86" s="61"/>
      <c r="O86" s="61"/>
      <c r="P86" s="61"/>
      <c r="Q86" s="60"/>
      <c r="R86" s="61"/>
      <c r="S86" s="61"/>
      <c r="T86" s="61"/>
      <c r="U86" s="60"/>
      <c r="V86" s="61"/>
      <c r="W86" s="61"/>
      <c r="X86" s="61"/>
      <c r="Y86" s="60">
        <f>SUM(Z86:AD86)</f>
        <v>98000</v>
      </c>
      <c r="Z86" s="57"/>
      <c r="AA86" s="57"/>
      <c r="AB86" s="57"/>
      <c r="AC86" s="57"/>
      <c r="AD86" s="57">
        <f>25000+20000+20000+10000+5000+5000+13000</f>
        <v>98000</v>
      </c>
      <c r="AE86" s="57"/>
      <c r="AF86" s="57"/>
      <c r="AG86" s="93"/>
      <c r="AH86" s="113">
        <f t="shared" si="8"/>
        <v>-85779</v>
      </c>
    </row>
    <row r="87" spans="1:34" s="68" customFormat="1" ht="28.5">
      <c r="A87" s="62" t="s">
        <v>174</v>
      </c>
      <c r="B87" s="63" t="s">
        <v>137</v>
      </c>
      <c r="C87" s="63"/>
      <c r="D87" s="62"/>
      <c r="E87" s="62"/>
      <c r="F87" s="62"/>
      <c r="G87" s="64"/>
      <c r="H87" s="62"/>
      <c r="I87" s="62"/>
      <c r="J87" s="62"/>
      <c r="K87" s="62"/>
      <c r="L87" s="65">
        <f>L90+L88</f>
        <v>3206169.8430000003</v>
      </c>
      <c r="M87" s="65">
        <f t="shared" ref="M87:AE87" si="82">M90+M88</f>
        <v>1695350</v>
      </c>
      <c r="N87" s="65">
        <f t="shared" si="82"/>
        <v>0</v>
      </c>
      <c r="O87" s="65">
        <f t="shared" si="82"/>
        <v>1510819.8429999999</v>
      </c>
      <c r="P87" s="65">
        <f t="shared" si="82"/>
        <v>1305637</v>
      </c>
      <c r="Q87" s="65">
        <f t="shared" si="82"/>
        <v>1007416</v>
      </c>
      <c r="R87" s="65">
        <f t="shared" si="82"/>
        <v>0</v>
      </c>
      <c r="S87" s="65">
        <f t="shared" si="82"/>
        <v>300000</v>
      </c>
      <c r="T87" s="65">
        <f t="shared" si="82"/>
        <v>707416</v>
      </c>
      <c r="U87" s="65">
        <f t="shared" si="82"/>
        <v>904514</v>
      </c>
      <c r="V87" s="65">
        <f t="shared" si="82"/>
        <v>0</v>
      </c>
      <c r="W87" s="65">
        <f t="shared" si="82"/>
        <v>125020</v>
      </c>
      <c r="X87" s="65">
        <f t="shared" si="82"/>
        <v>779494</v>
      </c>
      <c r="Y87" s="65">
        <f t="shared" si="82"/>
        <v>237849</v>
      </c>
      <c r="Z87" s="65">
        <f t="shared" si="82"/>
        <v>0</v>
      </c>
      <c r="AA87" s="65">
        <f t="shared" si="82"/>
        <v>0</v>
      </c>
      <c r="AB87" s="65">
        <f t="shared" si="82"/>
        <v>0</v>
      </c>
      <c r="AC87" s="65">
        <f t="shared" si="82"/>
        <v>0</v>
      </c>
      <c r="AD87" s="65">
        <f t="shared" si="82"/>
        <v>237849</v>
      </c>
      <c r="AE87" s="65">
        <f t="shared" si="82"/>
        <v>0</v>
      </c>
      <c r="AF87" s="66"/>
      <c r="AG87" s="67">
        <f>P87-U87-Y87</f>
        <v>163274</v>
      </c>
      <c r="AH87" s="113">
        <f t="shared" ref="AH87:AH130" si="83">L86-U86-Y87</f>
        <v>-237849</v>
      </c>
    </row>
    <row r="88" spans="1:34" s="48" customFormat="1" ht="42.75">
      <c r="A88" s="58" t="s">
        <v>73</v>
      </c>
      <c r="B88" s="55" t="s">
        <v>190</v>
      </c>
      <c r="C88" s="55"/>
      <c r="D88" s="58"/>
      <c r="E88" s="58"/>
      <c r="F88" s="58"/>
      <c r="G88" s="59"/>
      <c r="H88" s="58"/>
      <c r="I88" s="58"/>
      <c r="J88" s="58"/>
      <c r="K88" s="58"/>
      <c r="L88" s="60">
        <f t="shared" ref="L88:AE88" si="84">SUM(L89:L89)</f>
        <v>861397</v>
      </c>
      <c r="M88" s="60">
        <f t="shared" si="84"/>
        <v>300000</v>
      </c>
      <c r="N88" s="60">
        <f t="shared" si="84"/>
        <v>0</v>
      </c>
      <c r="O88" s="60">
        <f t="shared" si="84"/>
        <v>561397</v>
      </c>
      <c r="P88" s="60">
        <f t="shared" si="84"/>
        <v>436000</v>
      </c>
      <c r="Q88" s="60">
        <f t="shared" si="84"/>
        <v>830985</v>
      </c>
      <c r="R88" s="60">
        <f t="shared" si="84"/>
        <v>0</v>
      </c>
      <c r="S88" s="60">
        <f t="shared" si="84"/>
        <v>300000</v>
      </c>
      <c r="T88" s="60">
        <f t="shared" si="84"/>
        <v>530985</v>
      </c>
      <c r="U88" s="60">
        <f t="shared" si="84"/>
        <v>663362</v>
      </c>
      <c r="V88" s="60">
        <f t="shared" si="84"/>
        <v>0</v>
      </c>
      <c r="W88" s="60">
        <f t="shared" si="84"/>
        <v>125020</v>
      </c>
      <c r="X88" s="60">
        <f t="shared" si="84"/>
        <v>538342</v>
      </c>
      <c r="Y88" s="60">
        <f t="shared" si="84"/>
        <v>5000</v>
      </c>
      <c r="Z88" s="60">
        <f t="shared" si="84"/>
        <v>0</v>
      </c>
      <c r="AA88" s="60">
        <f t="shared" si="84"/>
        <v>0</v>
      </c>
      <c r="AB88" s="60">
        <f t="shared" si="84"/>
        <v>0</v>
      </c>
      <c r="AC88" s="60">
        <f t="shared" si="84"/>
        <v>0</v>
      </c>
      <c r="AD88" s="60">
        <f t="shared" si="84"/>
        <v>5000</v>
      </c>
      <c r="AE88" s="60">
        <f t="shared" si="84"/>
        <v>0</v>
      </c>
      <c r="AF88" s="56"/>
      <c r="AG88" s="50">
        <f>P88-U88-Y88</f>
        <v>-232362</v>
      </c>
      <c r="AH88" s="113">
        <f t="shared" si="83"/>
        <v>2296655.8430000003</v>
      </c>
    </row>
    <row r="89" spans="1:34" ht="60">
      <c r="A89" s="52">
        <v>1</v>
      </c>
      <c r="B89" s="54" t="s">
        <v>333</v>
      </c>
      <c r="C89" s="54" t="s">
        <v>347</v>
      </c>
      <c r="D89" s="52" t="s">
        <v>29</v>
      </c>
      <c r="E89" s="52" t="s">
        <v>181</v>
      </c>
      <c r="F89" s="52" t="s">
        <v>1</v>
      </c>
      <c r="G89" s="53">
        <v>7054527</v>
      </c>
      <c r="H89" s="52">
        <v>132</v>
      </c>
      <c r="I89" s="52" t="s">
        <v>36</v>
      </c>
      <c r="J89" s="52" t="s">
        <v>334</v>
      </c>
      <c r="K89" s="52" t="s">
        <v>332</v>
      </c>
      <c r="L89" s="60">
        <f t="shared" ref="L89" si="85">M89+O89+N89</f>
        <v>861397</v>
      </c>
      <c r="M89" s="61">
        <v>300000</v>
      </c>
      <c r="N89" s="61"/>
      <c r="O89" s="61">
        <v>561397</v>
      </c>
      <c r="P89" s="61">
        <v>436000</v>
      </c>
      <c r="Q89" s="71">
        <f t="shared" ref="Q89:Q96" si="86">SUM(R89:T89)</f>
        <v>830985</v>
      </c>
      <c r="R89" s="61"/>
      <c r="S89" s="61">
        <v>300000</v>
      </c>
      <c r="T89" s="61">
        <f>830985-S89</f>
        <v>530985</v>
      </c>
      <c r="U89" s="71">
        <f t="shared" ref="U89" si="87">SUM(V89:X89)</f>
        <v>663362</v>
      </c>
      <c r="V89" s="61"/>
      <c r="W89" s="61">
        <f>98000+27020</f>
        <v>125020</v>
      </c>
      <c r="X89" s="61">
        <f>538342</f>
        <v>538342</v>
      </c>
      <c r="Y89" s="71">
        <f>SUM(Z89:AD89)</f>
        <v>5000</v>
      </c>
      <c r="Z89" s="57"/>
      <c r="AA89" s="57"/>
      <c r="AB89" s="57"/>
      <c r="AC89" s="57"/>
      <c r="AD89" s="57">
        <v>5000</v>
      </c>
      <c r="AE89" s="57"/>
      <c r="AF89" s="57"/>
      <c r="AH89" s="113">
        <f t="shared" si="83"/>
        <v>193035</v>
      </c>
    </row>
    <row r="90" spans="1:34" s="48" customFormat="1" ht="14.25">
      <c r="A90" s="58" t="s">
        <v>60</v>
      </c>
      <c r="B90" s="55" t="s">
        <v>61</v>
      </c>
      <c r="C90" s="55"/>
      <c r="D90" s="58"/>
      <c r="E90" s="58"/>
      <c r="F90" s="58"/>
      <c r="G90" s="59"/>
      <c r="H90" s="58"/>
      <c r="I90" s="58"/>
      <c r="J90" s="58"/>
      <c r="K90" s="58"/>
      <c r="L90" s="60">
        <f t="shared" ref="L90:AE90" si="88">SUM(L91:L96)</f>
        <v>2344772.8430000003</v>
      </c>
      <c r="M90" s="60">
        <f t="shared" si="88"/>
        <v>1395350</v>
      </c>
      <c r="N90" s="60">
        <f t="shared" si="88"/>
        <v>0</v>
      </c>
      <c r="O90" s="60">
        <f t="shared" si="88"/>
        <v>949422.84299999999</v>
      </c>
      <c r="P90" s="60">
        <f t="shared" si="88"/>
        <v>869637</v>
      </c>
      <c r="Q90" s="60">
        <f t="shared" si="88"/>
        <v>176431</v>
      </c>
      <c r="R90" s="60">
        <f t="shared" si="88"/>
        <v>0</v>
      </c>
      <c r="S90" s="60">
        <f t="shared" si="88"/>
        <v>0</v>
      </c>
      <c r="T90" s="60">
        <f t="shared" si="88"/>
        <v>176431</v>
      </c>
      <c r="U90" s="60">
        <f t="shared" si="88"/>
        <v>241152</v>
      </c>
      <c r="V90" s="60">
        <f t="shared" si="88"/>
        <v>0</v>
      </c>
      <c r="W90" s="60">
        <f t="shared" si="88"/>
        <v>0</v>
      </c>
      <c r="X90" s="60">
        <f t="shared" si="88"/>
        <v>241152</v>
      </c>
      <c r="Y90" s="60">
        <f t="shared" si="88"/>
        <v>232849</v>
      </c>
      <c r="Z90" s="60">
        <f t="shared" si="88"/>
        <v>0</v>
      </c>
      <c r="AA90" s="60">
        <f t="shared" si="88"/>
        <v>0</v>
      </c>
      <c r="AB90" s="60">
        <f t="shared" si="88"/>
        <v>0</v>
      </c>
      <c r="AC90" s="60">
        <f t="shared" si="88"/>
        <v>0</v>
      </c>
      <c r="AD90" s="60">
        <f t="shared" si="88"/>
        <v>232849</v>
      </c>
      <c r="AE90" s="60">
        <f t="shared" si="88"/>
        <v>0</v>
      </c>
      <c r="AF90" s="56"/>
      <c r="AG90" s="50">
        <f t="shared" ref="AG90:AG98" si="89">P90-U90-Y90</f>
        <v>395636</v>
      </c>
      <c r="AH90" s="113">
        <f t="shared" si="83"/>
        <v>-34814</v>
      </c>
    </row>
    <row r="91" spans="1:34" s="78" customFormat="1" ht="45">
      <c r="A91" s="72">
        <v>1</v>
      </c>
      <c r="B91" s="73" t="s">
        <v>138</v>
      </c>
      <c r="C91" s="54" t="s">
        <v>347</v>
      </c>
      <c r="D91" s="72" t="s">
        <v>64</v>
      </c>
      <c r="E91" s="72" t="s">
        <v>181</v>
      </c>
      <c r="F91" s="72" t="s">
        <v>2</v>
      </c>
      <c r="G91" s="74">
        <v>7565460</v>
      </c>
      <c r="H91" s="72">
        <v>132</v>
      </c>
      <c r="I91" s="72" t="s">
        <v>96</v>
      </c>
      <c r="J91" s="72" t="s">
        <v>22</v>
      </c>
      <c r="K91" s="72" t="s">
        <v>139</v>
      </c>
      <c r="L91" s="71">
        <f t="shared" ref="L91:L96" si="90">SUM(M91:O91)</f>
        <v>71064</v>
      </c>
      <c r="M91" s="75"/>
      <c r="N91" s="75"/>
      <c r="O91" s="75">
        <v>71064</v>
      </c>
      <c r="P91" s="75">
        <v>64000</v>
      </c>
      <c r="Q91" s="71">
        <f t="shared" si="86"/>
        <v>37450</v>
      </c>
      <c r="R91" s="75"/>
      <c r="S91" s="75"/>
      <c r="T91" s="75">
        <f>3150+16300+18000</f>
        <v>37450</v>
      </c>
      <c r="U91" s="71">
        <f t="shared" ref="U91:U96" si="91">SUM(V91:X91)</f>
        <v>50548</v>
      </c>
      <c r="V91" s="75"/>
      <c r="W91" s="75"/>
      <c r="X91" s="75">
        <f>3150+16300+31098</f>
        <v>50548</v>
      </c>
      <c r="Y91" s="71">
        <f t="shared" ref="Y91:Y96" si="92">SUM(Z91:AD91)</f>
        <v>10000</v>
      </c>
      <c r="Z91" s="76"/>
      <c r="AA91" s="76"/>
      <c r="AB91" s="76"/>
      <c r="AC91" s="76"/>
      <c r="AD91" s="76">
        <v>10000</v>
      </c>
      <c r="AE91" s="76"/>
      <c r="AF91" s="76"/>
      <c r="AG91" s="77">
        <f t="shared" si="89"/>
        <v>3452</v>
      </c>
      <c r="AH91" s="113">
        <f t="shared" si="83"/>
        <v>2093620.8430000003</v>
      </c>
    </row>
    <row r="92" spans="1:34" s="78" customFormat="1" ht="45">
      <c r="A92" s="72">
        <v>2</v>
      </c>
      <c r="B92" s="73" t="s">
        <v>140</v>
      </c>
      <c r="C92" s="54" t="s">
        <v>347</v>
      </c>
      <c r="D92" s="72" t="s">
        <v>29</v>
      </c>
      <c r="E92" s="72" t="s">
        <v>181</v>
      </c>
      <c r="F92" s="72" t="s">
        <v>2</v>
      </c>
      <c r="G92" s="74">
        <v>7567082</v>
      </c>
      <c r="H92" s="72">
        <v>132</v>
      </c>
      <c r="I92" s="72" t="s">
        <v>96</v>
      </c>
      <c r="J92" s="72" t="s">
        <v>22</v>
      </c>
      <c r="K92" s="72" t="s">
        <v>141</v>
      </c>
      <c r="L92" s="71">
        <f t="shared" si="90"/>
        <v>285656</v>
      </c>
      <c r="M92" s="75"/>
      <c r="N92" s="75"/>
      <c r="O92" s="75">
        <v>285656</v>
      </c>
      <c r="P92" s="75">
        <v>257000</v>
      </c>
      <c r="Q92" s="71">
        <f t="shared" si="86"/>
        <v>52200</v>
      </c>
      <c r="R92" s="75"/>
      <c r="S92" s="75"/>
      <c r="T92" s="75">
        <f>200+7000+45000</f>
        <v>52200</v>
      </c>
      <c r="U92" s="71">
        <f t="shared" si="91"/>
        <v>72500</v>
      </c>
      <c r="V92" s="75"/>
      <c r="W92" s="75"/>
      <c r="X92" s="75">
        <f>200+7000+65300</f>
        <v>72500</v>
      </c>
      <c r="Y92" s="71">
        <f t="shared" si="92"/>
        <v>100000</v>
      </c>
      <c r="Z92" s="76"/>
      <c r="AA92" s="76"/>
      <c r="AB92" s="76"/>
      <c r="AC92" s="76"/>
      <c r="AD92" s="76">
        <v>100000</v>
      </c>
      <c r="AE92" s="76"/>
      <c r="AF92" s="76"/>
      <c r="AG92" s="77">
        <f t="shared" si="89"/>
        <v>84500</v>
      </c>
      <c r="AH92" s="113">
        <f t="shared" si="83"/>
        <v>-79484</v>
      </c>
    </row>
    <row r="93" spans="1:34" ht="45">
      <c r="A93" s="52">
        <v>3</v>
      </c>
      <c r="B93" s="54" t="s">
        <v>142</v>
      </c>
      <c r="C93" s="54" t="s">
        <v>347</v>
      </c>
      <c r="D93" s="52" t="s">
        <v>29</v>
      </c>
      <c r="E93" s="52" t="s">
        <v>181</v>
      </c>
      <c r="F93" s="52" t="s">
        <v>1</v>
      </c>
      <c r="G93" s="53">
        <v>7526068</v>
      </c>
      <c r="H93" s="72">
        <v>132</v>
      </c>
      <c r="I93" s="52" t="s">
        <v>36</v>
      </c>
      <c r="J93" s="52" t="s">
        <v>25</v>
      </c>
      <c r="K93" s="52" t="s">
        <v>37</v>
      </c>
      <c r="L93" s="60">
        <f t="shared" si="90"/>
        <v>1727942</v>
      </c>
      <c r="M93" s="61">
        <v>1395350</v>
      </c>
      <c r="N93" s="61"/>
      <c r="O93" s="61">
        <v>332592</v>
      </c>
      <c r="P93" s="61">
        <v>300000</v>
      </c>
      <c r="Q93" s="60">
        <f t="shared" si="86"/>
        <v>10230</v>
      </c>
      <c r="R93" s="61"/>
      <c r="S93" s="61"/>
      <c r="T93" s="61">
        <f>6500+40000-36270</f>
        <v>10230</v>
      </c>
      <c r="U93" s="60">
        <f t="shared" si="91"/>
        <v>41553</v>
      </c>
      <c r="V93" s="61"/>
      <c r="W93" s="61"/>
      <c r="X93" s="61">
        <f>6500+50000-36270+21323</f>
        <v>41553</v>
      </c>
      <c r="Y93" s="60">
        <f t="shared" si="92"/>
        <v>100000</v>
      </c>
      <c r="Z93" s="57"/>
      <c r="AA93" s="57"/>
      <c r="AB93" s="57"/>
      <c r="AC93" s="57"/>
      <c r="AD93" s="57">
        <v>100000</v>
      </c>
      <c r="AE93" s="57"/>
      <c r="AF93" s="57"/>
      <c r="AG93" s="44">
        <f t="shared" si="89"/>
        <v>158447</v>
      </c>
      <c r="AH93" s="113">
        <f t="shared" si="83"/>
        <v>113156</v>
      </c>
    </row>
    <row r="94" spans="1:34" ht="45">
      <c r="A94" s="52">
        <v>4</v>
      </c>
      <c r="B94" s="54" t="s">
        <v>143</v>
      </c>
      <c r="C94" s="54" t="s">
        <v>338</v>
      </c>
      <c r="D94" s="52" t="s">
        <v>64</v>
      </c>
      <c r="E94" s="52" t="s">
        <v>181</v>
      </c>
      <c r="F94" s="52" t="s">
        <v>2</v>
      </c>
      <c r="G94" s="53">
        <v>7595352</v>
      </c>
      <c r="H94" s="72">
        <v>132</v>
      </c>
      <c r="I94" s="52" t="s">
        <v>96</v>
      </c>
      <c r="J94" s="52" t="s">
        <v>22</v>
      </c>
      <c r="K94" s="52" t="s">
        <v>230</v>
      </c>
      <c r="L94" s="60">
        <f t="shared" si="90"/>
        <v>68846.498000000007</v>
      </c>
      <c r="M94" s="61"/>
      <c r="N94" s="61"/>
      <c r="O94" s="61">
        <v>68846.498000000007</v>
      </c>
      <c r="P94" s="61">
        <v>62000</v>
      </c>
      <c r="Q94" s="60">
        <f t="shared" si="86"/>
        <v>17150</v>
      </c>
      <c r="R94" s="61"/>
      <c r="S94" s="61"/>
      <c r="T94" s="61">
        <f>150+9000+15000-7000</f>
        <v>17150</v>
      </c>
      <c r="U94" s="60">
        <f t="shared" si="91"/>
        <v>17150</v>
      </c>
      <c r="V94" s="61"/>
      <c r="W94" s="61"/>
      <c r="X94" s="61">
        <f>150+9000+15000-7000</f>
        <v>17150</v>
      </c>
      <c r="Y94" s="60">
        <f t="shared" si="92"/>
        <v>5000</v>
      </c>
      <c r="Z94" s="57"/>
      <c r="AA94" s="57"/>
      <c r="AB94" s="57"/>
      <c r="AC94" s="57"/>
      <c r="AD94" s="57">
        <v>5000</v>
      </c>
      <c r="AE94" s="57"/>
      <c r="AF94" s="57"/>
      <c r="AG94" s="44">
        <f t="shared" si="89"/>
        <v>39850</v>
      </c>
      <c r="AH94" s="113">
        <f t="shared" si="83"/>
        <v>1681389</v>
      </c>
    </row>
    <row r="95" spans="1:34" ht="45">
      <c r="A95" s="52">
        <v>5</v>
      </c>
      <c r="B95" s="54" t="s">
        <v>144</v>
      </c>
      <c r="C95" s="54" t="s">
        <v>338</v>
      </c>
      <c r="D95" s="52" t="s">
        <v>29</v>
      </c>
      <c r="E95" s="52" t="s">
        <v>181</v>
      </c>
      <c r="F95" s="52" t="s">
        <v>2</v>
      </c>
      <c r="G95" s="53">
        <v>7559191</v>
      </c>
      <c r="H95" s="72">
        <v>132</v>
      </c>
      <c r="I95" s="52" t="s">
        <v>145</v>
      </c>
      <c r="J95" s="52" t="s">
        <v>22</v>
      </c>
      <c r="K95" s="52" t="s">
        <v>231</v>
      </c>
      <c r="L95" s="60">
        <f t="shared" si="90"/>
        <v>149783</v>
      </c>
      <c r="M95" s="61"/>
      <c r="N95" s="61"/>
      <c r="O95" s="61">
        <v>149783</v>
      </c>
      <c r="P95" s="61">
        <v>146942</v>
      </c>
      <c r="Q95" s="60">
        <f t="shared" si="86"/>
        <v>35250</v>
      </c>
      <c r="R95" s="61"/>
      <c r="S95" s="61"/>
      <c r="T95" s="61">
        <f>250+5000+30000</f>
        <v>35250</v>
      </c>
      <c r="U95" s="60">
        <f t="shared" si="91"/>
        <v>35250</v>
      </c>
      <c r="V95" s="61"/>
      <c r="W95" s="61"/>
      <c r="X95" s="61">
        <f>250+5000+30000</f>
        <v>35250</v>
      </c>
      <c r="Y95" s="60">
        <f t="shared" si="92"/>
        <v>5000</v>
      </c>
      <c r="Z95" s="57"/>
      <c r="AA95" s="57"/>
      <c r="AB95" s="57"/>
      <c r="AC95" s="57"/>
      <c r="AD95" s="57">
        <v>5000</v>
      </c>
      <c r="AE95" s="57"/>
      <c r="AF95" s="57"/>
      <c r="AG95" s="44">
        <f t="shared" si="89"/>
        <v>106692</v>
      </c>
      <c r="AH95" s="113">
        <f t="shared" si="83"/>
        <v>46696.498000000007</v>
      </c>
    </row>
    <row r="96" spans="1:34" ht="45">
      <c r="A96" s="52">
        <v>6</v>
      </c>
      <c r="B96" s="54" t="s">
        <v>146</v>
      </c>
      <c r="C96" s="54" t="s">
        <v>338</v>
      </c>
      <c r="D96" s="52" t="s">
        <v>29</v>
      </c>
      <c r="E96" s="52" t="s">
        <v>181</v>
      </c>
      <c r="F96" s="52" t="s">
        <v>3</v>
      </c>
      <c r="G96" s="53">
        <v>7551347</v>
      </c>
      <c r="H96" s="52">
        <v>139</v>
      </c>
      <c r="I96" s="52" t="s">
        <v>63</v>
      </c>
      <c r="J96" s="52" t="s">
        <v>25</v>
      </c>
      <c r="K96" s="52" t="s">
        <v>232</v>
      </c>
      <c r="L96" s="60">
        <f t="shared" si="90"/>
        <v>41481.345000000001</v>
      </c>
      <c r="M96" s="61"/>
      <c r="N96" s="61"/>
      <c r="O96" s="61">
        <v>41481.345000000001</v>
      </c>
      <c r="P96" s="61">
        <v>39695</v>
      </c>
      <c r="Q96" s="60">
        <f t="shared" si="86"/>
        <v>24151</v>
      </c>
      <c r="R96" s="61"/>
      <c r="S96" s="61"/>
      <c r="T96" s="61">
        <f>150+10000-1500+15501</f>
        <v>24151</v>
      </c>
      <c r="U96" s="60">
        <f t="shared" si="91"/>
        <v>24151</v>
      </c>
      <c r="V96" s="61"/>
      <c r="W96" s="61"/>
      <c r="X96" s="61">
        <f>150+10000-1500+15501</f>
        <v>24151</v>
      </c>
      <c r="Y96" s="60">
        <f t="shared" si="92"/>
        <v>12849</v>
      </c>
      <c r="Z96" s="57"/>
      <c r="AA96" s="57"/>
      <c r="AB96" s="57"/>
      <c r="AC96" s="57"/>
      <c r="AD96" s="57">
        <v>12849</v>
      </c>
      <c r="AE96" s="57"/>
      <c r="AF96" s="57"/>
      <c r="AG96" s="44">
        <f t="shared" si="89"/>
        <v>2695</v>
      </c>
      <c r="AH96" s="113">
        <f t="shared" si="83"/>
        <v>101684</v>
      </c>
    </row>
    <row r="97" spans="1:34" s="68" customFormat="1" ht="28.5">
      <c r="A97" s="62" t="s">
        <v>182</v>
      </c>
      <c r="B97" s="63" t="s">
        <v>150</v>
      </c>
      <c r="C97" s="63"/>
      <c r="D97" s="62"/>
      <c r="E97" s="62"/>
      <c r="F97" s="62"/>
      <c r="G97" s="64"/>
      <c r="H97" s="62"/>
      <c r="I97" s="62"/>
      <c r="J97" s="62"/>
      <c r="K97" s="62"/>
      <c r="L97" s="65">
        <f>L98</f>
        <v>0</v>
      </c>
      <c r="M97" s="65">
        <f t="shared" ref="M97:AE97" si="93">M98</f>
        <v>0</v>
      </c>
      <c r="N97" s="65">
        <f t="shared" si="93"/>
        <v>0</v>
      </c>
      <c r="O97" s="65">
        <f t="shared" si="93"/>
        <v>0</v>
      </c>
      <c r="P97" s="65">
        <f t="shared" si="93"/>
        <v>0</v>
      </c>
      <c r="Q97" s="65">
        <f t="shared" si="93"/>
        <v>0</v>
      </c>
      <c r="R97" s="65">
        <f t="shared" si="93"/>
        <v>0</v>
      </c>
      <c r="S97" s="65">
        <f t="shared" si="93"/>
        <v>0</v>
      </c>
      <c r="T97" s="65">
        <f t="shared" si="93"/>
        <v>0</v>
      </c>
      <c r="U97" s="65">
        <f t="shared" si="93"/>
        <v>0</v>
      </c>
      <c r="V97" s="65">
        <f t="shared" si="93"/>
        <v>0</v>
      </c>
      <c r="W97" s="65">
        <f t="shared" si="93"/>
        <v>0</v>
      </c>
      <c r="X97" s="65">
        <f t="shared" si="93"/>
        <v>0</v>
      </c>
      <c r="Y97" s="65">
        <f t="shared" si="93"/>
        <v>40000</v>
      </c>
      <c r="Z97" s="66">
        <f t="shared" si="93"/>
        <v>0</v>
      </c>
      <c r="AA97" s="66">
        <f t="shared" si="93"/>
        <v>0</v>
      </c>
      <c r="AB97" s="66">
        <f t="shared" si="93"/>
        <v>0</v>
      </c>
      <c r="AC97" s="66">
        <f t="shared" si="93"/>
        <v>40000</v>
      </c>
      <c r="AD97" s="66">
        <f t="shared" si="93"/>
        <v>0</v>
      </c>
      <c r="AE97" s="66">
        <f t="shared" si="93"/>
        <v>0</v>
      </c>
      <c r="AF97" s="66"/>
      <c r="AG97" s="67">
        <f t="shared" si="89"/>
        <v>-40000</v>
      </c>
      <c r="AH97" s="113">
        <f t="shared" si="83"/>
        <v>-22669.654999999999</v>
      </c>
    </row>
    <row r="98" spans="1:34" s="48" customFormat="1" ht="14.25">
      <c r="A98" s="58"/>
      <c r="B98" s="55" t="s">
        <v>101</v>
      </c>
      <c r="C98" s="55"/>
      <c r="D98" s="58"/>
      <c r="E98" s="58"/>
      <c r="F98" s="58"/>
      <c r="G98" s="59"/>
      <c r="H98" s="58"/>
      <c r="I98" s="58"/>
      <c r="J98" s="58"/>
      <c r="K98" s="58"/>
      <c r="L98" s="60">
        <f t="shared" ref="L98:AE98" si="94">SUM(L99:L99)</f>
        <v>0</v>
      </c>
      <c r="M98" s="60">
        <f t="shared" si="94"/>
        <v>0</v>
      </c>
      <c r="N98" s="60">
        <f t="shared" si="94"/>
        <v>0</v>
      </c>
      <c r="O98" s="60">
        <f t="shared" si="94"/>
        <v>0</v>
      </c>
      <c r="P98" s="60">
        <f t="shared" si="94"/>
        <v>0</v>
      </c>
      <c r="Q98" s="60">
        <f t="shared" si="94"/>
        <v>0</v>
      </c>
      <c r="R98" s="60">
        <f t="shared" si="94"/>
        <v>0</v>
      </c>
      <c r="S98" s="60">
        <f t="shared" si="94"/>
        <v>0</v>
      </c>
      <c r="T98" s="60">
        <f t="shared" si="94"/>
        <v>0</v>
      </c>
      <c r="U98" s="60">
        <f t="shared" si="94"/>
        <v>0</v>
      </c>
      <c r="V98" s="60">
        <f t="shared" si="94"/>
        <v>0</v>
      </c>
      <c r="W98" s="60">
        <f t="shared" si="94"/>
        <v>0</v>
      </c>
      <c r="X98" s="60">
        <f t="shared" si="94"/>
        <v>0</v>
      </c>
      <c r="Y98" s="60">
        <f t="shared" si="94"/>
        <v>40000</v>
      </c>
      <c r="Z98" s="60">
        <f t="shared" si="94"/>
        <v>0</v>
      </c>
      <c r="AA98" s="60">
        <f t="shared" si="94"/>
        <v>0</v>
      </c>
      <c r="AB98" s="60">
        <f t="shared" si="94"/>
        <v>0</v>
      </c>
      <c r="AC98" s="60">
        <f t="shared" si="94"/>
        <v>40000</v>
      </c>
      <c r="AD98" s="60">
        <f t="shared" si="94"/>
        <v>0</v>
      </c>
      <c r="AE98" s="60">
        <f t="shared" si="94"/>
        <v>0</v>
      </c>
      <c r="AF98" s="56"/>
      <c r="AG98" s="50">
        <f t="shared" si="89"/>
        <v>-40000</v>
      </c>
      <c r="AH98" s="113">
        <f t="shared" si="83"/>
        <v>-40000</v>
      </c>
    </row>
    <row r="99" spans="1:34" ht="75">
      <c r="A99" s="52">
        <v>1</v>
      </c>
      <c r="B99" s="54" t="s">
        <v>331</v>
      </c>
      <c r="C99" s="54"/>
      <c r="D99" s="52"/>
      <c r="E99" s="52"/>
      <c r="F99" s="52"/>
      <c r="G99" s="53"/>
      <c r="H99" s="52"/>
      <c r="I99" s="52"/>
      <c r="J99" s="52"/>
      <c r="K99" s="52"/>
      <c r="L99" s="60"/>
      <c r="M99" s="61"/>
      <c r="N99" s="61"/>
      <c r="O99" s="61"/>
      <c r="P99" s="61"/>
      <c r="Q99" s="60"/>
      <c r="R99" s="61"/>
      <c r="S99" s="61"/>
      <c r="T99" s="61"/>
      <c r="U99" s="60"/>
      <c r="V99" s="61"/>
      <c r="W99" s="61"/>
      <c r="X99" s="61"/>
      <c r="Y99" s="60">
        <f>SUM(Z99:AD99)</f>
        <v>40000</v>
      </c>
      <c r="Z99" s="57"/>
      <c r="AA99" s="57"/>
      <c r="AB99" s="57"/>
      <c r="AC99" s="57">
        <v>40000</v>
      </c>
      <c r="AD99" s="57"/>
      <c r="AE99" s="57"/>
      <c r="AF99" s="57"/>
      <c r="AH99" s="113">
        <f t="shared" si="83"/>
        <v>-40000</v>
      </c>
    </row>
    <row r="100" spans="1:34" s="68" customFormat="1" ht="14.25">
      <c r="A100" s="62" t="s">
        <v>183</v>
      </c>
      <c r="B100" s="63" t="s">
        <v>151</v>
      </c>
      <c r="C100" s="63"/>
      <c r="D100" s="62"/>
      <c r="E100" s="62"/>
      <c r="F100" s="62"/>
      <c r="G100" s="64"/>
      <c r="H100" s="62"/>
      <c r="I100" s="62"/>
      <c r="J100" s="62"/>
      <c r="K100" s="62"/>
      <c r="L100" s="65">
        <f t="shared" ref="L100:AE100" si="95">L101+L104</f>
        <v>12738</v>
      </c>
      <c r="M100" s="65">
        <f t="shared" si="95"/>
        <v>0</v>
      </c>
      <c r="N100" s="65">
        <f t="shared" si="95"/>
        <v>0</v>
      </c>
      <c r="O100" s="65">
        <f t="shared" si="95"/>
        <v>12738</v>
      </c>
      <c r="P100" s="65">
        <f t="shared" si="95"/>
        <v>12132.75</v>
      </c>
      <c r="Q100" s="65">
        <f t="shared" si="95"/>
        <v>7377</v>
      </c>
      <c r="R100" s="65">
        <f t="shared" si="95"/>
        <v>0</v>
      </c>
      <c r="S100" s="65">
        <f t="shared" si="95"/>
        <v>0</v>
      </c>
      <c r="T100" s="65">
        <f t="shared" si="95"/>
        <v>7377</v>
      </c>
      <c r="U100" s="65">
        <f t="shared" si="95"/>
        <v>8351</v>
      </c>
      <c r="V100" s="65">
        <f t="shared" si="95"/>
        <v>0</v>
      </c>
      <c r="W100" s="65">
        <f t="shared" si="95"/>
        <v>0</v>
      </c>
      <c r="X100" s="65">
        <f t="shared" si="95"/>
        <v>8351</v>
      </c>
      <c r="Y100" s="65">
        <f t="shared" si="95"/>
        <v>3000</v>
      </c>
      <c r="Z100" s="65">
        <f t="shared" si="95"/>
        <v>0</v>
      </c>
      <c r="AA100" s="65">
        <f t="shared" si="95"/>
        <v>0</v>
      </c>
      <c r="AB100" s="65">
        <f t="shared" si="95"/>
        <v>3000</v>
      </c>
      <c r="AC100" s="65">
        <f t="shared" si="95"/>
        <v>0</v>
      </c>
      <c r="AD100" s="65">
        <f t="shared" si="95"/>
        <v>0</v>
      </c>
      <c r="AE100" s="65">
        <f t="shared" si="95"/>
        <v>0</v>
      </c>
      <c r="AF100" s="66"/>
      <c r="AG100" s="67">
        <f>P100-U100-Y100</f>
        <v>781.75</v>
      </c>
      <c r="AH100" s="113">
        <f t="shared" si="83"/>
        <v>-3000</v>
      </c>
    </row>
    <row r="101" spans="1:34" s="48" customFormat="1" ht="14.25">
      <c r="A101" s="58" t="s">
        <v>60</v>
      </c>
      <c r="B101" s="55" t="s">
        <v>118</v>
      </c>
      <c r="C101" s="55"/>
      <c r="D101" s="58"/>
      <c r="E101" s="58"/>
      <c r="F101" s="58"/>
      <c r="G101" s="59"/>
      <c r="H101" s="58"/>
      <c r="I101" s="58"/>
      <c r="J101" s="58"/>
      <c r="K101" s="58"/>
      <c r="L101" s="60">
        <f>SUM(L102:L103)</f>
        <v>11568</v>
      </c>
      <c r="M101" s="60">
        <f t="shared" ref="M101:AE101" si="96">SUM(M102:M103)</f>
        <v>0</v>
      </c>
      <c r="N101" s="60">
        <f t="shared" si="96"/>
        <v>0</v>
      </c>
      <c r="O101" s="60">
        <f t="shared" si="96"/>
        <v>11568</v>
      </c>
      <c r="P101" s="60">
        <f t="shared" si="96"/>
        <v>10962.75</v>
      </c>
      <c r="Q101" s="60">
        <f t="shared" si="96"/>
        <v>7377</v>
      </c>
      <c r="R101" s="60">
        <f t="shared" si="96"/>
        <v>0</v>
      </c>
      <c r="S101" s="60">
        <f t="shared" si="96"/>
        <v>0</v>
      </c>
      <c r="T101" s="60">
        <f t="shared" si="96"/>
        <v>7377</v>
      </c>
      <c r="U101" s="60">
        <f t="shared" si="96"/>
        <v>8351</v>
      </c>
      <c r="V101" s="60">
        <f t="shared" si="96"/>
        <v>0</v>
      </c>
      <c r="W101" s="60">
        <f t="shared" si="96"/>
        <v>0</v>
      </c>
      <c r="X101" s="60">
        <f t="shared" si="96"/>
        <v>8351</v>
      </c>
      <c r="Y101" s="60">
        <f t="shared" si="96"/>
        <v>2000</v>
      </c>
      <c r="Z101" s="60">
        <f t="shared" si="96"/>
        <v>0</v>
      </c>
      <c r="AA101" s="60">
        <f t="shared" si="96"/>
        <v>0</v>
      </c>
      <c r="AB101" s="60">
        <f t="shared" si="96"/>
        <v>2000</v>
      </c>
      <c r="AC101" s="60">
        <f t="shared" si="96"/>
        <v>0</v>
      </c>
      <c r="AD101" s="60">
        <f t="shared" si="96"/>
        <v>0</v>
      </c>
      <c r="AE101" s="60">
        <f t="shared" si="96"/>
        <v>0</v>
      </c>
      <c r="AF101" s="56"/>
      <c r="AG101" s="50">
        <f>P101-U101-Y101</f>
        <v>611.75</v>
      </c>
      <c r="AH101" s="113">
        <f t="shared" si="83"/>
        <v>2387</v>
      </c>
    </row>
    <row r="102" spans="1:34" ht="75">
      <c r="A102" s="52">
        <v>1</v>
      </c>
      <c r="B102" s="54" t="s">
        <v>240</v>
      </c>
      <c r="C102" s="54" t="s">
        <v>338</v>
      </c>
      <c r="D102" s="52" t="s">
        <v>29</v>
      </c>
      <c r="E102" s="52" t="s">
        <v>181</v>
      </c>
      <c r="F102" s="52" t="s">
        <v>3</v>
      </c>
      <c r="G102" s="53">
        <v>7537986</v>
      </c>
      <c r="H102" s="52">
        <v>463</v>
      </c>
      <c r="I102" s="52" t="s">
        <v>63</v>
      </c>
      <c r="J102" s="52" t="s">
        <v>242</v>
      </c>
      <c r="K102" s="52" t="s">
        <v>241</v>
      </c>
      <c r="L102" s="60">
        <f t="shared" ref="L102" si="97">M102+O102+N102</f>
        <v>5645</v>
      </c>
      <c r="M102" s="61"/>
      <c r="N102" s="61"/>
      <c r="O102" s="61">
        <v>5645</v>
      </c>
      <c r="P102" s="61">
        <v>5362.75</v>
      </c>
      <c r="Q102" s="60">
        <f>SUM(R102:T102)</f>
        <v>3027</v>
      </c>
      <c r="R102" s="61"/>
      <c r="S102" s="61"/>
      <c r="T102" s="61">
        <f>2651+326+50</f>
        <v>3027</v>
      </c>
      <c r="U102" s="60">
        <f>SUM(V102:X102)</f>
        <v>4001</v>
      </c>
      <c r="V102" s="61"/>
      <c r="W102" s="61"/>
      <c r="X102" s="61">
        <f>2651+1300+50</f>
        <v>4001</v>
      </c>
      <c r="Y102" s="60">
        <f>SUM(Z102:AD102)</f>
        <v>1000</v>
      </c>
      <c r="Z102" s="57"/>
      <c r="AA102" s="57"/>
      <c r="AB102" s="57">
        <v>1000</v>
      </c>
      <c r="AC102" s="57"/>
      <c r="AD102" s="57"/>
      <c r="AE102" s="57"/>
      <c r="AF102" s="57"/>
      <c r="AH102" s="113">
        <f t="shared" si="83"/>
        <v>2217</v>
      </c>
    </row>
    <row r="103" spans="1:34" ht="45">
      <c r="A103" s="52">
        <v>1</v>
      </c>
      <c r="B103" s="54" t="s">
        <v>152</v>
      </c>
      <c r="C103" s="54" t="s">
        <v>335</v>
      </c>
      <c r="D103" s="52" t="s">
        <v>29</v>
      </c>
      <c r="E103" s="52" t="s">
        <v>181</v>
      </c>
      <c r="F103" s="52" t="s">
        <v>3</v>
      </c>
      <c r="G103" s="53">
        <v>7576991</v>
      </c>
      <c r="H103" s="52">
        <v>341</v>
      </c>
      <c r="I103" s="52" t="s">
        <v>63</v>
      </c>
      <c r="J103" s="52" t="s">
        <v>153</v>
      </c>
      <c r="K103" s="52" t="s">
        <v>154</v>
      </c>
      <c r="L103" s="60">
        <f>SUM(M103:O103)</f>
        <v>5923</v>
      </c>
      <c r="M103" s="61"/>
      <c r="N103" s="61"/>
      <c r="O103" s="61">
        <v>5923</v>
      </c>
      <c r="P103" s="61">
        <v>5600</v>
      </c>
      <c r="Q103" s="60">
        <f>SUM(R103:T103)</f>
        <v>4350</v>
      </c>
      <c r="R103" s="61"/>
      <c r="S103" s="61"/>
      <c r="T103" s="61">
        <f>50+2000+2300</f>
        <v>4350</v>
      </c>
      <c r="U103" s="60">
        <f>SUM(V103:X103)</f>
        <v>4350</v>
      </c>
      <c r="V103" s="61"/>
      <c r="W103" s="61"/>
      <c r="X103" s="61">
        <f>50+2000+2300</f>
        <v>4350</v>
      </c>
      <c r="Y103" s="60">
        <f>SUM(Z103:AD103)</f>
        <v>1000</v>
      </c>
      <c r="Z103" s="57"/>
      <c r="AA103" s="57"/>
      <c r="AB103" s="57">
        <v>1000</v>
      </c>
      <c r="AC103" s="57"/>
      <c r="AD103" s="57"/>
      <c r="AE103" s="57"/>
      <c r="AF103" s="57"/>
      <c r="AG103" s="44">
        <f>P103-U103-Y103</f>
        <v>250</v>
      </c>
      <c r="AH103" s="113">
        <f t="shared" si="83"/>
        <v>644</v>
      </c>
    </row>
    <row r="104" spans="1:34" s="48" customFormat="1" ht="14.25">
      <c r="A104" s="58" t="s">
        <v>67</v>
      </c>
      <c r="B104" s="55" t="s">
        <v>101</v>
      </c>
      <c r="C104" s="55"/>
      <c r="D104" s="58"/>
      <c r="E104" s="58"/>
      <c r="F104" s="58"/>
      <c r="G104" s="59"/>
      <c r="H104" s="58"/>
      <c r="I104" s="58"/>
      <c r="J104" s="58"/>
      <c r="K104" s="58"/>
      <c r="L104" s="60">
        <f t="shared" ref="L104:AE104" si="98">SUM(L105:L105)</f>
        <v>1170</v>
      </c>
      <c r="M104" s="60">
        <f t="shared" si="98"/>
        <v>0</v>
      </c>
      <c r="N104" s="60">
        <f t="shared" si="98"/>
        <v>0</v>
      </c>
      <c r="O104" s="60">
        <f t="shared" si="98"/>
        <v>1170</v>
      </c>
      <c r="P104" s="60">
        <f t="shared" si="98"/>
        <v>1170</v>
      </c>
      <c r="Q104" s="60">
        <f t="shared" si="98"/>
        <v>0</v>
      </c>
      <c r="R104" s="60">
        <f t="shared" si="98"/>
        <v>0</v>
      </c>
      <c r="S104" s="60">
        <f t="shared" si="98"/>
        <v>0</v>
      </c>
      <c r="T104" s="60">
        <f t="shared" si="98"/>
        <v>0</v>
      </c>
      <c r="U104" s="60">
        <f t="shared" si="98"/>
        <v>0</v>
      </c>
      <c r="V104" s="60">
        <f t="shared" si="98"/>
        <v>0</v>
      </c>
      <c r="W104" s="60">
        <f t="shared" si="98"/>
        <v>0</v>
      </c>
      <c r="X104" s="60">
        <f t="shared" si="98"/>
        <v>0</v>
      </c>
      <c r="Y104" s="60">
        <f t="shared" si="98"/>
        <v>1000</v>
      </c>
      <c r="Z104" s="60">
        <f t="shared" si="98"/>
        <v>0</v>
      </c>
      <c r="AA104" s="60">
        <f t="shared" si="98"/>
        <v>0</v>
      </c>
      <c r="AB104" s="60">
        <f t="shared" si="98"/>
        <v>1000</v>
      </c>
      <c r="AC104" s="60">
        <f t="shared" si="98"/>
        <v>0</v>
      </c>
      <c r="AD104" s="60">
        <f t="shared" si="98"/>
        <v>0</v>
      </c>
      <c r="AE104" s="60">
        <f t="shared" si="98"/>
        <v>0</v>
      </c>
      <c r="AF104" s="56"/>
      <c r="AG104" s="50">
        <f>P104-U104-Y104</f>
        <v>170</v>
      </c>
      <c r="AH104" s="113">
        <f t="shared" si="83"/>
        <v>573</v>
      </c>
    </row>
    <row r="105" spans="1:34" ht="30">
      <c r="A105" s="52">
        <v>1</v>
      </c>
      <c r="B105" s="54" t="s">
        <v>222</v>
      </c>
      <c r="C105" s="54" t="s">
        <v>348</v>
      </c>
      <c r="D105" s="52" t="s">
        <v>29</v>
      </c>
      <c r="E105" s="52" t="s">
        <v>181</v>
      </c>
      <c r="F105" s="52" t="s">
        <v>3</v>
      </c>
      <c r="G105" s="53"/>
      <c r="H105" s="52">
        <v>463</v>
      </c>
      <c r="I105" s="52" t="s">
        <v>224</v>
      </c>
      <c r="J105" s="52" t="s">
        <v>225</v>
      </c>
      <c r="K105" s="52" t="s">
        <v>223</v>
      </c>
      <c r="L105" s="60">
        <f>SUM(M105:O105)</f>
        <v>1170</v>
      </c>
      <c r="M105" s="61"/>
      <c r="N105" s="61"/>
      <c r="O105" s="61">
        <v>1170</v>
      </c>
      <c r="P105" s="61">
        <v>1170</v>
      </c>
      <c r="Q105" s="60">
        <f>SUM(R105:T105)</f>
        <v>0</v>
      </c>
      <c r="R105" s="61"/>
      <c r="S105" s="61"/>
      <c r="T105" s="61"/>
      <c r="U105" s="60">
        <f>SUM(V105:X105)</f>
        <v>0</v>
      </c>
      <c r="V105" s="61"/>
      <c r="W105" s="61"/>
      <c r="X105" s="61"/>
      <c r="Y105" s="60">
        <f>SUM(Z105:AD105)</f>
        <v>1000</v>
      </c>
      <c r="Z105" s="57"/>
      <c r="AA105" s="57"/>
      <c r="AB105" s="57">
        <v>1000</v>
      </c>
      <c r="AC105" s="57"/>
      <c r="AD105" s="57"/>
      <c r="AE105" s="57"/>
      <c r="AF105" s="57"/>
      <c r="AH105" s="113">
        <f t="shared" si="83"/>
        <v>170</v>
      </c>
    </row>
    <row r="106" spans="1:34" s="68" customFormat="1" ht="28.5">
      <c r="A106" s="62" t="s">
        <v>184</v>
      </c>
      <c r="B106" s="63" t="s">
        <v>155</v>
      </c>
      <c r="C106" s="63"/>
      <c r="D106" s="62"/>
      <c r="E106" s="62"/>
      <c r="F106" s="62"/>
      <c r="G106" s="64"/>
      <c r="H106" s="62"/>
      <c r="I106" s="62"/>
      <c r="J106" s="62"/>
      <c r="K106" s="62"/>
      <c r="L106" s="65">
        <f>L107+L111+L117</f>
        <v>185252</v>
      </c>
      <c r="M106" s="65">
        <f t="shared" ref="M106:AE106" si="99">M107+M111+M117</f>
        <v>0</v>
      </c>
      <c r="N106" s="65">
        <f t="shared" si="99"/>
        <v>39068</v>
      </c>
      <c r="O106" s="65">
        <f t="shared" si="99"/>
        <v>146184</v>
      </c>
      <c r="P106" s="65">
        <f t="shared" si="99"/>
        <v>144272</v>
      </c>
      <c r="Q106" s="65">
        <f t="shared" si="99"/>
        <v>84046</v>
      </c>
      <c r="R106" s="65">
        <f t="shared" si="99"/>
        <v>0</v>
      </c>
      <c r="S106" s="65">
        <f t="shared" si="99"/>
        <v>30539</v>
      </c>
      <c r="T106" s="65">
        <f t="shared" si="99"/>
        <v>82218</v>
      </c>
      <c r="U106" s="65">
        <f t="shared" si="99"/>
        <v>110929</v>
      </c>
      <c r="V106" s="65">
        <f t="shared" si="99"/>
        <v>0</v>
      </c>
      <c r="W106" s="65">
        <f t="shared" si="99"/>
        <v>28711</v>
      </c>
      <c r="X106" s="65">
        <f t="shared" si="99"/>
        <v>82218</v>
      </c>
      <c r="Y106" s="65">
        <f t="shared" si="99"/>
        <v>57328</v>
      </c>
      <c r="Z106" s="65">
        <f t="shared" si="99"/>
        <v>0</v>
      </c>
      <c r="AA106" s="65">
        <f t="shared" si="99"/>
        <v>0</v>
      </c>
      <c r="AB106" s="65">
        <f t="shared" si="99"/>
        <v>57328</v>
      </c>
      <c r="AC106" s="65">
        <f t="shared" si="99"/>
        <v>0</v>
      </c>
      <c r="AD106" s="65">
        <f t="shared" si="99"/>
        <v>0</v>
      </c>
      <c r="AE106" s="65">
        <f t="shared" si="99"/>
        <v>0</v>
      </c>
      <c r="AF106" s="66"/>
      <c r="AG106" s="67">
        <f>P106-U106-Y106</f>
        <v>-23985</v>
      </c>
      <c r="AH106" s="113" t="e">
        <f>#REF!-#REF!-Y106</f>
        <v>#REF!</v>
      </c>
    </row>
    <row r="107" spans="1:34" s="48" customFormat="1" ht="42.75">
      <c r="A107" s="58" t="s">
        <v>73</v>
      </c>
      <c r="B107" s="55" t="s">
        <v>190</v>
      </c>
      <c r="C107" s="55"/>
      <c r="D107" s="58"/>
      <c r="E107" s="58"/>
      <c r="F107" s="58"/>
      <c r="G107" s="59"/>
      <c r="H107" s="58"/>
      <c r="I107" s="58"/>
      <c r="J107" s="58"/>
      <c r="K107" s="58"/>
      <c r="L107" s="60">
        <f>SUM(L108:L110)</f>
        <v>57555</v>
      </c>
      <c r="M107" s="60">
        <f t="shared" ref="M107:AE107" si="100">SUM(M108:M110)</f>
        <v>0</v>
      </c>
      <c r="N107" s="60">
        <f t="shared" si="100"/>
        <v>39068</v>
      </c>
      <c r="O107" s="60">
        <f t="shared" si="100"/>
        <v>18487</v>
      </c>
      <c r="P107" s="60">
        <f t="shared" si="100"/>
        <v>17503</v>
      </c>
      <c r="Q107" s="60">
        <f t="shared" si="100"/>
        <v>15030</v>
      </c>
      <c r="R107" s="60">
        <f t="shared" si="100"/>
        <v>0</v>
      </c>
      <c r="S107" s="60">
        <f t="shared" si="100"/>
        <v>30539</v>
      </c>
      <c r="T107" s="60">
        <f t="shared" si="100"/>
        <v>13202</v>
      </c>
      <c r="U107" s="60">
        <f t="shared" si="100"/>
        <v>41913</v>
      </c>
      <c r="V107" s="60">
        <f t="shared" si="100"/>
        <v>0</v>
      </c>
      <c r="W107" s="60">
        <f t="shared" si="100"/>
        <v>28711</v>
      </c>
      <c r="X107" s="60">
        <f t="shared" si="100"/>
        <v>13202</v>
      </c>
      <c r="Y107" s="60">
        <f t="shared" si="100"/>
        <v>3828</v>
      </c>
      <c r="Z107" s="60">
        <f t="shared" si="100"/>
        <v>0</v>
      </c>
      <c r="AA107" s="60">
        <f t="shared" si="100"/>
        <v>0</v>
      </c>
      <c r="AB107" s="60">
        <f t="shared" si="100"/>
        <v>3828</v>
      </c>
      <c r="AC107" s="60">
        <f t="shared" si="100"/>
        <v>0</v>
      </c>
      <c r="AD107" s="60">
        <f t="shared" si="100"/>
        <v>0</v>
      </c>
      <c r="AE107" s="60">
        <f t="shared" si="100"/>
        <v>0</v>
      </c>
      <c r="AF107" s="56"/>
      <c r="AG107" s="50">
        <f>P107-U107-Y107</f>
        <v>-28238</v>
      </c>
      <c r="AH107" s="113">
        <f t="shared" si="83"/>
        <v>70495</v>
      </c>
    </row>
    <row r="108" spans="1:34" ht="60">
      <c r="A108" s="52">
        <v>1</v>
      </c>
      <c r="B108" s="54" t="s">
        <v>252</v>
      </c>
      <c r="C108" s="54" t="s">
        <v>249</v>
      </c>
      <c r="D108" s="52" t="s">
        <v>14</v>
      </c>
      <c r="E108" s="52" t="s">
        <v>181</v>
      </c>
      <c r="F108" s="52" t="s">
        <v>3</v>
      </c>
      <c r="G108" s="53">
        <v>7004692</v>
      </c>
      <c r="H108" s="52" t="s">
        <v>193</v>
      </c>
      <c r="I108" s="52" t="s">
        <v>105</v>
      </c>
      <c r="J108" s="52" t="s">
        <v>153</v>
      </c>
      <c r="K108" s="52" t="s">
        <v>253</v>
      </c>
      <c r="L108" s="60">
        <f t="shared" ref="L108:L110" si="101">SUM(M108:O108)</f>
        <v>2598</v>
      </c>
      <c r="M108" s="61"/>
      <c r="N108" s="61"/>
      <c r="O108" s="61">
        <v>2598</v>
      </c>
      <c r="P108" s="61">
        <v>2500</v>
      </c>
      <c r="Q108" s="60">
        <f t="shared" ref="Q108:Q109" si="102">SUM(R108:T108)</f>
        <v>2050</v>
      </c>
      <c r="R108" s="61"/>
      <c r="S108" s="61"/>
      <c r="T108" s="61">
        <v>2050</v>
      </c>
      <c r="U108" s="60">
        <f t="shared" ref="U108:U110" si="103">SUM(V108:X108)</f>
        <v>2050</v>
      </c>
      <c r="V108" s="61"/>
      <c r="W108" s="61"/>
      <c r="X108" s="61">
        <v>2050</v>
      </c>
      <c r="Y108" s="60">
        <f>SUM(Z108:AD108)</f>
        <v>500</v>
      </c>
      <c r="Z108" s="57"/>
      <c r="AA108" s="57"/>
      <c r="AB108" s="57">
        <v>500</v>
      </c>
      <c r="AC108" s="57"/>
      <c r="AD108" s="57"/>
      <c r="AE108" s="57"/>
      <c r="AF108" s="57"/>
      <c r="AH108" s="113">
        <f t="shared" si="83"/>
        <v>15142</v>
      </c>
    </row>
    <row r="109" spans="1:34" ht="45">
      <c r="A109" s="52">
        <v>2</v>
      </c>
      <c r="B109" s="54" t="s">
        <v>263</v>
      </c>
      <c r="C109" s="54" t="s">
        <v>264</v>
      </c>
      <c r="D109" s="52" t="s">
        <v>14</v>
      </c>
      <c r="E109" s="52" t="s">
        <v>181</v>
      </c>
      <c r="F109" s="52" t="s">
        <v>3</v>
      </c>
      <c r="G109" s="53">
        <v>7004692</v>
      </c>
      <c r="H109" s="52" t="s">
        <v>193</v>
      </c>
      <c r="I109" s="52"/>
      <c r="J109" s="52" t="s">
        <v>153</v>
      </c>
      <c r="K109" s="52" t="s">
        <v>265</v>
      </c>
      <c r="L109" s="60">
        <f t="shared" ref="L109" si="104">M109+O109+N109</f>
        <v>14061</v>
      </c>
      <c r="M109" s="61"/>
      <c r="N109" s="61"/>
      <c r="O109" s="61">
        <v>14061</v>
      </c>
      <c r="P109" s="61">
        <v>13175</v>
      </c>
      <c r="Q109" s="60">
        <f t="shared" si="102"/>
        <v>11152</v>
      </c>
      <c r="R109" s="61"/>
      <c r="S109" s="61"/>
      <c r="T109" s="61">
        <f>3652+7500</f>
        <v>11152</v>
      </c>
      <c r="U109" s="60">
        <f t="shared" si="103"/>
        <v>11152</v>
      </c>
      <c r="V109" s="61"/>
      <c r="W109" s="61"/>
      <c r="X109" s="61">
        <f>3652+7500</f>
        <v>11152</v>
      </c>
      <c r="Y109" s="60">
        <f>SUM(Z109:AD109)</f>
        <v>1500</v>
      </c>
      <c r="Z109" s="57"/>
      <c r="AA109" s="57"/>
      <c r="AB109" s="57">
        <v>1500</v>
      </c>
      <c r="AC109" s="57"/>
      <c r="AD109" s="57"/>
      <c r="AE109" s="57"/>
      <c r="AF109" s="57"/>
      <c r="AH109" s="113">
        <f t="shared" si="83"/>
        <v>-952</v>
      </c>
    </row>
    <row r="110" spans="1:34" ht="45">
      <c r="A110" s="52">
        <v>3</v>
      </c>
      <c r="B110" s="54" t="s">
        <v>248</v>
      </c>
      <c r="C110" s="54" t="s">
        <v>249</v>
      </c>
      <c r="D110" s="52" t="s">
        <v>29</v>
      </c>
      <c r="E110" s="52" t="s">
        <v>181</v>
      </c>
      <c r="F110" s="52" t="s">
        <v>3</v>
      </c>
      <c r="G110" s="53">
        <v>7004692</v>
      </c>
      <c r="H110" s="52" t="s">
        <v>193</v>
      </c>
      <c r="I110" s="52"/>
      <c r="J110" s="52" t="s">
        <v>250</v>
      </c>
      <c r="K110" s="52" t="s">
        <v>251</v>
      </c>
      <c r="L110" s="60">
        <f t="shared" si="101"/>
        <v>40896</v>
      </c>
      <c r="M110" s="61"/>
      <c r="N110" s="61">
        <f>28711+10357</f>
        <v>39068</v>
      </c>
      <c r="O110" s="61">
        <v>1828</v>
      </c>
      <c r="P110" s="61">
        <v>1828</v>
      </c>
      <c r="Q110" s="60">
        <v>1828</v>
      </c>
      <c r="R110" s="61"/>
      <c r="S110" s="61">
        <f>28711+1828</f>
        <v>30539</v>
      </c>
      <c r="T110" s="61"/>
      <c r="U110" s="60">
        <f t="shared" si="103"/>
        <v>28711</v>
      </c>
      <c r="V110" s="61"/>
      <c r="W110" s="61">
        <v>28711</v>
      </c>
      <c r="X110" s="61"/>
      <c r="Y110" s="60">
        <f>SUM(Z110:AD110)</f>
        <v>1828</v>
      </c>
      <c r="Z110" s="57"/>
      <c r="AA110" s="57"/>
      <c r="AB110" s="57">
        <v>1828</v>
      </c>
      <c r="AC110" s="57"/>
      <c r="AD110" s="57"/>
      <c r="AE110" s="57"/>
      <c r="AF110" s="57"/>
      <c r="AH110" s="113">
        <f t="shared" si="83"/>
        <v>1081</v>
      </c>
    </row>
    <row r="111" spans="1:34" s="48" customFormat="1" ht="14.25">
      <c r="A111" s="58" t="s">
        <v>60</v>
      </c>
      <c r="B111" s="55" t="s">
        <v>61</v>
      </c>
      <c r="C111" s="55"/>
      <c r="D111" s="58"/>
      <c r="E111" s="58"/>
      <c r="F111" s="58"/>
      <c r="G111" s="59"/>
      <c r="H111" s="58"/>
      <c r="I111" s="58"/>
      <c r="J111" s="58"/>
      <c r="K111" s="58"/>
      <c r="L111" s="60">
        <f t="shared" ref="L111:AE111" si="105">SUM(L112:L116)</f>
        <v>108903</v>
      </c>
      <c r="M111" s="60">
        <f t="shared" si="105"/>
        <v>0</v>
      </c>
      <c r="N111" s="60">
        <f t="shared" si="105"/>
        <v>0</v>
      </c>
      <c r="O111" s="60">
        <f t="shared" si="105"/>
        <v>108903</v>
      </c>
      <c r="P111" s="60">
        <f t="shared" si="105"/>
        <v>108188</v>
      </c>
      <c r="Q111" s="60">
        <f t="shared" si="105"/>
        <v>68916</v>
      </c>
      <c r="R111" s="60">
        <f t="shared" si="105"/>
        <v>0</v>
      </c>
      <c r="S111" s="60">
        <f t="shared" si="105"/>
        <v>0</v>
      </c>
      <c r="T111" s="60">
        <f t="shared" si="105"/>
        <v>68916</v>
      </c>
      <c r="U111" s="60">
        <f t="shared" si="105"/>
        <v>68916</v>
      </c>
      <c r="V111" s="60">
        <f t="shared" si="105"/>
        <v>0</v>
      </c>
      <c r="W111" s="60">
        <f t="shared" si="105"/>
        <v>0</v>
      </c>
      <c r="X111" s="60">
        <f t="shared" si="105"/>
        <v>68916</v>
      </c>
      <c r="Y111" s="60">
        <f t="shared" si="105"/>
        <v>36000</v>
      </c>
      <c r="Z111" s="56">
        <f t="shared" si="105"/>
        <v>0</v>
      </c>
      <c r="AA111" s="56">
        <f t="shared" si="105"/>
        <v>0</v>
      </c>
      <c r="AB111" s="56">
        <f t="shared" si="105"/>
        <v>36000</v>
      </c>
      <c r="AC111" s="56">
        <f t="shared" si="105"/>
        <v>0</v>
      </c>
      <c r="AD111" s="56">
        <f t="shared" si="105"/>
        <v>0</v>
      </c>
      <c r="AE111" s="56">
        <f t="shared" si="105"/>
        <v>0</v>
      </c>
      <c r="AF111" s="56"/>
      <c r="AG111" s="50">
        <f>P111-U111-Y111</f>
        <v>3272</v>
      </c>
      <c r="AH111" s="113">
        <f t="shared" si="83"/>
        <v>-23815</v>
      </c>
    </row>
    <row r="112" spans="1:34" ht="45">
      <c r="A112" s="52">
        <v>1</v>
      </c>
      <c r="B112" s="54" t="s">
        <v>156</v>
      </c>
      <c r="C112" s="54" t="s">
        <v>249</v>
      </c>
      <c r="D112" s="52" t="s">
        <v>38</v>
      </c>
      <c r="E112" s="52" t="s">
        <v>181</v>
      </c>
      <c r="F112" s="52" t="s">
        <v>3</v>
      </c>
      <c r="G112" s="53">
        <v>7004692</v>
      </c>
      <c r="H112" s="52" t="s">
        <v>193</v>
      </c>
      <c r="I112" s="52" t="s">
        <v>96</v>
      </c>
      <c r="J112" s="52" t="s">
        <v>18</v>
      </c>
      <c r="K112" s="52" t="s">
        <v>157</v>
      </c>
      <c r="L112" s="60">
        <f t="shared" ref="L112:L116" si="106">SUM(M112:O112)</f>
        <v>12365</v>
      </c>
      <c r="M112" s="61"/>
      <c r="N112" s="61"/>
      <c r="O112" s="61">
        <v>12365</v>
      </c>
      <c r="P112" s="61">
        <v>12000</v>
      </c>
      <c r="Q112" s="60">
        <f t="shared" ref="Q112:Q116" si="107">SUM(R112:T112)</f>
        <v>10550</v>
      </c>
      <c r="R112" s="61"/>
      <c r="S112" s="61"/>
      <c r="T112" s="61">
        <f>50+10500</f>
        <v>10550</v>
      </c>
      <c r="U112" s="60">
        <f t="shared" ref="U112:U116" si="108">SUM(V112:X112)</f>
        <v>10550</v>
      </c>
      <c r="V112" s="61"/>
      <c r="W112" s="61"/>
      <c r="X112" s="61">
        <f>50+10500</f>
        <v>10550</v>
      </c>
      <c r="Y112" s="60">
        <f>SUM(Z112:AD112)</f>
        <v>1000</v>
      </c>
      <c r="Z112" s="57"/>
      <c r="AA112" s="57"/>
      <c r="AB112" s="57">
        <v>1000</v>
      </c>
      <c r="AC112" s="57"/>
      <c r="AD112" s="57"/>
      <c r="AE112" s="57"/>
      <c r="AF112" s="57"/>
      <c r="AG112" s="44">
        <f>P112-U112-Y112</f>
        <v>450</v>
      </c>
      <c r="AH112" s="113">
        <f t="shared" si="83"/>
        <v>38987</v>
      </c>
    </row>
    <row r="113" spans="1:34" ht="45">
      <c r="A113" s="52">
        <v>2</v>
      </c>
      <c r="B113" s="54" t="s">
        <v>158</v>
      </c>
      <c r="C113" s="54" t="s">
        <v>264</v>
      </c>
      <c r="D113" s="52" t="s">
        <v>79</v>
      </c>
      <c r="E113" s="52" t="s">
        <v>181</v>
      </c>
      <c r="F113" s="52" t="s">
        <v>3</v>
      </c>
      <c r="G113" s="53">
        <v>7004686</v>
      </c>
      <c r="H113" s="52" t="s">
        <v>193</v>
      </c>
      <c r="I113" s="52" t="s">
        <v>105</v>
      </c>
      <c r="J113" s="52" t="s">
        <v>18</v>
      </c>
      <c r="K113" s="52" t="s">
        <v>159</v>
      </c>
      <c r="L113" s="60">
        <f t="shared" si="106"/>
        <v>43249</v>
      </c>
      <c r="M113" s="61"/>
      <c r="N113" s="61"/>
      <c r="O113" s="61">
        <v>43249</v>
      </c>
      <c r="P113" s="61">
        <v>43249</v>
      </c>
      <c r="Q113" s="60">
        <f t="shared" si="107"/>
        <v>30000</v>
      </c>
      <c r="R113" s="61"/>
      <c r="S113" s="61"/>
      <c r="T113" s="61">
        <f>30000</f>
        <v>30000</v>
      </c>
      <c r="U113" s="60">
        <f t="shared" si="108"/>
        <v>30000</v>
      </c>
      <c r="V113" s="61"/>
      <c r="W113" s="61"/>
      <c r="X113" s="61">
        <f>30000</f>
        <v>30000</v>
      </c>
      <c r="Y113" s="60">
        <f>SUM(Z113:AD113)</f>
        <v>12000</v>
      </c>
      <c r="Z113" s="57"/>
      <c r="AA113" s="57"/>
      <c r="AB113" s="57">
        <v>12000</v>
      </c>
      <c r="AC113" s="57">
        <v>0</v>
      </c>
      <c r="AD113" s="57"/>
      <c r="AE113" s="57"/>
      <c r="AF113" s="57"/>
      <c r="AG113" s="44">
        <f>P113-U113-Y113</f>
        <v>1249</v>
      </c>
      <c r="AH113" s="113">
        <f t="shared" si="83"/>
        <v>-10185</v>
      </c>
    </row>
    <row r="114" spans="1:34" ht="60">
      <c r="A114" s="52"/>
      <c r="B114" s="54" t="s">
        <v>254</v>
      </c>
      <c r="C114" s="54" t="s">
        <v>249</v>
      </c>
      <c r="D114" s="52" t="s">
        <v>64</v>
      </c>
      <c r="E114" s="52" t="s">
        <v>181</v>
      </c>
      <c r="F114" s="52" t="s">
        <v>3</v>
      </c>
      <c r="G114" s="53">
        <v>7004686</v>
      </c>
      <c r="H114" s="52" t="s">
        <v>193</v>
      </c>
      <c r="I114" s="52" t="s">
        <v>105</v>
      </c>
      <c r="J114" s="52" t="s">
        <v>18</v>
      </c>
      <c r="K114" s="52" t="s">
        <v>159</v>
      </c>
      <c r="L114" s="60">
        <f t="shared" si="106"/>
        <v>22723</v>
      </c>
      <c r="M114" s="61"/>
      <c r="N114" s="61"/>
      <c r="O114" s="61">
        <v>22723</v>
      </c>
      <c r="P114" s="61">
        <v>22669</v>
      </c>
      <c r="Q114" s="60">
        <f t="shared" si="107"/>
        <v>20266</v>
      </c>
      <c r="R114" s="61"/>
      <c r="S114" s="61"/>
      <c r="T114" s="61">
        <f>4304+15962</f>
        <v>20266</v>
      </c>
      <c r="U114" s="60">
        <f t="shared" si="108"/>
        <v>20266</v>
      </c>
      <c r="V114" s="61"/>
      <c r="W114" s="61"/>
      <c r="X114" s="61">
        <f>4304+15962</f>
        <v>20266</v>
      </c>
      <c r="Y114" s="60">
        <f>SUM(Z114:AD114)</f>
        <v>2000</v>
      </c>
      <c r="Z114" s="57"/>
      <c r="AA114" s="57"/>
      <c r="AB114" s="57">
        <v>2000</v>
      </c>
      <c r="AC114" s="57"/>
      <c r="AD114" s="57"/>
      <c r="AE114" s="57"/>
      <c r="AF114" s="57"/>
      <c r="AG114" s="44">
        <f>P114-U114-Y114</f>
        <v>403</v>
      </c>
      <c r="AH114" s="113">
        <f t="shared" si="83"/>
        <v>11249</v>
      </c>
    </row>
    <row r="115" spans="1:34" ht="75">
      <c r="A115" s="52">
        <v>3</v>
      </c>
      <c r="B115" s="54" t="s">
        <v>160</v>
      </c>
      <c r="C115" s="54" t="s">
        <v>249</v>
      </c>
      <c r="D115" s="52" t="s">
        <v>79</v>
      </c>
      <c r="E115" s="52" t="s">
        <v>181</v>
      </c>
      <c r="F115" s="52" t="s">
        <v>3</v>
      </c>
      <c r="G115" s="53">
        <v>7004692</v>
      </c>
      <c r="H115" s="52" t="s">
        <v>193</v>
      </c>
      <c r="I115" s="52" t="s">
        <v>105</v>
      </c>
      <c r="J115" s="52" t="s">
        <v>18</v>
      </c>
      <c r="K115" s="52" t="s">
        <v>161</v>
      </c>
      <c r="L115" s="60">
        <f t="shared" si="106"/>
        <v>15320</v>
      </c>
      <c r="M115" s="61"/>
      <c r="N115" s="61"/>
      <c r="O115" s="61">
        <v>15320</v>
      </c>
      <c r="P115" s="61">
        <v>15270</v>
      </c>
      <c r="Q115" s="60">
        <f t="shared" si="107"/>
        <v>8000</v>
      </c>
      <c r="R115" s="61"/>
      <c r="S115" s="61"/>
      <c r="T115" s="61">
        <f>8000</f>
        <v>8000</v>
      </c>
      <c r="U115" s="60">
        <f t="shared" si="108"/>
        <v>8000</v>
      </c>
      <c r="V115" s="61"/>
      <c r="W115" s="61"/>
      <c r="X115" s="61">
        <f>8000</f>
        <v>8000</v>
      </c>
      <c r="Y115" s="60">
        <f>SUM(Z115:AD115)</f>
        <v>7000</v>
      </c>
      <c r="Z115" s="57"/>
      <c r="AA115" s="57"/>
      <c r="AB115" s="57">
        <v>7000</v>
      </c>
      <c r="AC115" s="57"/>
      <c r="AD115" s="57"/>
      <c r="AE115" s="57"/>
      <c r="AF115" s="57"/>
      <c r="AG115" s="44">
        <f>P115-U115-Y115</f>
        <v>270</v>
      </c>
      <c r="AH115" s="113">
        <f t="shared" si="83"/>
        <v>-4543</v>
      </c>
    </row>
    <row r="116" spans="1:34" ht="45">
      <c r="A116" s="52">
        <v>4</v>
      </c>
      <c r="B116" s="54" t="s">
        <v>212</v>
      </c>
      <c r="C116" s="54" t="s">
        <v>264</v>
      </c>
      <c r="D116" s="52" t="s">
        <v>14</v>
      </c>
      <c r="E116" s="52" t="s">
        <v>181</v>
      </c>
      <c r="F116" s="52" t="s">
        <v>3</v>
      </c>
      <c r="G116" s="53">
        <v>7004686</v>
      </c>
      <c r="H116" s="52" t="s">
        <v>197</v>
      </c>
      <c r="I116" s="52" t="s">
        <v>210</v>
      </c>
      <c r="J116" s="52" t="s">
        <v>34</v>
      </c>
      <c r="K116" s="52" t="s">
        <v>213</v>
      </c>
      <c r="L116" s="60">
        <f t="shared" si="106"/>
        <v>15246</v>
      </c>
      <c r="M116" s="61"/>
      <c r="N116" s="61"/>
      <c r="O116" s="61">
        <v>15246</v>
      </c>
      <c r="P116" s="61">
        <v>15000</v>
      </c>
      <c r="Q116" s="60">
        <f t="shared" si="107"/>
        <v>100</v>
      </c>
      <c r="R116" s="61"/>
      <c r="S116" s="61"/>
      <c r="T116" s="61">
        <v>100</v>
      </c>
      <c r="U116" s="60">
        <f t="shared" si="108"/>
        <v>100</v>
      </c>
      <c r="V116" s="61"/>
      <c r="W116" s="61"/>
      <c r="X116" s="61">
        <v>100</v>
      </c>
      <c r="Y116" s="60">
        <f>SUM(Z116:AD116)</f>
        <v>14000</v>
      </c>
      <c r="Z116" s="57"/>
      <c r="AA116" s="57"/>
      <c r="AB116" s="57">
        <v>14000</v>
      </c>
      <c r="AC116" s="57"/>
      <c r="AD116" s="57"/>
      <c r="AE116" s="57"/>
      <c r="AF116" s="57"/>
      <c r="AH116" s="113">
        <f t="shared" si="83"/>
        <v>-6680</v>
      </c>
    </row>
    <row r="117" spans="1:34" s="48" customFormat="1" ht="14.25">
      <c r="A117" s="58" t="s">
        <v>67</v>
      </c>
      <c r="B117" s="55" t="s">
        <v>101</v>
      </c>
      <c r="C117" s="55"/>
      <c r="D117" s="58"/>
      <c r="E117" s="58"/>
      <c r="F117" s="58"/>
      <c r="G117" s="59"/>
      <c r="H117" s="58"/>
      <c r="I117" s="58"/>
      <c r="J117" s="58"/>
      <c r="K117" s="58"/>
      <c r="L117" s="60">
        <f t="shared" ref="L117:AE117" si="109">SUM(L118:L120)</f>
        <v>18794</v>
      </c>
      <c r="M117" s="60">
        <f t="shared" si="109"/>
        <v>0</v>
      </c>
      <c r="N117" s="60">
        <f t="shared" si="109"/>
        <v>0</v>
      </c>
      <c r="O117" s="60">
        <f t="shared" si="109"/>
        <v>18794</v>
      </c>
      <c r="P117" s="60">
        <f t="shared" si="109"/>
        <v>18581</v>
      </c>
      <c r="Q117" s="60">
        <f t="shared" si="109"/>
        <v>100</v>
      </c>
      <c r="R117" s="60">
        <f t="shared" si="109"/>
        <v>0</v>
      </c>
      <c r="S117" s="60">
        <f t="shared" si="109"/>
        <v>0</v>
      </c>
      <c r="T117" s="60">
        <f t="shared" si="109"/>
        <v>100</v>
      </c>
      <c r="U117" s="60">
        <f t="shared" si="109"/>
        <v>100</v>
      </c>
      <c r="V117" s="60">
        <f t="shared" si="109"/>
        <v>0</v>
      </c>
      <c r="W117" s="60">
        <f t="shared" si="109"/>
        <v>0</v>
      </c>
      <c r="X117" s="60">
        <f t="shared" si="109"/>
        <v>100</v>
      </c>
      <c r="Y117" s="60">
        <f t="shared" si="109"/>
        <v>17500</v>
      </c>
      <c r="Z117" s="60">
        <f t="shared" si="109"/>
        <v>0</v>
      </c>
      <c r="AA117" s="60">
        <f t="shared" si="109"/>
        <v>0</v>
      </c>
      <c r="AB117" s="60">
        <f t="shared" si="109"/>
        <v>17500</v>
      </c>
      <c r="AC117" s="60">
        <f t="shared" si="109"/>
        <v>0</v>
      </c>
      <c r="AD117" s="60">
        <f t="shared" si="109"/>
        <v>0</v>
      </c>
      <c r="AE117" s="60">
        <f t="shared" si="109"/>
        <v>0</v>
      </c>
      <c r="AF117" s="56"/>
      <c r="AG117" s="50">
        <f>P117-U117-Y117</f>
        <v>981</v>
      </c>
      <c r="AH117" s="113">
        <f t="shared" si="83"/>
        <v>-2354</v>
      </c>
    </row>
    <row r="118" spans="1:34" ht="45">
      <c r="A118" s="52">
        <v>1</v>
      </c>
      <c r="B118" s="54" t="s">
        <v>209</v>
      </c>
      <c r="C118" s="54" t="s">
        <v>249</v>
      </c>
      <c r="D118" s="52" t="s">
        <v>27</v>
      </c>
      <c r="E118" s="52" t="s">
        <v>181</v>
      </c>
      <c r="F118" s="52" t="s">
        <v>3</v>
      </c>
      <c r="G118" s="53">
        <v>7004692</v>
      </c>
      <c r="H118" s="52" t="s">
        <v>193</v>
      </c>
      <c r="I118" s="52" t="s">
        <v>210</v>
      </c>
      <c r="J118" s="52" t="s">
        <v>18</v>
      </c>
      <c r="K118" s="52" t="s">
        <v>255</v>
      </c>
      <c r="L118" s="60">
        <f t="shared" ref="L118:L120" si="110">SUM(M118:O118)</f>
        <v>12713</v>
      </c>
      <c r="M118" s="61"/>
      <c r="N118" s="61"/>
      <c r="O118" s="61">
        <v>12713</v>
      </c>
      <c r="P118" s="61">
        <v>12650</v>
      </c>
      <c r="Q118" s="60">
        <f t="shared" ref="Q118:Q120" si="111">SUM(R118:T118)</f>
        <v>50</v>
      </c>
      <c r="R118" s="61"/>
      <c r="S118" s="61"/>
      <c r="T118" s="61">
        <v>50</v>
      </c>
      <c r="U118" s="60">
        <f t="shared" ref="U118:U120" si="112">SUM(V118:X118)</f>
        <v>50</v>
      </c>
      <c r="V118" s="61"/>
      <c r="W118" s="61"/>
      <c r="X118" s="61">
        <v>50</v>
      </c>
      <c r="Y118" s="60">
        <f>SUM(Z118:AD118)</f>
        <v>12000</v>
      </c>
      <c r="Z118" s="57"/>
      <c r="AA118" s="57"/>
      <c r="AB118" s="57">
        <v>12000</v>
      </c>
      <c r="AC118" s="57"/>
      <c r="AD118" s="57"/>
      <c r="AE118" s="57"/>
      <c r="AF118" s="57"/>
      <c r="AH118" s="113">
        <f t="shared" si="83"/>
        <v>6694</v>
      </c>
    </row>
    <row r="119" spans="1:34" ht="75">
      <c r="A119" s="52">
        <v>2</v>
      </c>
      <c r="B119" s="54" t="s">
        <v>305</v>
      </c>
      <c r="C119" s="54" t="s">
        <v>264</v>
      </c>
      <c r="D119" s="52" t="s">
        <v>38</v>
      </c>
      <c r="E119" s="52" t="s">
        <v>181</v>
      </c>
      <c r="F119" s="52" t="s">
        <v>3</v>
      </c>
      <c r="G119" s="53">
        <v>7004686</v>
      </c>
      <c r="H119" s="52" t="s">
        <v>197</v>
      </c>
      <c r="I119" s="52" t="s">
        <v>210</v>
      </c>
      <c r="J119" s="52" t="s">
        <v>225</v>
      </c>
      <c r="K119" s="52" t="s">
        <v>306</v>
      </c>
      <c r="L119" s="60">
        <f t="shared" si="110"/>
        <v>4820</v>
      </c>
      <c r="M119" s="61"/>
      <c r="N119" s="61"/>
      <c r="O119" s="61">
        <v>4820</v>
      </c>
      <c r="P119" s="61">
        <v>4720</v>
      </c>
      <c r="Q119" s="60">
        <f t="shared" si="111"/>
        <v>0</v>
      </c>
      <c r="R119" s="61"/>
      <c r="S119" s="61"/>
      <c r="T119" s="61"/>
      <c r="U119" s="60">
        <f t="shared" si="112"/>
        <v>0</v>
      </c>
      <c r="V119" s="61"/>
      <c r="W119" s="61"/>
      <c r="X119" s="61"/>
      <c r="Y119" s="60">
        <f>SUM(Z119:AD119)</f>
        <v>4500</v>
      </c>
      <c r="Z119" s="57"/>
      <c r="AA119" s="57"/>
      <c r="AB119" s="57">
        <v>4500</v>
      </c>
      <c r="AC119" s="57"/>
      <c r="AD119" s="57"/>
      <c r="AE119" s="57"/>
      <c r="AF119" s="57"/>
      <c r="AH119" s="113">
        <f t="shared" si="83"/>
        <v>8163</v>
      </c>
    </row>
    <row r="120" spans="1:34" ht="45">
      <c r="A120" s="52">
        <v>3</v>
      </c>
      <c r="B120" s="54" t="s">
        <v>211</v>
      </c>
      <c r="C120" s="54" t="s">
        <v>249</v>
      </c>
      <c r="D120" s="52" t="s">
        <v>29</v>
      </c>
      <c r="E120" s="52" t="s">
        <v>181</v>
      </c>
      <c r="F120" s="52" t="s">
        <v>3</v>
      </c>
      <c r="G120" s="53">
        <v>7004692</v>
      </c>
      <c r="H120" s="52" t="s">
        <v>193</v>
      </c>
      <c r="I120" s="52"/>
      <c r="J120" s="52" t="s">
        <v>18</v>
      </c>
      <c r="K120" s="52" t="s">
        <v>226</v>
      </c>
      <c r="L120" s="60">
        <f t="shared" si="110"/>
        <v>1261</v>
      </c>
      <c r="M120" s="61"/>
      <c r="N120" s="61"/>
      <c r="O120" s="61">
        <v>1261</v>
      </c>
      <c r="P120" s="61">
        <v>1211</v>
      </c>
      <c r="Q120" s="60">
        <f t="shared" si="111"/>
        <v>50</v>
      </c>
      <c r="R120" s="61"/>
      <c r="S120" s="61"/>
      <c r="T120" s="61">
        <v>50</v>
      </c>
      <c r="U120" s="60">
        <f t="shared" si="112"/>
        <v>50</v>
      </c>
      <c r="V120" s="61"/>
      <c r="W120" s="61"/>
      <c r="X120" s="61">
        <v>50</v>
      </c>
      <c r="Y120" s="60">
        <f>SUM(Z120:AD120)</f>
        <v>1000</v>
      </c>
      <c r="Z120" s="57"/>
      <c r="AA120" s="57"/>
      <c r="AB120" s="57">
        <v>1000</v>
      </c>
      <c r="AC120" s="57"/>
      <c r="AD120" s="57"/>
      <c r="AE120" s="57"/>
      <c r="AF120" s="57"/>
      <c r="AH120" s="113">
        <f t="shared" si="83"/>
        <v>3820</v>
      </c>
    </row>
    <row r="121" spans="1:34" s="68" customFormat="1" ht="14.25">
      <c r="A121" s="62" t="s">
        <v>185</v>
      </c>
      <c r="B121" s="63" t="s">
        <v>188</v>
      </c>
      <c r="C121" s="63"/>
      <c r="D121" s="62"/>
      <c r="E121" s="62"/>
      <c r="F121" s="62"/>
      <c r="G121" s="64"/>
      <c r="H121" s="62"/>
      <c r="I121" s="62"/>
      <c r="J121" s="62"/>
      <c r="K121" s="62"/>
      <c r="L121" s="65">
        <f t="shared" ref="L121:AE121" si="113">L122+L124+L128</f>
        <v>8011004</v>
      </c>
      <c r="M121" s="65">
        <f t="shared" si="113"/>
        <v>5969379</v>
      </c>
      <c r="N121" s="65">
        <f t="shared" si="113"/>
        <v>0</v>
      </c>
      <c r="O121" s="65">
        <f t="shared" si="113"/>
        <v>2041625</v>
      </c>
      <c r="P121" s="65">
        <f t="shared" si="113"/>
        <v>1202181</v>
      </c>
      <c r="Q121" s="65">
        <f t="shared" si="113"/>
        <v>2402365</v>
      </c>
      <c r="R121" s="65">
        <f t="shared" si="113"/>
        <v>1379655</v>
      </c>
      <c r="S121" s="65">
        <f t="shared" si="113"/>
        <v>0</v>
      </c>
      <c r="T121" s="65">
        <f t="shared" si="113"/>
        <v>1022710</v>
      </c>
      <c r="U121" s="65">
        <f t="shared" si="113"/>
        <v>2546983</v>
      </c>
      <c r="V121" s="65">
        <f t="shared" si="113"/>
        <v>1529655</v>
      </c>
      <c r="W121" s="65">
        <f t="shared" si="113"/>
        <v>0</v>
      </c>
      <c r="X121" s="65">
        <f t="shared" si="113"/>
        <v>1017328</v>
      </c>
      <c r="Y121" s="65">
        <f t="shared" si="113"/>
        <v>560205</v>
      </c>
      <c r="Z121" s="65">
        <f t="shared" si="113"/>
        <v>0</v>
      </c>
      <c r="AA121" s="65">
        <f t="shared" si="113"/>
        <v>0</v>
      </c>
      <c r="AB121" s="65">
        <f t="shared" si="113"/>
        <v>398305</v>
      </c>
      <c r="AC121" s="65">
        <f t="shared" si="113"/>
        <v>161900</v>
      </c>
      <c r="AD121" s="65">
        <f t="shared" si="113"/>
        <v>0</v>
      </c>
      <c r="AE121" s="65">
        <f t="shared" si="113"/>
        <v>0</v>
      </c>
      <c r="AF121" s="66"/>
      <c r="AG121" s="67">
        <f>P121-U121-Y121</f>
        <v>-1905007</v>
      </c>
      <c r="AH121" s="113">
        <f t="shared" si="83"/>
        <v>-558994</v>
      </c>
    </row>
    <row r="122" spans="1:34" s="48" customFormat="1" ht="42.75">
      <c r="A122" s="58" t="s">
        <v>73</v>
      </c>
      <c r="B122" s="55" t="s">
        <v>190</v>
      </c>
      <c r="C122" s="55"/>
      <c r="D122" s="58"/>
      <c r="E122" s="58"/>
      <c r="F122" s="58"/>
      <c r="G122" s="59"/>
      <c r="H122" s="58"/>
      <c r="I122" s="58"/>
      <c r="J122" s="58"/>
      <c r="K122" s="58"/>
      <c r="L122" s="60">
        <f>L123</f>
        <v>40134</v>
      </c>
      <c r="M122" s="60">
        <f t="shared" ref="M122:AE122" si="114">M123</f>
        <v>0</v>
      </c>
      <c r="N122" s="60">
        <f t="shared" si="114"/>
        <v>0</v>
      </c>
      <c r="O122" s="60">
        <f t="shared" si="114"/>
        <v>40134</v>
      </c>
      <c r="P122" s="60">
        <f t="shared" si="114"/>
        <v>28743</v>
      </c>
      <c r="Q122" s="60">
        <f t="shared" si="114"/>
        <v>24662</v>
      </c>
      <c r="R122" s="60">
        <f t="shared" si="114"/>
        <v>0</v>
      </c>
      <c r="S122" s="60">
        <f t="shared" si="114"/>
        <v>0</v>
      </c>
      <c r="T122" s="60">
        <f t="shared" si="114"/>
        <v>24662</v>
      </c>
      <c r="U122" s="60">
        <f t="shared" si="114"/>
        <v>24662</v>
      </c>
      <c r="V122" s="60">
        <f t="shared" si="114"/>
        <v>0</v>
      </c>
      <c r="W122" s="60">
        <f t="shared" si="114"/>
        <v>0</v>
      </c>
      <c r="X122" s="60">
        <f t="shared" si="114"/>
        <v>24662</v>
      </c>
      <c r="Y122" s="60">
        <f t="shared" si="114"/>
        <v>2000</v>
      </c>
      <c r="Z122" s="60">
        <f t="shared" si="114"/>
        <v>0</v>
      </c>
      <c r="AA122" s="60">
        <f t="shared" si="114"/>
        <v>0</v>
      </c>
      <c r="AB122" s="60">
        <f t="shared" si="114"/>
        <v>0</v>
      </c>
      <c r="AC122" s="60">
        <f t="shared" si="114"/>
        <v>2000</v>
      </c>
      <c r="AD122" s="60">
        <f t="shared" si="114"/>
        <v>0</v>
      </c>
      <c r="AE122" s="60">
        <f t="shared" si="114"/>
        <v>0</v>
      </c>
      <c r="AF122" s="56"/>
      <c r="AG122" s="50">
        <f>P122-U122-Y122</f>
        <v>2081</v>
      </c>
      <c r="AH122" s="113">
        <f t="shared" si="83"/>
        <v>5462021</v>
      </c>
    </row>
    <row r="123" spans="1:34" s="78" customFormat="1" ht="45">
      <c r="A123" s="72">
        <v>1</v>
      </c>
      <c r="B123" s="73" t="s">
        <v>325</v>
      </c>
      <c r="C123" s="73" t="s">
        <v>339</v>
      </c>
      <c r="D123" s="52" t="s">
        <v>29</v>
      </c>
      <c r="E123" s="52" t="s">
        <v>181</v>
      </c>
      <c r="F123" s="72"/>
      <c r="G123" s="72">
        <v>7411744</v>
      </c>
      <c r="H123" s="98">
        <v>312</v>
      </c>
      <c r="I123" s="72" t="s">
        <v>330</v>
      </c>
      <c r="J123" s="72"/>
      <c r="K123" s="72" t="s">
        <v>326</v>
      </c>
      <c r="L123" s="71">
        <f>SUM(M123:O123)</f>
        <v>40134</v>
      </c>
      <c r="M123" s="75"/>
      <c r="N123" s="75"/>
      <c r="O123" s="75">
        <v>40134</v>
      </c>
      <c r="P123" s="75">
        <v>28743</v>
      </c>
      <c r="Q123" s="71">
        <f>SUM(R123:T123)</f>
        <v>24662</v>
      </c>
      <c r="R123" s="75"/>
      <c r="S123" s="75"/>
      <c r="T123" s="75">
        <f>9662+15000</f>
        <v>24662</v>
      </c>
      <c r="U123" s="71">
        <f>SUM(V123:X123)</f>
        <v>24662</v>
      </c>
      <c r="V123" s="75"/>
      <c r="W123" s="75"/>
      <c r="X123" s="75">
        <f>9662+15000</f>
        <v>24662</v>
      </c>
      <c r="Y123" s="60">
        <f>SUM(Z123:AD123)</f>
        <v>2000</v>
      </c>
      <c r="Z123" s="76"/>
      <c r="AA123" s="76"/>
      <c r="AB123" s="76"/>
      <c r="AC123" s="76">
        <v>2000</v>
      </c>
      <c r="AD123" s="76"/>
      <c r="AE123" s="76"/>
      <c r="AF123" s="76"/>
      <c r="AG123" s="77"/>
      <c r="AH123" s="113">
        <f t="shared" si="83"/>
        <v>13472</v>
      </c>
    </row>
    <row r="124" spans="1:34" s="48" customFormat="1" ht="14.25">
      <c r="A124" s="58" t="s">
        <v>60</v>
      </c>
      <c r="B124" s="55" t="s">
        <v>61</v>
      </c>
      <c r="C124" s="55"/>
      <c r="D124" s="58"/>
      <c r="E124" s="58"/>
      <c r="F124" s="58"/>
      <c r="G124" s="59"/>
      <c r="H124" s="58"/>
      <c r="I124" s="58"/>
      <c r="J124" s="58"/>
      <c r="K124" s="58"/>
      <c r="L124" s="60">
        <f>SUM(L125:L127)</f>
        <v>7740622</v>
      </c>
      <c r="M124" s="60">
        <f t="shared" ref="M124:AE124" si="115">SUM(M125:M127)</f>
        <v>5969379</v>
      </c>
      <c r="N124" s="60">
        <f t="shared" si="115"/>
        <v>0</v>
      </c>
      <c r="O124" s="60">
        <f t="shared" si="115"/>
        <v>1771243</v>
      </c>
      <c r="P124" s="60">
        <f t="shared" si="115"/>
        <v>1044478</v>
      </c>
      <c r="Q124" s="60">
        <f t="shared" si="115"/>
        <v>2377703</v>
      </c>
      <c r="R124" s="60">
        <f t="shared" si="115"/>
        <v>1379655</v>
      </c>
      <c r="S124" s="60">
        <f t="shared" si="115"/>
        <v>0</v>
      </c>
      <c r="T124" s="60">
        <f t="shared" si="115"/>
        <v>998048</v>
      </c>
      <c r="U124" s="60">
        <f t="shared" si="115"/>
        <v>2522321</v>
      </c>
      <c r="V124" s="60">
        <f t="shared" si="115"/>
        <v>1529655</v>
      </c>
      <c r="W124" s="60">
        <f t="shared" si="115"/>
        <v>0</v>
      </c>
      <c r="X124" s="60">
        <f t="shared" si="115"/>
        <v>992666</v>
      </c>
      <c r="Y124" s="60">
        <f t="shared" si="115"/>
        <v>508205</v>
      </c>
      <c r="Z124" s="60">
        <f t="shared" si="115"/>
        <v>0</v>
      </c>
      <c r="AA124" s="60">
        <f t="shared" si="115"/>
        <v>0</v>
      </c>
      <c r="AB124" s="60">
        <f t="shared" si="115"/>
        <v>348305</v>
      </c>
      <c r="AC124" s="60">
        <f t="shared" si="115"/>
        <v>159900</v>
      </c>
      <c r="AD124" s="60">
        <f t="shared" si="115"/>
        <v>0</v>
      </c>
      <c r="AE124" s="60">
        <f t="shared" si="115"/>
        <v>0</v>
      </c>
      <c r="AF124" s="56"/>
      <c r="AG124" s="50">
        <f>P124-U124-Y124</f>
        <v>-1986048</v>
      </c>
      <c r="AH124" s="113">
        <f t="shared" si="83"/>
        <v>-492733</v>
      </c>
    </row>
    <row r="125" spans="1:34" s="78" customFormat="1" ht="45">
      <c r="A125" s="72">
        <v>1</v>
      </c>
      <c r="B125" s="73" t="s">
        <v>147</v>
      </c>
      <c r="C125" s="73" t="s">
        <v>349</v>
      </c>
      <c r="D125" s="72" t="s">
        <v>38</v>
      </c>
      <c r="E125" s="72" t="s">
        <v>181</v>
      </c>
      <c r="F125" s="72" t="s">
        <v>1</v>
      </c>
      <c r="G125" s="74">
        <v>7488650</v>
      </c>
      <c r="H125" s="72">
        <v>432</v>
      </c>
      <c r="I125" s="72"/>
      <c r="J125" s="72" t="s">
        <v>148</v>
      </c>
      <c r="K125" s="72" t="s">
        <v>149</v>
      </c>
      <c r="L125" s="71">
        <f>SUM(M125:O125)</f>
        <v>7339334</v>
      </c>
      <c r="M125" s="75">
        <v>5925701</v>
      </c>
      <c r="N125" s="75"/>
      <c r="O125" s="75">
        <v>1413633</v>
      </c>
      <c r="P125" s="75">
        <v>618000</v>
      </c>
      <c r="Q125" s="71">
        <f>SUM(R125:T125)</f>
        <v>2200655</v>
      </c>
      <c r="R125" s="75">
        <f>200000+101545+650000+178110+250000</f>
        <v>1379655</v>
      </c>
      <c r="S125" s="75"/>
      <c r="T125" s="75">
        <f>30000+32000+300000+394000+65000</f>
        <v>821000</v>
      </c>
      <c r="U125" s="71">
        <f>SUM(V125:X125)</f>
        <v>2350655</v>
      </c>
      <c r="V125" s="75">
        <f>200000+101545+650000+578110</f>
        <v>1529655</v>
      </c>
      <c r="W125" s="75"/>
      <c r="X125" s="75">
        <f>30000+32000+300000+394000+65000</f>
        <v>821000</v>
      </c>
      <c r="Y125" s="71">
        <f>SUM(Z125:AD125)</f>
        <v>459900</v>
      </c>
      <c r="Z125" s="76"/>
      <c r="AA125" s="76"/>
      <c r="AB125" s="76">
        <v>300000</v>
      </c>
      <c r="AC125" s="76">
        <f>100000+50000+9900</f>
        <v>159900</v>
      </c>
      <c r="AD125" s="76"/>
      <c r="AE125" s="76"/>
      <c r="AF125" s="76"/>
      <c r="AG125" s="77">
        <f>P125-U125-Y125</f>
        <v>-2192555</v>
      </c>
      <c r="AH125" s="113">
        <f t="shared" si="83"/>
        <v>4758401</v>
      </c>
    </row>
    <row r="126" spans="1:34" s="78" customFormat="1" ht="45">
      <c r="A126" s="72">
        <v>2</v>
      </c>
      <c r="B126" s="73" t="s">
        <v>246</v>
      </c>
      <c r="C126" s="73" t="s">
        <v>349</v>
      </c>
      <c r="D126" s="72" t="s">
        <v>64</v>
      </c>
      <c r="E126" s="72" t="s">
        <v>181</v>
      </c>
      <c r="F126" s="72" t="s">
        <v>3</v>
      </c>
      <c r="G126" s="74">
        <v>7582955</v>
      </c>
      <c r="H126" s="72">
        <v>281</v>
      </c>
      <c r="I126" s="72" t="s">
        <v>35</v>
      </c>
      <c r="J126" s="72" t="s">
        <v>153</v>
      </c>
      <c r="K126" s="72" t="s">
        <v>247</v>
      </c>
      <c r="L126" s="71">
        <f>SUM(M126:O126)</f>
        <v>47757</v>
      </c>
      <c r="M126" s="75">
        <v>43678</v>
      </c>
      <c r="N126" s="75"/>
      <c r="O126" s="75">
        <v>4079</v>
      </c>
      <c r="P126" s="75">
        <v>3329</v>
      </c>
      <c r="Q126" s="71">
        <f t="shared" ref="Q126:Q127" si="116">SUM(R126:T126)</f>
        <v>2048</v>
      </c>
      <c r="R126" s="75"/>
      <c r="S126" s="75"/>
      <c r="T126" s="75">
        <f>750+1298</f>
        <v>2048</v>
      </c>
      <c r="U126" s="71">
        <f>SUM(V126:X126)</f>
        <v>2048</v>
      </c>
      <c r="V126" s="75"/>
      <c r="W126" s="75"/>
      <c r="X126" s="75">
        <f>750+1298</f>
        <v>2048</v>
      </c>
      <c r="Y126" s="71">
        <f>SUM(Z126:AD126)</f>
        <v>2031</v>
      </c>
      <c r="Z126" s="76"/>
      <c r="AA126" s="76"/>
      <c r="AB126" s="76">
        <v>2031</v>
      </c>
      <c r="AC126" s="76"/>
      <c r="AD126" s="76"/>
      <c r="AE126" s="76"/>
      <c r="AF126" s="76"/>
      <c r="AG126" s="77">
        <f>P126-U126-Y126</f>
        <v>-750</v>
      </c>
      <c r="AH126" s="113">
        <f t="shared" si="83"/>
        <v>4986648</v>
      </c>
    </row>
    <row r="127" spans="1:34" s="78" customFormat="1" ht="60">
      <c r="A127" s="72">
        <v>3</v>
      </c>
      <c r="B127" s="73" t="s">
        <v>328</v>
      </c>
      <c r="C127" s="73" t="s">
        <v>339</v>
      </c>
      <c r="D127" s="72" t="s">
        <v>17</v>
      </c>
      <c r="E127" s="72" t="s">
        <v>181</v>
      </c>
      <c r="F127" s="72" t="s">
        <v>2</v>
      </c>
      <c r="G127" s="74">
        <v>7620393</v>
      </c>
      <c r="H127" s="79" t="s">
        <v>329</v>
      </c>
      <c r="I127" s="72" t="s">
        <v>105</v>
      </c>
      <c r="J127" s="72" t="s">
        <v>18</v>
      </c>
      <c r="K127" s="72" t="s">
        <v>247</v>
      </c>
      <c r="L127" s="71">
        <f>SUM(M127:O127)</f>
        <v>353531</v>
      </c>
      <c r="M127" s="75"/>
      <c r="N127" s="75"/>
      <c r="O127" s="75">
        <v>353531</v>
      </c>
      <c r="P127" s="75">
        <v>423149</v>
      </c>
      <c r="Q127" s="71">
        <f t="shared" si="116"/>
        <v>175000</v>
      </c>
      <c r="R127" s="75"/>
      <c r="S127" s="75"/>
      <c r="T127" s="75">
        <v>175000</v>
      </c>
      <c r="U127" s="71">
        <f>SUM(V127:X127)</f>
        <v>169618</v>
      </c>
      <c r="V127" s="75"/>
      <c r="W127" s="75"/>
      <c r="X127" s="75">
        <f>100000+69618</f>
        <v>169618</v>
      </c>
      <c r="Y127" s="71">
        <f>SUM(Z127:AD127)</f>
        <v>46274</v>
      </c>
      <c r="Z127" s="76"/>
      <c r="AA127" s="76"/>
      <c r="AB127" s="76">
        <f>50000+22274-30000+4000</f>
        <v>46274</v>
      </c>
      <c r="AC127" s="76"/>
      <c r="AD127" s="76"/>
      <c r="AE127" s="76"/>
      <c r="AF127" s="76"/>
      <c r="AG127" s="77"/>
      <c r="AH127" s="113">
        <f t="shared" si="83"/>
        <v>-565</v>
      </c>
    </row>
    <row r="128" spans="1:34" s="48" customFormat="1" ht="14.25">
      <c r="A128" s="58" t="s">
        <v>67</v>
      </c>
      <c r="B128" s="55" t="s">
        <v>101</v>
      </c>
      <c r="C128" s="55"/>
      <c r="D128" s="58"/>
      <c r="E128" s="58"/>
      <c r="F128" s="58"/>
      <c r="G128" s="59"/>
      <c r="H128" s="58"/>
      <c r="I128" s="58"/>
      <c r="J128" s="58"/>
      <c r="K128" s="58"/>
      <c r="L128" s="60">
        <f t="shared" ref="L128:AE128" si="117">SUM(L129:L129)</f>
        <v>230248</v>
      </c>
      <c r="M128" s="60">
        <f t="shared" si="117"/>
        <v>0</v>
      </c>
      <c r="N128" s="60">
        <f t="shared" si="117"/>
        <v>0</v>
      </c>
      <c r="O128" s="60">
        <f t="shared" si="117"/>
        <v>230248</v>
      </c>
      <c r="P128" s="60">
        <f t="shared" si="117"/>
        <v>128960</v>
      </c>
      <c r="Q128" s="60">
        <f t="shared" si="117"/>
        <v>0</v>
      </c>
      <c r="R128" s="60">
        <f t="shared" si="117"/>
        <v>0</v>
      </c>
      <c r="S128" s="60">
        <f t="shared" si="117"/>
        <v>0</v>
      </c>
      <c r="T128" s="60">
        <f t="shared" si="117"/>
        <v>0</v>
      </c>
      <c r="U128" s="60">
        <f t="shared" si="117"/>
        <v>0</v>
      </c>
      <c r="V128" s="60">
        <f t="shared" si="117"/>
        <v>0</v>
      </c>
      <c r="W128" s="60">
        <f t="shared" si="117"/>
        <v>0</v>
      </c>
      <c r="X128" s="60">
        <f t="shared" si="117"/>
        <v>0</v>
      </c>
      <c r="Y128" s="60">
        <f t="shared" si="117"/>
        <v>50000</v>
      </c>
      <c r="Z128" s="56">
        <f t="shared" si="117"/>
        <v>0</v>
      </c>
      <c r="AA128" s="56">
        <f t="shared" si="117"/>
        <v>0</v>
      </c>
      <c r="AB128" s="56">
        <f t="shared" si="117"/>
        <v>50000</v>
      </c>
      <c r="AC128" s="56">
        <f t="shared" si="117"/>
        <v>0</v>
      </c>
      <c r="AD128" s="56">
        <f t="shared" si="117"/>
        <v>0</v>
      </c>
      <c r="AE128" s="56">
        <f t="shared" si="117"/>
        <v>0</v>
      </c>
      <c r="AF128" s="56"/>
      <c r="AG128" s="50">
        <f t="shared" ref="AG128:AG137" si="118">P128-U128-Y128</f>
        <v>78960</v>
      </c>
      <c r="AH128" s="113">
        <f t="shared" si="83"/>
        <v>133913</v>
      </c>
    </row>
    <row r="129" spans="1:34" s="78" customFormat="1" ht="45">
      <c r="A129" s="72">
        <v>1</v>
      </c>
      <c r="B129" s="73" t="s">
        <v>220</v>
      </c>
      <c r="C129" s="73" t="s">
        <v>339</v>
      </c>
      <c r="D129" s="72" t="s">
        <v>14</v>
      </c>
      <c r="E129" s="72" t="s">
        <v>181</v>
      </c>
      <c r="F129" s="72" t="s">
        <v>2</v>
      </c>
      <c r="G129" s="74"/>
      <c r="H129" s="72">
        <v>338</v>
      </c>
      <c r="I129" s="72" t="s">
        <v>105</v>
      </c>
      <c r="J129" s="72" t="s">
        <v>219</v>
      </c>
      <c r="K129" s="72" t="s">
        <v>327</v>
      </c>
      <c r="L129" s="71">
        <f>SUM(M129:O129)</f>
        <v>230248</v>
      </c>
      <c r="M129" s="75"/>
      <c r="N129" s="75"/>
      <c r="O129" s="75">
        <v>230248</v>
      </c>
      <c r="P129" s="75">
        <v>128960</v>
      </c>
      <c r="Q129" s="71">
        <f>SUM(R129:T129)</f>
        <v>0</v>
      </c>
      <c r="R129" s="75"/>
      <c r="S129" s="75"/>
      <c r="T129" s="75"/>
      <c r="U129" s="71">
        <f>SUM(V129:X129)</f>
        <v>0</v>
      </c>
      <c r="V129" s="75"/>
      <c r="W129" s="75"/>
      <c r="X129" s="75"/>
      <c r="Y129" s="71">
        <f>SUM(Z129:AD129)</f>
        <v>50000</v>
      </c>
      <c r="Z129" s="76"/>
      <c r="AA129" s="76"/>
      <c r="AB129" s="76">
        <v>50000</v>
      </c>
      <c r="AC129" s="76"/>
      <c r="AD129" s="76"/>
      <c r="AE129" s="76"/>
      <c r="AF129" s="76"/>
      <c r="AG129" s="77">
        <f t="shared" si="118"/>
        <v>78960</v>
      </c>
      <c r="AH129" s="113">
        <f t="shared" si="83"/>
        <v>180248</v>
      </c>
    </row>
    <row r="130" spans="1:34" s="48" customFormat="1" ht="28.5">
      <c r="A130" s="58" t="s">
        <v>2</v>
      </c>
      <c r="B130" s="55" t="s">
        <v>162</v>
      </c>
      <c r="C130" s="55"/>
      <c r="D130" s="58"/>
      <c r="E130" s="58"/>
      <c r="F130" s="58"/>
      <c r="G130" s="59"/>
      <c r="H130" s="58"/>
      <c r="I130" s="58"/>
      <c r="J130" s="58"/>
      <c r="K130" s="58"/>
      <c r="L130" s="60">
        <f t="shared" ref="L130:AE130" si="119">L131+L133+L135+L139+L141+L143+L148+L150+L155</f>
        <v>267475.07948399999</v>
      </c>
      <c r="M130" s="60">
        <f t="shared" si="119"/>
        <v>0</v>
      </c>
      <c r="N130" s="60">
        <f t="shared" si="119"/>
        <v>0</v>
      </c>
      <c r="O130" s="60">
        <f t="shared" si="119"/>
        <v>267475.07948399999</v>
      </c>
      <c r="P130" s="60">
        <f t="shared" si="119"/>
        <v>4574160</v>
      </c>
      <c r="Q130" s="60">
        <f t="shared" si="119"/>
        <v>2324883</v>
      </c>
      <c r="R130" s="60">
        <f t="shared" si="119"/>
        <v>0</v>
      </c>
      <c r="S130" s="60">
        <f t="shared" si="119"/>
        <v>0</v>
      </c>
      <c r="T130" s="60">
        <f t="shared" si="119"/>
        <v>2324883</v>
      </c>
      <c r="U130" s="60">
        <f t="shared" si="119"/>
        <v>2328883</v>
      </c>
      <c r="V130" s="60">
        <f t="shared" si="119"/>
        <v>0</v>
      </c>
      <c r="W130" s="60">
        <f t="shared" si="119"/>
        <v>0</v>
      </c>
      <c r="X130" s="60">
        <f t="shared" si="119"/>
        <v>2328883</v>
      </c>
      <c r="Y130" s="60">
        <f t="shared" si="119"/>
        <v>1114228</v>
      </c>
      <c r="Z130" s="56">
        <f t="shared" si="119"/>
        <v>0</v>
      </c>
      <c r="AA130" s="56">
        <f t="shared" si="119"/>
        <v>0</v>
      </c>
      <c r="AB130" s="56">
        <f t="shared" si="119"/>
        <v>558228</v>
      </c>
      <c r="AC130" s="56">
        <f t="shared" si="119"/>
        <v>96000</v>
      </c>
      <c r="AD130" s="56">
        <f t="shared" si="119"/>
        <v>460000</v>
      </c>
      <c r="AE130" s="56">
        <f t="shared" si="119"/>
        <v>0</v>
      </c>
      <c r="AF130" s="56"/>
      <c r="AG130" s="50">
        <f t="shared" si="118"/>
        <v>1131049</v>
      </c>
      <c r="AH130" s="113">
        <f t="shared" si="83"/>
        <v>-883980</v>
      </c>
    </row>
    <row r="131" spans="1:34" s="68" customFormat="1" ht="14.25">
      <c r="A131" s="62" t="s">
        <v>5</v>
      </c>
      <c r="B131" s="63" t="s">
        <v>163</v>
      </c>
      <c r="C131" s="63"/>
      <c r="D131" s="62"/>
      <c r="E131" s="62"/>
      <c r="F131" s="62"/>
      <c r="G131" s="64"/>
      <c r="H131" s="62"/>
      <c r="I131" s="62"/>
      <c r="J131" s="62"/>
      <c r="K131" s="62"/>
      <c r="L131" s="65">
        <f>L132</f>
        <v>0</v>
      </c>
      <c r="M131" s="65">
        <f t="shared" ref="M131:AE131" si="120">M132</f>
        <v>0</v>
      </c>
      <c r="N131" s="65">
        <f t="shared" si="120"/>
        <v>0</v>
      </c>
      <c r="O131" s="65">
        <f t="shared" si="120"/>
        <v>0</v>
      </c>
      <c r="P131" s="65">
        <f t="shared" si="120"/>
        <v>564257</v>
      </c>
      <c r="Q131" s="65">
        <f t="shared" si="120"/>
        <v>293183</v>
      </c>
      <c r="R131" s="65">
        <f t="shared" si="120"/>
        <v>0</v>
      </c>
      <c r="S131" s="65">
        <f t="shared" si="120"/>
        <v>0</v>
      </c>
      <c r="T131" s="65">
        <f t="shared" si="120"/>
        <v>293183</v>
      </c>
      <c r="U131" s="65">
        <f t="shared" si="120"/>
        <v>293183</v>
      </c>
      <c r="V131" s="65">
        <f t="shared" si="120"/>
        <v>0</v>
      </c>
      <c r="W131" s="65">
        <f t="shared" si="120"/>
        <v>0</v>
      </c>
      <c r="X131" s="65">
        <f t="shared" si="120"/>
        <v>293183</v>
      </c>
      <c r="Y131" s="65">
        <f t="shared" si="120"/>
        <v>129945</v>
      </c>
      <c r="Z131" s="65">
        <f t="shared" si="120"/>
        <v>0</v>
      </c>
      <c r="AA131" s="65">
        <f t="shared" si="120"/>
        <v>0</v>
      </c>
      <c r="AB131" s="65">
        <f t="shared" si="120"/>
        <v>61883</v>
      </c>
      <c r="AC131" s="65">
        <f t="shared" si="120"/>
        <v>9650</v>
      </c>
      <c r="AD131" s="65">
        <f t="shared" si="120"/>
        <v>58412</v>
      </c>
      <c r="AE131" s="65">
        <f t="shared" si="120"/>
        <v>0</v>
      </c>
      <c r="AF131" s="66"/>
      <c r="AG131" s="67">
        <f t="shared" si="118"/>
        <v>141129</v>
      </c>
      <c r="AH131" s="113">
        <f>P131-U131-Y131</f>
        <v>141129</v>
      </c>
    </row>
    <row r="132" spans="1:34" ht="30">
      <c r="A132" s="52" t="s">
        <v>73</v>
      </c>
      <c r="B132" s="54" t="s">
        <v>164</v>
      </c>
      <c r="C132" s="54"/>
      <c r="D132" s="52"/>
      <c r="E132" s="52"/>
      <c r="F132" s="52"/>
      <c r="G132" s="53"/>
      <c r="H132" s="52"/>
      <c r="I132" s="52"/>
      <c r="J132" s="52"/>
      <c r="K132" s="52"/>
      <c r="L132" s="60">
        <v>0</v>
      </c>
      <c r="M132" s="61">
        <v>0</v>
      </c>
      <c r="N132" s="61"/>
      <c r="O132" s="61"/>
      <c r="P132" s="61">
        <f>513527+50730</f>
        <v>564257</v>
      </c>
      <c r="Q132" s="60">
        <f>SUM(R132:T132)</f>
        <v>293183</v>
      </c>
      <c r="R132" s="61"/>
      <c r="S132" s="61"/>
      <c r="T132" s="61">
        <f>39616+50730+40042+5079+53397+41182+7010+56127</f>
        <v>293183</v>
      </c>
      <c r="U132" s="60">
        <f>SUM(V132:X132)</f>
        <v>293183</v>
      </c>
      <c r="V132" s="61"/>
      <c r="W132" s="61"/>
      <c r="X132" s="61">
        <f>39616+50730+40042+5079+53397+41182+7010+56127</f>
        <v>293183</v>
      </c>
      <c r="Y132" s="60">
        <f>SUM(Z132:AD132)</f>
        <v>129945</v>
      </c>
      <c r="Z132" s="57"/>
      <c r="AA132" s="57"/>
      <c r="AB132" s="57">
        <v>61883</v>
      </c>
      <c r="AC132" s="57">
        <v>9650</v>
      </c>
      <c r="AD132" s="57">
        <v>58412</v>
      </c>
      <c r="AE132" s="57"/>
      <c r="AF132" s="57"/>
      <c r="AG132" s="44">
        <f t="shared" si="118"/>
        <v>141129</v>
      </c>
      <c r="AH132" s="113">
        <f t="shared" ref="AH132:AH159" si="121">P132-U132-Y132</f>
        <v>141129</v>
      </c>
    </row>
    <row r="133" spans="1:34" s="68" customFormat="1" ht="14.25">
      <c r="A133" s="62" t="s">
        <v>6</v>
      </c>
      <c r="B133" s="63" t="s">
        <v>165</v>
      </c>
      <c r="C133" s="63"/>
      <c r="D133" s="62"/>
      <c r="E133" s="62"/>
      <c r="F133" s="62"/>
      <c r="G133" s="64"/>
      <c r="H133" s="62"/>
      <c r="I133" s="62"/>
      <c r="J133" s="62"/>
      <c r="K133" s="62"/>
      <c r="L133" s="65">
        <f>L134</f>
        <v>0</v>
      </c>
      <c r="M133" s="65">
        <f t="shared" ref="M133:AE133" si="122">M134</f>
        <v>0</v>
      </c>
      <c r="N133" s="65">
        <f t="shared" si="122"/>
        <v>0</v>
      </c>
      <c r="O133" s="65">
        <f t="shared" si="122"/>
        <v>0</v>
      </c>
      <c r="P133" s="65">
        <f t="shared" si="122"/>
        <v>442429</v>
      </c>
      <c r="Q133" s="65">
        <f t="shared" si="122"/>
        <v>229882</v>
      </c>
      <c r="R133" s="65">
        <f t="shared" si="122"/>
        <v>0</v>
      </c>
      <c r="S133" s="65">
        <f t="shared" si="122"/>
        <v>0</v>
      </c>
      <c r="T133" s="65">
        <f t="shared" si="122"/>
        <v>229882</v>
      </c>
      <c r="U133" s="65">
        <f t="shared" si="122"/>
        <v>229882</v>
      </c>
      <c r="V133" s="65">
        <f t="shared" si="122"/>
        <v>0</v>
      </c>
      <c r="W133" s="65">
        <f t="shared" si="122"/>
        <v>0</v>
      </c>
      <c r="X133" s="65">
        <f t="shared" si="122"/>
        <v>229882</v>
      </c>
      <c r="Y133" s="65">
        <f t="shared" si="122"/>
        <v>101890</v>
      </c>
      <c r="Z133" s="65">
        <f t="shared" si="122"/>
        <v>0</v>
      </c>
      <c r="AA133" s="65">
        <f t="shared" si="122"/>
        <v>0</v>
      </c>
      <c r="AB133" s="65">
        <f t="shared" si="122"/>
        <v>48523</v>
      </c>
      <c r="AC133" s="65">
        <f t="shared" si="122"/>
        <v>7567</v>
      </c>
      <c r="AD133" s="65">
        <f t="shared" si="122"/>
        <v>45800</v>
      </c>
      <c r="AE133" s="65">
        <f t="shared" si="122"/>
        <v>0</v>
      </c>
      <c r="AF133" s="66"/>
      <c r="AG133" s="67">
        <f t="shared" si="118"/>
        <v>110657</v>
      </c>
      <c r="AH133" s="113">
        <f t="shared" si="121"/>
        <v>110657</v>
      </c>
    </row>
    <row r="134" spans="1:34" ht="30">
      <c r="A134" s="52" t="s">
        <v>73</v>
      </c>
      <c r="B134" s="54" t="s">
        <v>164</v>
      </c>
      <c r="C134" s="54"/>
      <c r="D134" s="52"/>
      <c r="E134" s="52"/>
      <c r="F134" s="52"/>
      <c r="G134" s="53"/>
      <c r="H134" s="52"/>
      <c r="I134" s="52"/>
      <c r="J134" s="52"/>
      <c r="K134" s="52"/>
      <c r="L134" s="60">
        <v>0</v>
      </c>
      <c r="M134" s="61">
        <v>0</v>
      </c>
      <c r="N134" s="61"/>
      <c r="O134" s="61"/>
      <c r="P134" s="61">
        <f>402652+39777</f>
        <v>442429</v>
      </c>
      <c r="Q134" s="60">
        <f>SUM(R134:T134)</f>
        <v>229882</v>
      </c>
      <c r="R134" s="61"/>
      <c r="S134" s="61"/>
      <c r="T134" s="61">
        <f>31063+39777+31396+3983+41868+32290+5496+44009</f>
        <v>229882</v>
      </c>
      <c r="U134" s="60">
        <f>SUM(V134:X134)</f>
        <v>229882</v>
      </c>
      <c r="V134" s="61"/>
      <c r="W134" s="61"/>
      <c r="X134" s="61">
        <f>31063+39777+31396+3983+41868+32290+5496+44009</f>
        <v>229882</v>
      </c>
      <c r="Y134" s="60">
        <f>SUM(Z134:AD134)</f>
        <v>101890</v>
      </c>
      <c r="Z134" s="57"/>
      <c r="AA134" s="57"/>
      <c r="AB134" s="57">
        <v>48523</v>
      </c>
      <c r="AC134" s="57">
        <v>7567</v>
      </c>
      <c r="AD134" s="57">
        <v>45800</v>
      </c>
      <c r="AE134" s="57"/>
      <c r="AF134" s="57"/>
      <c r="AG134" s="44">
        <f t="shared" si="118"/>
        <v>110657</v>
      </c>
      <c r="AH134" s="113">
        <f t="shared" si="121"/>
        <v>110657</v>
      </c>
    </row>
    <row r="135" spans="1:34" s="68" customFormat="1" ht="14.25">
      <c r="A135" s="62" t="s">
        <v>24</v>
      </c>
      <c r="B135" s="63" t="s">
        <v>167</v>
      </c>
      <c r="C135" s="63"/>
      <c r="D135" s="62"/>
      <c r="E135" s="62"/>
      <c r="F135" s="62"/>
      <c r="G135" s="64"/>
      <c r="H135" s="62"/>
      <c r="I135" s="62"/>
      <c r="J135" s="62"/>
      <c r="K135" s="62"/>
      <c r="L135" s="65">
        <f>L136+L137</f>
        <v>74446</v>
      </c>
      <c r="M135" s="65">
        <f t="shared" ref="M135:AE135" si="123">M136+M137</f>
        <v>0</v>
      </c>
      <c r="N135" s="65">
        <f t="shared" si="123"/>
        <v>0</v>
      </c>
      <c r="O135" s="65">
        <f t="shared" si="123"/>
        <v>74446</v>
      </c>
      <c r="P135" s="65">
        <f t="shared" si="123"/>
        <v>520455</v>
      </c>
      <c r="Q135" s="65">
        <f t="shared" si="123"/>
        <v>237264</v>
      </c>
      <c r="R135" s="65">
        <f t="shared" si="123"/>
        <v>0</v>
      </c>
      <c r="S135" s="65">
        <f t="shared" si="123"/>
        <v>0</v>
      </c>
      <c r="T135" s="65">
        <f t="shared" si="123"/>
        <v>237264</v>
      </c>
      <c r="U135" s="65">
        <f t="shared" si="123"/>
        <v>237264</v>
      </c>
      <c r="V135" s="65">
        <f t="shared" si="123"/>
        <v>0</v>
      </c>
      <c r="W135" s="65">
        <f t="shared" si="123"/>
        <v>0</v>
      </c>
      <c r="X135" s="65">
        <f t="shared" si="123"/>
        <v>237264</v>
      </c>
      <c r="Y135" s="65">
        <f t="shared" si="123"/>
        <v>116842</v>
      </c>
      <c r="Z135" s="65">
        <f t="shared" si="123"/>
        <v>0</v>
      </c>
      <c r="AA135" s="65">
        <f t="shared" si="123"/>
        <v>0</v>
      </c>
      <c r="AB135" s="65">
        <f t="shared" si="123"/>
        <v>61928</v>
      </c>
      <c r="AC135" s="65">
        <f t="shared" si="123"/>
        <v>7786</v>
      </c>
      <c r="AD135" s="65">
        <f t="shared" si="123"/>
        <v>47128</v>
      </c>
      <c r="AE135" s="65">
        <f t="shared" si="123"/>
        <v>0</v>
      </c>
      <c r="AF135" s="66"/>
      <c r="AG135" s="67">
        <f t="shared" si="118"/>
        <v>166349</v>
      </c>
      <c r="AH135" s="113">
        <f t="shared" si="121"/>
        <v>166349</v>
      </c>
    </row>
    <row r="136" spans="1:34" ht="30">
      <c r="A136" s="52" t="s">
        <v>73</v>
      </c>
      <c r="B136" s="54" t="s">
        <v>164</v>
      </c>
      <c r="C136" s="54"/>
      <c r="D136" s="52"/>
      <c r="E136" s="52"/>
      <c r="F136" s="52"/>
      <c r="G136" s="53"/>
      <c r="H136" s="52"/>
      <c r="I136" s="52"/>
      <c r="J136" s="52"/>
      <c r="K136" s="52"/>
      <c r="L136" s="60">
        <v>0</v>
      </c>
      <c r="M136" s="61"/>
      <c r="N136" s="61"/>
      <c r="O136" s="61"/>
      <c r="P136" s="61">
        <f>414323+40930</f>
        <v>455253</v>
      </c>
      <c r="Q136" s="60">
        <f>SUM(R136:T136)</f>
        <v>237264</v>
      </c>
      <c r="R136" s="61"/>
      <c r="S136" s="61"/>
      <c r="T136" s="61">
        <f>31963+40930+32306+4098+43802+33226+5655+45284</f>
        <v>237264</v>
      </c>
      <c r="U136" s="60">
        <f>SUM(V136:X136)</f>
        <v>237264</v>
      </c>
      <c r="V136" s="61"/>
      <c r="W136" s="61"/>
      <c r="X136" s="61">
        <f>31963+40930+32306+4098+43802+33226+5655+45284</f>
        <v>237264</v>
      </c>
      <c r="Y136" s="60">
        <f>SUM(Z136:AD136)</f>
        <v>104842</v>
      </c>
      <c r="Z136" s="57"/>
      <c r="AA136" s="57"/>
      <c r="AB136" s="57">
        <v>49928</v>
      </c>
      <c r="AC136" s="57">
        <v>7786</v>
      </c>
      <c r="AD136" s="57">
        <v>47128</v>
      </c>
      <c r="AE136" s="57"/>
      <c r="AF136" s="57"/>
      <c r="AG136" s="44">
        <f t="shared" si="118"/>
        <v>113147</v>
      </c>
      <c r="AH136" s="113">
        <f t="shared" si="121"/>
        <v>113147</v>
      </c>
    </row>
    <row r="137" spans="1:34" ht="30">
      <c r="A137" s="52" t="s">
        <v>60</v>
      </c>
      <c r="B137" s="54" t="s">
        <v>166</v>
      </c>
      <c r="C137" s="54"/>
      <c r="D137" s="52"/>
      <c r="E137" s="52"/>
      <c r="F137" s="52"/>
      <c r="G137" s="53"/>
      <c r="H137" s="52"/>
      <c r="I137" s="52"/>
      <c r="J137" s="52"/>
      <c r="K137" s="52"/>
      <c r="L137" s="60">
        <f>L138</f>
        <v>74446</v>
      </c>
      <c r="M137" s="60">
        <f t="shared" ref="M137:AE137" si="124">M138</f>
        <v>0</v>
      </c>
      <c r="N137" s="60">
        <f t="shared" si="124"/>
        <v>0</v>
      </c>
      <c r="O137" s="60">
        <f t="shared" si="124"/>
        <v>74446</v>
      </c>
      <c r="P137" s="60">
        <f t="shared" si="124"/>
        <v>65202</v>
      </c>
      <c r="Q137" s="60">
        <f t="shared" si="124"/>
        <v>0</v>
      </c>
      <c r="R137" s="60">
        <f t="shared" si="124"/>
        <v>0</v>
      </c>
      <c r="S137" s="60">
        <f t="shared" si="124"/>
        <v>0</v>
      </c>
      <c r="T137" s="60">
        <f t="shared" si="124"/>
        <v>0</v>
      </c>
      <c r="U137" s="60">
        <f t="shared" si="124"/>
        <v>0</v>
      </c>
      <c r="V137" s="60">
        <f t="shared" si="124"/>
        <v>0</v>
      </c>
      <c r="W137" s="60">
        <f t="shared" si="124"/>
        <v>0</v>
      </c>
      <c r="X137" s="60">
        <f t="shared" si="124"/>
        <v>0</v>
      </c>
      <c r="Y137" s="60">
        <f t="shared" si="124"/>
        <v>12000</v>
      </c>
      <c r="Z137" s="60">
        <f t="shared" si="124"/>
        <v>0</v>
      </c>
      <c r="AA137" s="60">
        <f t="shared" si="124"/>
        <v>0</v>
      </c>
      <c r="AB137" s="60">
        <f t="shared" si="124"/>
        <v>12000</v>
      </c>
      <c r="AC137" s="60">
        <f t="shared" si="124"/>
        <v>0</v>
      </c>
      <c r="AD137" s="60">
        <f t="shared" si="124"/>
        <v>0</v>
      </c>
      <c r="AE137" s="60">
        <f t="shared" si="124"/>
        <v>0</v>
      </c>
      <c r="AF137" s="57"/>
      <c r="AG137" s="44">
        <f t="shared" si="118"/>
        <v>53202</v>
      </c>
      <c r="AH137" s="113">
        <f t="shared" si="121"/>
        <v>53202</v>
      </c>
    </row>
    <row r="138" spans="1:34" ht="135">
      <c r="A138" s="89">
        <v>1</v>
      </c>
      <c r="B138" s="54" t="s">
        <v>354</v>
      </c>
      <c r="C138" s="54"/>
      <c r="D138" s="89" t="s">
        <v>14</v>
      </c>
      <c r="E138" s="89" t="s">
        <v>355</v>
      </c>
      <c r="F138" s="89" t="s">
        <v>3</v>
      </c>
      <c r="G138" s="89" t="s">
        <v>356</v>
      </c>
      <c r="H138" s="89">
        <v>292</v>
      </c>
      <c r="I138" s="89" t="s">
        <v>357</v>
      </c>
      <c r="J138" s="89" t="s">
        <v>25</v>
      </c>
      <c r="K138" s="89" t="s">
        <v>358</v>
      </c>
      <c r="L138" s="60">
        <f t="shared" ref="L138" si="125">SUM(M138:O138)</f>
        <v>74446</v>
      </c>
      <c r="M138" s="61"/>
      <c r="N138" s="61"/>
      <c r="O138" s="61">
        <v>74446</v>
      </c>
      <c r="P138" s="61">
        <v>65202</v>
      </c>
      <c r="Q138" s="60"/>
      <c r="R138" s="61"/>
      <c r="S138" s="61"/>
      <c r="T138" s="61"/>
      <c r="U138" s="60">
        <f t="shared" ref="U138" si="126">SUM(V138:X138)</f>
        <v>0</v>
      </c>
      <c r="V138" s="61"/>
      <c r="W138" s="61"/>
      <c r="X138" s="61"/>
      <c r="Y138" s="60">
        <f>SUM(Z138:AD138)</f>
        <v>12000</v>
      </c>
      <c r="Z138" s="57"/>
      <c r="AA138" s="57"/>
      <c r="AB138" s="57">
        <v>12000</v>
      </c>
      <c r="AC138" s="57"/>
      <c r="AD138" s="57"/>
      <c r="AE138" s="57"/>
      <c r="AF138" s="57"/>
      <c r="AG138" s="93"/>
      <c r="AH138" s="113">
        <f t="shared" si="121"/>
        <v>53202</v>
      </c>
    </row>
    <row r="139" spans="1:34" s="68" customFormat="1" ht="14.25">
      <c r="A139" s="62" t="s">
        <v>26</v>
      </c>
      <c r="B139" s="63" t="s">
        <v>168</v>
      </c>
      <c r="C139" s="63"/>
      <c r="D139" s="62"/>
      <c r="E139" s="62"/>
      <c r="F139" s="62"/>
      <c r="G139" s="64"/>
      <c r="H139" s="62"/>
      <c r="I139" s="62"/>
      <c r="J139" s="62"/>
      <c r="K139" s="62"/>
      <c r="L139" s="65">
        <f>L140</f>
        <v>0</v>
      </c>
      <c r="M139" s="65">
        <f t="shared" ref="M139:AE139" si="127">M140</f>
        <v>0</v>
      </c>
      <c r="N139" s="65">
        <f t="shared" si="127"/>
        <v>0</v>
      </c>
      <c r="O139" s="65">
        <f t="shared" si="127"/>
        <v>0</v>
      </c>
      <c r="P139" s="65">
        <f t="shared" si="127"/>
        <v>493726</v>
      </c>
      <c r="Q139" s="65">
        <f t="shared" si="127"/>
        <v>256536</v>
      </c>
      <c r="R139" s="65">
        <f t="shared" si="127"/>
        <v>0</v>
      </c>
      <c r="S139" s="65">
        <f t="shared" si="127"/>
        <v>0</v>
      </c>
      <c r="T139" s="65">
        <f t="shared" si="127"/>
        <v>256536</v>
      </c>
      <c r="U139" s="65">
        <f t="shared" si="127"/>
        <v>256536</v>
      </c>
      <c r="V139" s="65">
        <f t="shared" si="127"/>
        <v>0</v>
      </c>
      <c r="W139" s="65">
        <f t="shared" si="127"/>
        <v>0</v>
      </c>
      <c r="X139" s="65">
        <f t="shared" si="127"/>
        <v>256536</v>
      </c>
      <c r="Y139" s="65">
        <f t="shared" si="127"/>
        <v>113702</v>
      </c>
      <c r="Z139" s="65">
        <f t="shared" si="127"/>
        <v>0</v>
      </c>
      <c r="AA139" s="65">
        <f t="shared" si="127"/>
        <v>0</v>
      </c>
      <c r="AB139" s="65">
        <f t="shared" si="127"/>
        <v>54147</v>
      </c>
      <c r="AC139" s="65">
        <f t="shared" si="127"/>
        <v>8444</v>
      </c>
      <c r="AD139" s="65">
        <f t="shared" si="127"/>
        <v>51111</v>
      </c>
      <c r="AE139" s="65">
        <f t="shared" si="127"/>
        <v>0</v>
      </c>
      <c r="AF139" s="66"/>
      <c r="AG139" s="67">
        <f t="shared" ref="AG139:AG152" si="128">P139-U139-Y139</f>
        <v>123488</v>
      </c>
      <c r="AH139" s="113">
        <f t="shared" si="121"/>
        <v>123488</v>
      </c>
    </row>
    <row r="140" spans="1:34" ht="30">
      <c r="A140" s="52" t="s">
        <v>73</v>
      </c>
      <c r="B140" s="54" t="s">
        <v>164</v>
      </c>
      <c r="C140" s="54"/>
      <c r="D140" s="52"/>
      <c r="E140" s="52"/>
      <c r="F140" s="52"/>
      <c r="G140" s="53"/>
      <c r="H140" s="52"/>
      <c r="I140" s="52"/>
      <c r="J140" s="52"/>
      <c r="K140" s="52"/>
      <c r="L140" s="60">
        <v>0</v>
      </c>
      <c r="M140" s="61"/>
      <c r="N140" s="61"/>
      <c r="O140" s="61"/>
      <c r="P140" s="61">
        <f>449336+44390</f>
        <v>493726</v>
      </c>
      <c r="Q140" s="60">
        <f>SUM(R140:T140)</f>
        <v>256536</v>
      </c>
      <c r="R140" s="61"/>
      <c r="S140" s="61"/>
      <c r="T140" s="61">
        <f>34666+44390+35036+4444+46722+36034+6133+49111</f>
        <v>256536</v>
      </c>
      <c r="U140" s="60">
        <f>SUM(V140:X140)</f>
        <v>256536</v>
      </c>
      <c r="V140" s="61"/>
      <c r="W140" s="61"/>
      <c r="X140" s="61">
        <f>34666+44390+35036+4444+46722+36034+6133+49111</f>
        <v>256536</v>
      </c>
      <c r="Y140" s="60">
        <f>SUM(Z140:AD140)</f>
        <v>113702</v>
      </c>
      <c r="Z140" s="57"/>
      <c r="AA140" s="57"/>
      <c r="AB140" s="57">
        <v>54147</v>
      </c>
      <c r="AC140" s="57">
        <v>8444</v>
      </c>
      <c r="AD140" s="57">
        <v>51111</v>
      </c>
      <c r="AE140" s="57"/>
      <c r="AF140" s="57"/>
      <c r="AG140" s="44">
        <f t="shared" si="128"/>
        <v>123488</v>
      </c>
      <c r="AH140" s="113">
        <f t="shared" si="121"/>
        <v>123488</v>
      </c>
    </row>
    <row r="141" spans="1:34" s="68" customFormat="1" ht="14.25">
      <c r="A141" s="62" t="s">
        <v>28</v>
      </c>
      <c r="B141" s="63" t="s">
        <v>169</v>
      </c>
      <c r="C141" s="63"/>
      <c r="D141" s="62"/>
      <c r="E141" s="62"/>
      <c r="F141" s="62"/>
      <c r="G141" s="64"/>
      <c r="H141" s="62"/>
      <c r="I141" s="62"/>
      <c r="J141" s="62"/>
      <c r="K141" s="62"/>
      <c r="L141" s="65">
        <f>L142</f>
        <v>0</v>
      </c>
      <c r="M141" s="65">
        <f t="shared" ref="M141:AE141" si="129">M142</f>
        <v>0</v>
      </c>
      <c r="N141" s="65">
        <f t="shared" si="129"/>
        <v>0</v>
      </c>
      <c r="O141" s="65">
        <f t="shared" si="129"/>
        <v>0</v>
      </c>
      <c r="P141" s="65">
        <f t="shared" si="129"/>
        <v>532198</v>
      </c>
      <c r="Q141" s="65">
        <f t="shared" si="129"/>
        <v>276525</v>
      </c>
      <c r="R141" s="65">
        <f t="shared" si="129"/>
        <v>0</v>
      </c>
      <c r="S141" s="65">
        <f t="shared" si="129"/>
        <v>0</v>
      </c>
      <c r="T141" s="65">
        <f t="shared" si="129"/>
        <v>276525</v>
      </c>
      <c r="U141" s="65">
        <f t="shared" si="129"/>
        <v>276525</v>
      </c>
      <c r="V141" s="65">
        <f t="shared" si="129"/>
        <v>0</v>
      </c>
      <c r="W141" s="65">
        <f t="shared" si="129"/>
        <v>0</v>
      </c>
      <c r="X141" s="65">
        <f t="shared" si="129"/>
        <v>276525</v>
      </c>
      <c r="Y141" s="65">
        <f t="shared" si="129"/>
        <v>122561</v>
      </c>
      <c r="Z141" s="65">
        <f t="shared" si="129"/>
        <v>0</v>
      </c>
      <c r="AA141" s="65">
        <f t="shared" si="129"/>
        <v>0</v>
      </c>
      <c r="AB141" s="65">
        <f t="shared" si="129"/>
        <v>58366</v>
      </c>
      <c r="AC141" s="65">
        <f t="shared" si="129"/>
        <v>9102</v>
      </c>
      <c r="AD141" s="65">
        <f t="shared" si="129"/>
        <v>55093</v>
      </c>
      <c r="AE141" s="65">
        <f t="shared" si="129"/>
        <v>0</v>
      </c>
      <c r="AF141" s="66"/>
      <c r="AG141" s="67">
        <f t="shared" si="128"/>
        <v>133112</v>
      </c>
      <c r="AH141" s="113">
        <f t="shared" si="121"/>
        <v>133112</v>
      </c>
    </row>
    <row r="142" spans="1:34" ht="30">
      <c r="A142" s="52" t="s">
        <v>73</v>
      </c>
      <c r="B142" s="54" t="s">
        <v>164</v>
      </c>
      <c r="C142" s="54"/>
      <c r="D142" s="52"/>
      <c r="E142" s="52"/>
      <c r="F142" s="52"/>
      <c r="G142" s="53"/>
      <c r="H142" s="52"/>
      <c r="I142" s="52"/>
      <c r="J142" s="52"/>
      <c r="K142" s="52"/>
      <c r="L142" s="60">
        <v>0</v>
      </c>
      <c r="M142" s="61"/>
      <c r="N142" s="61"/>
      <c r="O142" s="61"/>
      <c r="P142" s="61">
        <f>484350+47848</f>
        <v>532198</v>
      </c>
      <c r="Q142" s="60">
        <f>SUM(R142:T142)</f>
        <v>276525</v>
      </c>
      <c r="R142" s="61"/>
      <c r="S142" s="61"/>
      <c r="T142" s="61">
        <f>37365+47848+37767+4791+50363+38842+6611+52938</f>
        <v>276525</v>
      </c>
      <c r="U142" s="60">
        <f>SUM(V142:X142)</f>
        <v>276525</v>
      </c>
      <c r="V142" s="61"/>
      <c r="W142" s="61"/>
      <c r="X142" s="61">
        <f>37365+47848+37767+4791+50363+38842+6611+52938</f>
        <v>276525</v>
      </c>
      <c r="Y142" s="60">
        <f>SUM(Z142:AD142)</f>
        <v>122561</v>
      </c>
      <c r="Z142" s="57"/>
      <c r="AA142" s="57"/>
      <c r="AB142" s="57">
        <v>58366</v>
      </c>
      <c r="AC142" s="57">
        <v>9102</v>
      </c>
      <c r="AD142" s="57">
        <v>55093</v>
      </c>
      <c r="AE142" s="57"/>
      <c r="AF142" s="57"/>
      <c r="AG142" s="44">
        <f t="shared" si="128"/>
        <v>133112</v>
      </c>
      <c r="AH142" s="113">
        <f t="shared" si="121"/>
        <v>133112</v>
      </c>
    </row>
    <row r="143" spans="1:34" s="68" customFormat="1" ht="14.25">
      <c r="A143" s="62" t="s">
        <v>30</v>
      </c>
      <c r="B143" s="63" t="s">
        <v>170</v>
      </c>
      <c r="C143" s="63"/>
      <c r="D143" s="62"/>
      <c r="E143" s="62"/>
      <c r="F143" s="62"/>
      <c r="G143" s="64"/>
      <c r="H143" s="62"/>
      <c r="I143" s="62"/>
      <c r="J143" s="62"/>
      <c r="K143" s="62"/>
      <c r="L143" s="65">
        <f>L144+L145</f>
        <v>9502</v>
      </c>
      <c r="M143" s="65">
        <f t="shared" ref="M143:AE143" si="130">M144+M145</f>
        <v>0</v>
      </c>
      <c r="N143" s="65">
        <f t="shared" si="130"/>
        <v>0</v>
      </c>
      <c r="O143" s="65">
        <f t="shared" si="130"/>
        <v>9502</v>
      </c>
      <c r="P143" s="65">
        <f t="shared" si="130"/>
        <v>425681</v>
      </c>
      <c r="Q143" s="65">
        <f t="shared" si="130"/>
        <v>216555</v>
      </c>
      <c r="R143" s="65">
        <f t="shared" si="130"/>
        <v>0</v>
      </c>
      <c r="S143" s="65">
        <f t="shared" si="130"/>
        <v>0</v>
      </c>
      <c r="T143" s="65">
        <f t="shared" si="130"/>
        <v>216555</v>
      </c>
      <c r="U143" s="65">
        <f t="shared" si="130"/>
        <v>220555</v>
      </c>
      <c r="V143" s="65">
        <f t="shared" si="130"/>
        <v>0</v>
      </c>
      <c r="W143" s="65">
        <f t="shared" si="130"/>
        <v>0</v>
      </c>
      <c r="X143" s="65">
        <f t="shared" si="130"/>
        <v>220555</v>
      </c>
      <c r="Y143" s="65">
        <f t="shared" si="130"/>
        <v>100884</v>
      </c>
      <c r="Z143" s="66">
        <f t="shared" si="130"/>
        <v>0</v>
      </c>
      <c r="AA143" s="66">
        <f t="shared" si="130"/>
        <v>0</v>
      </c>
      <c r="AB143" s="66">
        <f t="shared" si="130"/>
        <v>50609</v>
      </c>
      <c r="AC143" s="66">
        <f t="shared" si="130"/>
        <v>7129</v>
      </c>
      <c r="AD143" s="66">
        <f t="shared" si="130"/>
        <v>43146</v>
      </c>
      <c r="AE143" s="66">
        <f t="shared" si="130"/>
        <v>0</v>
      </c>
      <c r="AF143" s="66"/>
      <c r="AG143" s="67">
        <f t="shared" si="128"/>
        <v>104242</v>
      </c>
      <c r="AH143" s="113">
        <f t="shared" si="121"/>
        <v>104242</v>
      </c>
    </row>
    <row r="144" spans="1:34" ht="30">
      <c r="A144" s="52" t="s">
        <v>73</v>
      </c>
      <c r="B144" s="54" t="s">
        <v>164</v>
      </c>
      <c r="C144" s="54"/>
      <c r="D144" s="52"/>
      <c r="E144" s="52"/>
      <c r="F144" s="52"/>
      <c r="G144" s="53"/>
      <c r="H144" s="52"/>
      <c r="I144" s="52"/>
      <c r="J144" s="52"/>
      <c r="K144" s="52"/>
      <c r="L144" s="60">
        <v>0</v>
      </c>
      <c r="M144" s="61"/>
      <c r="N144" s="61"/>
      <c r="O144" s="61"/>
      <c r="P144" s="61">
        <f>379310+37471</f>
        <v>416781</v>
      </c>
      <c r="Q144" s="60">
        <f>SUM(R144:T144)</f>
        <v>216555</v>
      </c>
      <c r="R144" s="61"/>
      <c r="S144" s="61"/>
      <c r="T144" s="61">
        <f>29262+37471+29576+3752+39441+30419+5177+41457</f>
        <v>216555</v>
      </c>
      <c r="U144" s="60">
        <f>SUM(V144:X144)</f>
        <v>216555</v>
      </c>
      <c r="V144" s="61"/>
      <c r="W144" s="61"/>
      <c r="X144" s="61">
        <f>29262+37471+29576+3752+39441+30419+5177+41457</f>
        <v>216555</v>
      </c>
      <c r="Y144" s="60">
        <f>SUM(Z144:AD144)</f>
        <v>95984</v>
      </c>
      <c r="Z144" s="57"/>
      <c r="AA144" s="57"/>
      <c r="AB144" s="57">
        <v>45709</v>
      </c>
      <c r="AC144" s="57">
        <v>7129</v>
      </c>
      <c r="AD144" s="57">
        <v>43146</v>
      </c>
      <c r="AE144" s="57"/>
      <c r="AF144" s="57"/>
      <c r="AG144" s="44">
        <f t="shared" si="128"/>
        <v>104242</v>
      </c>
      <c r="AH144" s="113">
        <f t="shared" si="121"/>
        <v>104242</v>
      </c>
    </row>
    <row r="145" spans="1:34" s="86" customFormat="1" ht="30">
      <c r="A145" s="80" t="s">
        <v>60</v>
      </c>
      <c r="B145" s="81" t="s">
        <v>166</v>
      </c>
      <c r="C145" s="81"/>
      <c r="D145" s="80"/>
      <c r="E145" s="80"/>
      <c r="F145" s="80"/>
      <c r="G145" s="82"/>
      <c r="H145" s="80"/>
      <c r="I145" s="80"/>
      <c r="J145" s="80"/>
      <c r="K145" s="80"/>
      <c r="L145" s="83">
        <f t="shared" ref="L145:AE145" si="131">SUM(L146:L147)</f>
        <v>9502</v>
      </c>
      <c r="M145" s="83">
        <f t="shared" si="131"/>
        <v>0</v>
      </c>
      <c r="N145" s="83">
        <f t="shared" si="131"/>
        <v>0</v>
      </c>
      <c r="O145" s="83">
        <f t="shared" si="131"/>
        <v>9502</v>
      </c>
      <c r="P145" s="83">
        <f t="shared" si="131"/>
        <v>8900</v>
      </c>
      <c r="Q145" s="83">
        <f t="shared" si="131"/>
        <v>0</v>
      </c>
      <c r="R145" s="83">
        <f t="shared" si="131"/>
        <v>0</v>
      </c>
      <c r="S145" s="83">
        <f t="shared" si="131"/>
        <v>0</v>
      </c>
      <c r="T145" s="83">
        <f t="shared" si="131"/>
        <v>0</v>
      </c>
      <c r="U145" s="83">
        <f t="shared" si="131"/>
        <v>4000</v>
      </c>
      <c r="V145" s="83">
        <f t="shared" si="131"/>
        <v>0</v>
      </c>
      <c r="W145" s="83">
        <f t="shared" si="131"/>
        <v>0</v>
      </c>
      <c r="X145" s="83">
        <f t="shared" si="131"/>
        <v>4000</v>
      </c>
      <c r="Y145" s="83">
        <f t="shared" si="131"/>
        <v>4900</v>
      </c>
      <c r="Z145" s="83">
        <f t="shared" si="131"/>
        <v>0</v>
      </c>
      <c r="AA145" s="83">
        <f t="shared" si="131"/>
        <v>0</v>
      </c>
      <c r="AB145" s="83">
        <f t="shared" si="131"/>
        <v>4900</v>
      </c>
      <c r="AC145" s="83">
        <f t="shared" si="131"/>
        <v>0</v>
      </c>
      <c r="AD145" s="83">
        <f t="shared" si="131"/>
        <v>0</v>
      </c>
      <c r="AE145" s="83">
        <f t="shared" si="131"/>
        <v>0</v>
      </c>
      <c r="AF145" s="84"/>
      <c r="AG145" s="85">
        <f t="shared" si="128"/>
        <v>0</v>
      </c>
      <c r="AH145" s="113">
        <f t="shared" si="121"/>
        <v>0</v>
      </c>
    </row>
    <row r="146" spans="1:34" ht="45">
      <c r="A146" s="52">
        <v>1</v>
      </c>
      <c r="B146" s="54" t="s">
        <v>200</v>
      </c>
      <c r="C146" s="54"/>
      <c r="D146" s="52" t="s">
        <v>79</v>
      </c>
      <c r="E146" s="52" t="s">
        <v>186</v>
      </c>
      <c r="F146" s="52" t="s">
        <v>3</v>
      </c>
      <c r="G146" s="53">
        <v>7004692</v>
      </c>
      <c r="H146" s="52" t="s">
        <v>193</v>
      </c>
      <c r="I146" s="52" t="s">
        <v>63</v>
      </c>
      <c r="J146" s="52" t="s">
        <v>153</v>
      </c>
      <c r="K146" s="52" t="s">
        <v>207</v>
      </c>
      <c r="L146" s="60">
        <f t="shared" ref="L146:L147" si="132">SUM(M146:O146)</f>
        <v>4997</v>
      </c>
      <c r="M146" s="61"/>
      <c r="N146" s="61"/>
      <c r="O146" s="61">
        <v>4997</v>
      </c>
      <c r="P146" s="61">
        <v>4700</v>
      </c>
      <c r="Q146" s="60">
        <f t="shared" ref="Q146:Q147" si="133">SUM(R146:T146)</f>
        <v>0</v>
      </c>
      <c r="R146" s="61"/>
      <c r="S146" s="61"/>
      <c r="T146" s="61"/>
      <c r="U146" s="60">
        <f t="shared" ref="U146:U147" si="134">SUM(V146:X146)</f>
        <v>2000</v>
      </c>
      <c r="V146" s="61"/>
      <c r="W146" s="61"/>
      <c r="X146" s="61">
        <v>2000</v>
      </c>
      <c r="Y146" s="60">
        <f>SUM(Z146:AD146)</f>
        <v>2700</v>
      </c>
      <c r="Z146" s="57"/>
      <c r="AA146" s="57"/>
      <c r="AB146" s="57">
        <v>2700</v>
      </c>
      <c r="AC146" s="57"/>
      <c r="AD146" s="57"/>
      <c r="AE146" s="57"/>
      <c r="AF146" s="57"/>
      <c r="AG146" s="44">
        <f t="shared" si="128"/>
        <v>0</v>
      </c>
      <c r="AH146" s="113">
        <f t="shared" si="121"/>
        <v>0</v>
      </c>
    </row>
    <row r="147" spans="1:34" ht="45">
      <c r="A147" s="52">
        <v>2</v>
      </c>
      <c r="B147" s="54" t="s">
        <v>201</v>
      </c>
      <c r="C147" s="54"/>
      <c r="D147" s="52" t="s">
        <v>79</v>
      </c>
      <c r="E147" s="52" t="s">
        <v>186</v>
      </c>
      <c r="F147" s="52" t="s">
        <v>3</v>
      </c>
      <c r="G147" s="53">
        <v>7004692</v>
      </c>
      <c r="H147" s="52" t="s">
        <v>193</v>
      </c>
      <c r="I147" s="52" t="s">
        <v>63</v>
      </c>
      <c r="J147" s="52" t="s">
        <v>153</v>
      </c>
      <c r="K147" s="52" t="s">
        <v>208</v>
      </c>
      <c r="L147" s="60">
        <f t="shared" si="132"/>
        <v>4505</v>
      </c>
      <c r="M147" s="61"/>
      <c r="N147" s="61"/>
      <c r="O147" s="61">
        <v>4505</v>
      </c>
      <c r="P147" s="61">
        <v>4200</v>
      </c>
      <c r="Q147" s="60">
        <f t="shared" si="133"/>
        <v>0</v>
      </c>
      <c r="R147" s="61"/>
      <c r="S147" s="61"/>
      <c r="T147" s="61"/>
      <c r="U147" s="60">
        <f t="shared" si="134"/>
        <v>2000</v>
      </c>
      <c r="V147" s="61"/>
      <c r="W147" s="61"/>
      <c r="X147" s="61">
        <v>2000</v>
      </c>
      <c r="Y147" s="60">
        <f>SUM(Z147:AD147)</f>
        <v>2200</v>
      </c>
      <c r="Z147" s="57"/>
      <c r="AA147" s="57"/>
      <c r="AB147" s="57">
        <v>2200</v>
      </c>
      <c r="AC147" s="57"/>
      <c r="AD147" s="57"/>
      <c r="AE147" s="57"/>
      <c r="AF147" s="57"/>
      <c r="AG147" s="44">
        <f t="shared" si="128"/>
        <v>0</v>
      </c>
      <c r="AH147" s="113">
        <f t="shared" si="121"/>
        <v>0</v>
      </c>
    </row>
    <row r="148" spans="1:34" s="68" customFormat="1" ht="14.25">
      <c r="A148" s="62" t="s">
        <v>31</v>
      </c>
      <c r="B148" s="63" t="s">
        <v>171</v>
      </c>
      <c r="C148" s="63"/>
      <c r="D148" s="62"/>
      <c r="E148" s="62"/>
      <c r="F148" s="62"/>
      <c r="G148" s="64"/>
      <c r="H148" s="62"/>
      <c r="I148" s="62"/>
      <c r="J148" s="62"/>
      <c r="K148" s="62"/>
      <c r="L148" s="65">
        <f>L149</f>
        <v>0</v>
      </c>
      <c r="M148" s="65">
        <f t="shared" ref="M148:AE148" si="135">M149</f>
        <v>0</v>
      </c>
      <c r="N148" s="65">
        <f t="shared" si="135"/>
        <v>0</v>
      </c>
      <c r="O148" s="65">
        <f t="shared" si="135"/>
        <v>0</v>
      </c>
      <c r="P148" s="65">
        <f t="shared" si="135"/>
        <v>525785</v>
      </c>
      <c r="Q148" s="65">
        <f t="shared" si="135"/>
        <v>273193</v>
      </c>
      <c r="R148" s="65">
        <f t="shared" si="135"/>
        <v>0</v>
      </c>
      <c r="S148" s="65">
        <f t="shared" si="135"/>
        <v>0</v>
      </c>
      <c r="T148" s="65">
        <f t="shared" si="135"/>
        <v>273193</v>
      </c>
      <c r="U148" s="65">
        <f t="shared" si="135"/>
        <v>273193</v>
      </c>
      <c r="V148" s="65">
        <f t="shared" si="135"/>
        <v>0</v>
      </c>
      <c r="W148" s="65">
        <f t="shared" si="135"/>
        <v>0</v>
      </c>
      <c r="X148" s="65">
        <f t="shared" si="135"/>
        <v>273193</v>
      </c>
      <c r="Y148" s="65">
        <f t="shared" si="135"/>
        <v>121088</v>
      </c>
      <c r="Z148" s="65">
        <f t="shared" si="135"/>
        <v>0</v>
      </c>
      <c r="AA148" s="65">
        <f t="shared" si="135"/>
        <v>0</v>
      </c>
      <c r="AB148" s="65">
        <f t="shared" si="135"/>
        <v>57664</v>
      </c>
      <c r="AC148" s="65">
        <f t="shared" si="135"/>
        <v>8993</v>
      </c>
      <c r="AD148" s="65">
        <f t="shared" si="135"/>
        <v>54431</v>
      </c>
      <c r="AE148" s="65">
        <f t="shared" si="135"/>
        <v>0</v>
      </c>
      <c r="AF148" s="66"/>
      <c r="AG148" s="67">
        <f t="shared" si="128"/>
        <v>131504</v>
      </c>
      <c r="AH148" s="113">
        <f t="shared" si="121"/>
        <v>131504</v>
      </c>
    </row>
    <row r="149" spans="1:34" ht="30">
      <c r="A149" s="52" t="s">
        <v>73</v>
      </c>
      <c r="B149" s="54" t="s">
        <v>164</v>
      </c>
      <c r="C149" s="54"/>
      <c r="D149" s="52"/>
      <c r="E149" s="52"/>
      <c r="F149" s="52"/>
      <c r="G149" s="53"/>
      <c r="H149" s="52"/>
      <c r="I149" s="52"/>
      <c r="J149" s="52"/>
      <c r="K149" s="52"/>
      <c r="L149" s="60">
        <v>0</v>
      </c>
      <c r="M149" s="61"/>
      <c r="N149" s="61"/>
      <c r="O149" s="61"/>
      <c r="P149" s="61">
        <f>478514+47271</f>
        <v>525785</v>
      </c>
      <c r="Q149" s="60">
        <f>SUM(R149:T149)</f>
        <v>273193</v>
      </c>
      <c r="R149" s="61"/>
      <c r="S149" s="61"/>
      <c r="T149" s="61">
        <f>36915+47271+37312+4733+49756+38374+6532+52300</f>
        <v>273193</v>
      </c>
      <c r="U149" s="60">
        <f>SUM(V149:X149)</f>
        <v>273193</v>
      </c>
      <c r="V149" s="61"/>
      <c r="W149" s="61"/>
      <c r="X149" s="61">
        <f>36915+47271+37312+4733+49756+38374+6532+52300</f>
        <v>273193</v>
      </c>
      <c r="Y149" s="60">
        <f>SUM(Z149:AD149)</f>
        <v>121088</v>
      </c>
      <c r="Z149" s="57"/>
      <c r="AA149" s="57"/>
      <c r="AB149" s="57">
        <v>57664</v>
      </c>
      <c r="AC149" s="57">
        <v>8993</v>
      </c>
      <c r="AD149" s="57">
        <v>54431</v>
      </c>
      <c r="AE149" s="57"/>
      <c r="AF149" s="57"/>
      <c r="AG149" s="44">
        <f t="shared" si="128"/>
        <v>131504</v>
      </c>
      <c r="AH149" s="113">
        <f t="shared" si="121"/>
        <v>131504</v>
      </c>
    </row>
    <row r="150" spans="1:34" s="68" customFormat="1" ht="14.25">
      <c r="A150" s="62" t="s">
        <v>33</v>
      </c>
      <c r="B150" s="63" t="s">
        <v>172</v>
      </c>
      <c r="C150" s="63"/>
      <c r="D150" s="62"/>
      <c r="E150" s="62"/>
      <c r="F150" s="62"/>
      <c r="G150" s="64"/>
      <c r="H150" s="62"/>
      <c r="I150" s="62"/>
      <c r="J150" s="62"/>
      <c r="K150" s="62"/>
      <c r="L150" s="65">
        <f>L151+L152</f>
        <v>146503</v>
      </c>
      <c r="M150" s="65">
        <f t="shared" ref="M150:AE150" si="136">M151+M152</f>
        <v>0</v>
      </c>
      <c r="N150" s="65">
        <f t="shared" si="136"/>
        <v>0</v>
      </c>
      <c r="O150" s="65">
        <f t="shared" si="136"/>
        <v>146503</v>
      </c>
      <c r="P150" s="65">
        <f t="shared" si="136"/>
        <v>549056</v>
      </c>
      <c r="Q150" s="65">
        <f t="shared" si="136"/>
        <v>279293</v>
      </c>
      <c r="R150" s="65">
        <f t="shared" si="136"/>
        <v>0</v>
      </c>
      <c r="S150" s="65">
        <f t="shared" si="136"/>
        <v>0</v>
      </c>
      <c r="T150" s="65">
        <f t="shared" si="136"/>
        <v>279293</v>
      </c>
      <c r="U150" s="65">
        <f t="shared" si="136"/>
        <v>279293</v>
      </c>
      <c r="V150" s="65">
        <f t="shared" si="136"/>
        <v>0</v>
      </c>
      <c r="W150" s="65">
        <f t="shared" si="136"/>
        <v>0</v>
      </c>
      <c r="X150" s="65">
        <f t="shared" si="136"/>
        <v>279293</v>
      </c>
      <c r="Y150" s="65">
        <f t="shared" si="136"/>
        <v>177088</v>
      </c>
      <c r="Z150" s="66">
        <f t="shared" si="136"/>
        <v>0</v>
      </c>
      <c r="AA150" s="66">
        <f t="shared" si="136"/>
        <v>0</v>
      </c>
      <c r="AB150" s="66">
        <f t="shared" si="136"/>
        <v>93664</v>
      </c>
      <c r="AC150" s="66">
        <f t="shared" si="136"/>
        <v>28993</v>
      </c>
      <c r="AD150" s="66">
        <f t="shared" si="136"/>
        <v>54431</v>
      </c>
      <c r="AE150" s="66">
        <f t="shared" si="136"/>
        <v>0</v>
      </c>
      <c r="AF150" s="66"/>
      <c r="AG150" s="67">
        <f t="shared" si="128"/>
        <v>92675</v>
      </c>
      <c r="AH150" s="113">
        <f t="shared" si="121"/>
        <v>92675</v>
      </c>
    </row>
    <row r="151" spans="1:34" ht="30">
      <c r="A151" s="52" t="s">
        <v>73</v>
      </c>
      <c r="B151" s="54" t="s">
        <v>164</v>
      </c>
      <c r="C151" s="54"/>
      <c r="D151" s="52"/>
      <c r="E151" s="52"/>
      <c r="F151" s="52"/>
      <c r="G151" s="53"/>
      <c r="H151" s="52"/>
      <c r="I151" s="52"/>
      <c r="J151" s="52"/>
      <c r="K151" s="52"/>
      <c r="L151" s="60">
        <v>0</v>
      </c>
      <c r="M151" s="61"/>
      <c r="N151" s="61"/>
      <c r="O151" s="61"/>
      <c r="P151" s="61">
        <f>478514+47271</f>
        <v>525785</v>
      </c>
      <c r="Q151" s="60">
        <f>SUM(R151:T151)</f>
        <v>273193</v>
      </c>
      <c r="R151" s="61"/>
      <c r="S151" s="61"/>
      <c r="T151" s="61">
        <f>36915+47271+37312+4733+49756+38374+6532+52300</f>
        <v>273193</v>
      </c>
      <c r="U151" s="60">
        <f>SUM(V151:X151)</f>
        <v>273193</v>
      </c>
      <c r="V151" s="61"/>
      <c r="W151" s="61"/>
      <c r="X151" s="61">
        <f>36915+47271+37312+4733+49756+38374+6532+52300</f>
        <v>273193</v>
      </c>
      <c r="Y151" s="60">
        <f>SUM(Z151:AD151)</f>
        <v>121088</v>
      </c>
      <c r="Z151" s="57"/>
      <c r="AA151" s="57"/>
      <c r="AB151" s="57">
        <v>57664</v>
      </c>
      <c r="AC151" s="57">
        <v>8993</v>
      </c>
      <c r="AD151" s="57">
        <v>54431</v>
      </c>
      <c r="AE151" s="57"/>
      <c r="AF151" s="57"/>
      <c r="AG151" s="44">
        <f t="shared" si="128"/>
        <v>131504</v>
      </c>
      <c r="AH151" s="113">
        <f t="shared" si="121"/>
        <v>131504</v>
      </c>
    </row>
    <row r="152" spans="1:34" s="86" customFormat="1" ht="30">
      <c r="A152" s="80" t="s">
        <v>60</v>
      </c>
      <c r="B152" s="81" t="s">
        <v>166</v>
      </c>
      <c r="C152" s="81"/>
      <c r="D152" s="80"/>
      <c r="E152" s="80"/>
      <c r="F152" s="80"/>
      <c r="G152" s="82"/>
      <c r="H152" s="80"/>
      <c r="I152" s="80"/>
      <c r="J152" s="80"/>
      <c r="K152" s="80"/>
      <c r="L152" s="83">
        <f>SUM(L153:L154)</f>
        <v>146503</v>
      </c>
      <c r="M152" s="83">
        <f t="shared" ref="M152:AE152" si="137">SUM(M153:M154)</f>
        <v>0</v>
      </c>
      <c r="N152" s="83">
        <f t="shared" si="137"/>
        <v>0</v>
      </c>
      <c r="O152" s="83">
        <f t="shared" si="137"/>
        <v>146503</v>
      </c>
      <c r="P152" s="83">
        <f t="shared" si="137"/>
        <v>23271</v>
      </c>
      <c r="Q152" s="83">
        <f t="shared" si="137"/>
        <v>6100</v>
      </c>
      <c r="R152" s="83">
        <f t="shared" si="137"/>
        <v>0</v>
      </c>
      <c r="S152" s="83">
        <f t="shared" si="137"/>
        <v>0</v>
      </c>
      <c r="T152" s="83">
        <f t="shared" si="137"/>
        <v>6100</v>
      </c>
      <c r="U152" s="83">
        <f t="shared" si="137"/>
        <v>6100</v>
      </c>
      <c r="V152" s="83">
        <f t="shared" si="137"/>
        <v>0</v>
      </c>
      <c r="W152" s="83">
        <f t="shared" si="137"/>
        <v>0</v>
      </c>
      <c r="X152" s="83">
        <f t="shared" si="137"/>
        <v>6100</v>
      </c>
      <c r="Y152" s="83">
        <f t="shared" si="137"/>
        <v>56000</v>
      </c>
      <c r="Z152" s="83">
        <f t="shared" si="137"/>
        <v>0</v>
      </c>
      <c r="AA152" s="83">
        <f t="shared" si="137"/>
        <v>0</v>
      </c>
      <c r="AB152" s="83">
        <f t="shared" si="137"/>
        <v>36000</v>
      </c>
      <c r="AC152" s="83">
        <f t="shared" si="137"/>
        <v>20000</v>
      </c>
      <c r="AD152" s="83">
        <f t="shared" si="137"/>
        <v>0</v>
      </c>
      <c r="AE152" s="83">
        <f t="shared" si="137"/>
        <v>0</v>
      </c>
      <c r="AF152" s="84"/>
      <c r="AG152" s="85">
        <f t="shared" si="128"/>
        <v>-38829</v>
      </c>
      <c r="AH152" s="113">
        <f t="shared" si="121"/>
        <v>-38829</v>
      </c>
    </row>
    <row r="153" spans="1:34" ht="135">
      <c r="A153" s="89">
        <v>1</v>
      </c>
      <c r="B153" s="54" t="s">
        <v>359</v>
      </c>
      <c r="C153" s="54"/>
      <c r="D153" s="89" t="s">
        <v>173</v>
      </c>
      <c r="E153" s="89" t="s">
        <v>360</v>
      </c>
      <c r="F153" s="89" t="s">
        <v>2</v>
      </c>
      <c r="G153" s="91" t="s">
        <v>361</v>
      </c>
      <c r="H153" s="89">
        <v>292</v>
      </c>
      <c r="I153" s="87" t="s">
        <v>362</v>
      </c>
      <c r="J153" s="89" t="s">
        <v>25</v>
      </c>
      <c r="K153" s="89" t="s">
        <v>363</v>
      </c>
      <c r="L153" s="60">
        <f>SUM(M153:O153)</f>
        <v>120757</v>
      </c>
      <c r="M153" s="61"/>
      <c r="N153" s="61"/>
      <c r="O153" s="61">
        <v>120757</v>
      </c>
      <c r="P153" s="61"/>
      <c r="Q153" s="60"/>
      <c r="R153" s="61"/>
      <c r="S153" s="61"/>
      <c r="T153" s="61"/>
      <c r="U153" s="60"/>
      <c r="V153" s="61"/>
      <c r="W153" s="61"/>
      <c r="X153" s="61"/>
      <c r="Y153" s="60">
        <f>SUM(Z153:AD153)</f>
        <v>40000</v>
      </c>
      <c r="Z153" s="57"/>
      <c r="AA153" s="57"/>
      <c r="AB153" s="57">
        <v>20000</v>
      </c>
      <c r="AC153" s="57">
        <v>20000</v>
      </c>
      <c r="AD153" s="57"/>
      <c r="AE153" s="57"/>
      <c r="AF153" s="57"/>
      <c r="AG153" s="93"/>
      <c r="AH153" s="113">
        <f t="shared" si="121"/>
        <v>-40000</v>
      </c>
    </row>
    <row r="154" spans="1:34" ht="60">
      <c r="A154" s="52">
        <v>2</v>
      </c>
      <c r="B154" s="54" t="s">
        <v>204</v>
      </c>
      <c r="C154" s="54"/>
      <c r="D154" s="52" t="s">
        <v>173</v>
      </c>
      <c r="E154" s="52" t="s">
        <v>187</v>
      </c>
      <c r="F154" s="52" t="s">
        <v>3</v>
      </c>
      <c r="G154" s="53">
        <v>7004692</v>
      </c>
      <c r="H154" s="52" t="s">
        <v>193</v>
      </c>
      <c r="I154" s="87" t="s">
        <v>205</v>
      </c>
      <c r="J154" s="52" t="s">
        <v>18</v>
      </c>
      <c r="K154" s="52" t="s">
        <v>206</v>
      </c>
      <c r="L154" s="60">
        <f>SUM(M154:O154)</f>
        <v>25746</v>
      </c>
      <c r="M154" s="61"/>
      <c r="N154" s="61"/>
      <c r="O154" s="61">
        <v>25746</v>
      </c>
      <c r="P154" s="61">
        <v>23271</v>
      </c>
      <c r="Q154" s="60">
        <f>SUM(R154:T154)</f>
        <v>6100</v>
      </c>
      <c r="R154" s="61"/>
      <c r="S154" s="61"/>
      <c r="T154" s="61">
        <f>100+6000</f>
        <v>6100</v>
      </c>
      <c r="U154" s="60">
        <f>SUM(V154:X154)</f>
        <v>6100</v>
      </c>
      <c r="V154" s="61"/>
      <c r="W154" s="61"/>
      <c r="X154" s="61">
        <f>100+6000</f>
        <v>6100</v>
      </c>
      <c r="Y154" s="60">
        <f>SUM(Z154:AD154)</f>
        <v>16000</v>
      </c>
      <c r="Z154" s="57"/>
      <c r="AA154" s="57"/>
      <c r="AB154" s="57">
        <v>16000</v>
      </c>
      <c r="AC154" s="57"/>
      <c r="AD154" s="57"/>
      <c r="AE154" s="57"/>
      <c r="AF154" s="57"/>
      <c r="AG154" s="44">
        <f t="shared" ref="AG154:AG159" si="138">P154-U154-Y154</f>
        <v>1171</v>
      </c>
      <c r="AH154" s="113">
        <f t="shared" si="121"/>
        <v>1171</v>
      </c>
    </row>
    <row r="155" spans="1:34" s="68" customFormat="1" ht="14.25">
      <c r="A155" s="62" t="s">
        <v>174</v>
      </c>
      <c r="B155" s="63" t="s">
        <v>175</v>
      </c>
      <c r="C155" s="63"/>
      <c r="D155" s="62"/>
      <c r="E155" s="62"/>
      <c r="F155" s="62"/>
      <c r="G155" s="64"/>
      <c r="H155" s="62"/>
      <c r="I155" s="62"/>
      <c r="J155" s="62"/>
      <c r="K155" s="62"/>
      <c r="L155" s="65">
        <f>L156+L157</f>
        <v>37024.079484000002</v>
      </c>
      <c r="M155" s="65">
        <f t="shared" ref="M155:AE155" si="139">M156+M157</f>
        <v>0</v>
      </c>
      <c r="N155" s="65">
        <f t="shared" si="139"/>
        <v>0</v>
      </c>
      <c r="O155" s="65">
        <f t="shared" si="139"/>
        <v>37024.079484000002</v>
      </c>
      <c r="P155" s="65">
        <f t="shared" si="139"/>
        <v>520573</v>
      </c>
      <c r="Q155" s="65">
        <f t="shared" si="139"/>
        <v>262452</v>
      </c>
      <c r="R155" s="65">
        <f t="shared" si="139"/>
        <v>0</v>
      </c>
      <c r="S155" s="65">
        <f t="shared" si="139"/>
        <v>0</v>
      </c>
      <c r="T155" s="65">
        <f t="shared" si="139"/>
        <v>262452</v>
      </c>
      <c r="U155" s="65">
        <f t="shared" si="139"/>
        <v>262452</v>
      </c>
      <c r="V155" s="65">
        <f t="shared" si="139"/>
        <v>0</v>
      </c>
      <c r="W155" s="65">
        <f t="shared" si="139"/>
        <v>0</v>
      </c>
      <c r="X155" s="65">
        <f t="shared" si="139"/>
        <v>262452</v>
      </c>
      <c r="Y155" s="65">
        <f t="shared" si="139"/>
        <v>130228</v>
      </c>
      <c r="Z155" s="65">
        <f t="shared" si="139"/>
        <v>0</v>
      </c>
      <c r="AA155" s="65">
        <f t="shared" si="139"/>
        <v>0</v>
      </c>
      <c r="AB155" s="65">
        <f t="shared" si="139"/>
        <v>71444</v>
      </c>
      <c r="AC155" s="65">
        <f t="shared" si="139"/>
        <v>8336</v>
      </c>
      <c r="AD155" s="65">
        <f t="shared" si="139"/>
        <v>50448</v>
      </c>
      <c r="AE155" s="65">
        <f t="shared" si="139"/>
        <v>0</v>
      </c>
      <c r="AF155" s="66"/>
      <c r="AG155" s="67">
        <f t="shared" si="138"/>
        <v>127893</v>
      </c>
      <c r="AH155" s="113">
        <f t="shared" si="121"/>
        <v>127893</v>
      </c>
    </row>
    <row r="156" spans="1:34" ht="30">
      <c r="A156" s="52" t="s">
        <v>73</v>
      </c>
      <c r="B156" s="54" t="s">
        <v>164</v>
      </c>
      <c r="C156" s="54"/>
      <c r="D156" s="52"/>
      <c r="E156" s="52"/>
      <c r="F156" s="52"/>
      <c r="G156" s="53"/>
      <c r="H156" s="52"/>
      <c r="I156" s="52"/>
      <c r="J156" s="52"/>
      <c r="K156" s="52"/>
      <c r="L156" s="60">
        <v>0</v>
      </c>
      <c r="M156" s="61"/>
      <c r="N156" s="61"/>
      <c r="O156" s="61"/>
      <c r="P156" s="61">
        <f>443501+43812</f>
        <v>487313</v>
      </c>
      <c r="Q156" s="60">
        <f>SUM(R156:T156)</f>
        <v>253202</v>
      </c>
      <c r="R156" s="61"/>
      <c r="S156" s="61"/>
      <c r="T156" s="61">
        <f>34214+43812+34581+4387+46115+35566+6054+48473</f>
        <v>253202</v>
      </c>
      <c r="U156" s="60">
        <f>SUM(V156:X156)</f>
        <v>253202</v>
      </c>
      <c r="V156" s="61"/>
      <c r="W156" s="61"/>
      <c r="X156" s="61">
        <f>34214+43812+34581+4387+46115+35566+6054+48473</f>
        <v>253202</v>
      </c>
      <c r="Y156" s="60">
        <f>SUM(Z156:AD156)</f>
        <v>112228</v>
      </c>
      <c r="Z156" s="57"/>
      <c r="AA156" s="57"/>
      <c r="AB156" s="57">
        <v>53444</v>
      </c>
      <c r="AC156" s="57">
        <v>8336</v>
      </c>
      <c r="AD156" s="57">
        <v>50448</v>
      </c>
      <c r="AE156" s="57"/>
      <c r="AF156" s="57"/>
      <c r="AG156" s="44">
        <f t="shared" si="138"/>
        <v>121883</v>
      </c>
      <c r="AH156" s="113">
        <f t="shared" si="121"/>
        <v>121883</v>
      </c>
    </row>
    <row r="157" spans="1:34" s="86" customFormat="1" ht="30">
      <c r="A157" s="80" t="s">
        <v>60</v>
      </c>
      <c r="B157" s="81" t="s">
        <v>166</v>
      </c>
      <c r="C157" s="81"/>
      <c r="D157" s="80"/>
      <c r="E157" s="80"/>
      <c r="F157" s="80"/>
      <c r="G157" s="82"/>
      <c r="H157" s="80"/>
      <c r="I157" s="80"/>
      <c r="J157" s="80"/>
      <c r="K157" s="80"/>
      <c r="L157" s="83">
        <f t="shared" ref="L157:AE157" si="140">SUM(L158:L159)</f>
        <v>37024.079484000002</v>
      </c>
      <c r="M157" s="83">
        <f t="shared" si="140"/>
        <v>0</v>
      </c>
      <c r="N157" s="83">
        <f t="shared" si="140"/>
        <v>0</v>
      </c>
      <c r="O157" s="83">
        <f t="shared" si="140"/>
        <v>37024.079484000002</v>
      </c>
      <c r="P157" s="83">
        <f t="shared" si="140"/>
        <v>33260</v>
      </c>
      <c r="Q157" s="83">
        <f t="shared" si="140"/>
        <v>9250</v>
      </c>
      <c r="R157" s="83">
        <f t="shared" si="140"/>
        <v>0</v>
      </c>
      <c r="S157" s="83">
        <f t="shared" si="140"/>
        <v>0</v>
      </c>
      <c r="T157" s="83">
        <f t="shared" si="140"/>
        <v>9250</v>
      </c>
      <c r="U157" s="83">
        <f t="shared" si="140"/>
        <v>9250</v>
      </c>
      <c r="V157" s="83">
        <f t="shared" si="140"/>
        <v>0</v>
      </c>
      <c r="W157" s="83">
        <f t="shared" si="140"/>
        <v>0</v>
      </c>
      <c r="X157" s="83">
        <f t="shared" si="140"/>
        <v>9250</v>
      </c>
      <c r="Y157" s="83">
        <f t="shared" si="140"/>
        <v>18000</v>
      </c>
      <c r="Z157" s="83">
        <f t="shared" si="140"/>
        <v>0</v>
      </c>
      <c r="AA157" s="83">
        <f t="shared" si="140"/>
        <v>0</v>
      </c>
      <c r="AB157" s="83">
        <f t="shared" si="140"/>
        <v>18000</v>
      </c>
      <c r="AC157" s="83">
        <f t="shared" si="140"/>
        <v>0</v>
      </c>
      <c r="AD157" s="83">
        <f t="shared" si="140"/>
        <v>0</v>
      </c>
      <c r="AE157" s="83">
        <f t="shared" si="140"/>
        <v>0</v>
      </c>
      <c r="AF157" s="84"/>
      <c r="AG157" s="85">
        <f t="shared" si="138"/>
        <v>6010</v>
      </c>
      <c r="AH157" s="113">
        <f t="shared" si="121"/>
        <v>6010</v>
      </c>
    </row>
    <row r="158" spans="1:34" ht="60">
      <c r="A158" s="52">
        <v>1</v>
      </c>
      <c r="B158" s="54" t="s">
        <v>191</v>
      </c>
      <c r="C158" s="54"/>
      <c r="D158" s="52" t="s">
        <v>62</v>
      </c>
      <c r="E158" s="52" t="s">
        <v>192</v>
      </c>
      <c r="F158" s="52" t="s">
        <v>3</v>
      </c>
      <c r="G158" s="53">
        <v>7004692</v>
      </c>
      <c r="H158" s="52" t="s">
        <v>193</v>
      </c>
      <c r="I158" s="52" t="s">
        <v>194</v>
      </c>
      <c r="J158" s="52" t="s">
        <v>25</v>
      </c>
      <c r="K158" s="52" t="s">
        <v>195</v>
      </c>
      <c r="L158" s="60">
        <f t="shared" ref="L158:L159" si="141">SUM(M158:O158)</f>
        <v>25184.909</v>
      </c>
      <c r="M158" s="61"/>
      <c r="N158" s="61"/>
      <c r="O158" s="61">
        <v>25184.909</v>
      </c>
      <c r="P158" s="61">
        <v>22290</v>
      </c>
      <c r="Q158" s="60">
        <f t="shared" ref="Q158:Q159" si="142">SUM(R158:T158)</f>
        <v>5150</v>
      </c>
      <c r="R158" s="61"/>
      <c r="S158" s="61"/>
      <c r="T158" s="61">
        <f>150+5000</f>
        <v>5150</v>
      </c>
      <c r="U158" s="60">
        <f t="shared" ref="U158:U159" si="143">SUM(V158:X158)</f>
        <v>5150</v>
      </c>
      <c r="V158" s="61"/>
      <c r="W158" s="61"/>
      <c r="X158" s="61">
        <f>150+5000</f>
        <v>5150</v>
      </c>
      <c r="Y158" s="60">
        <f>SUM(Z158:AD158)</f>
        <v>12000</v>
      </c>
      <c r="Z158" s="57"/>
      <c r="AA158" s="57"/>
      <c r="AB158" s="57">
        <v>12000</v>
      </c>
      <c r="AC158" s="57"/>
      <c r="AD158" s="57"/>
      <c r="AE158" s="57"/>
      <c r="AF158" s="57"/>
      <c r="AG158" s="44">
        <f t="shared" si="138"/>
        <v>5140</v>
      </c>
      <c r="AH158" s="113">
        <f t="shared" si="121"/>
        <v>5140</v>
      </c>
    </row>
    <row r="159" spans="1:34" ht="60">
      <c r="A159" s="52">
        <v>2</v>
      </c>
      <c r="B159" s="54" t="s">
        <v>196</v>
      </c>
      <c r="C159" s="54"/>
      <c r="D159" s="52" t="s">
        <v>62</v>
      </c>
      <c r="E159" s="52" t="s">
        <v>192</v>
      </c>
      <c r="F159" s="52" t="s">
        <v>3</v>
      </c>
      <c r="G159" s="53">
        <v>7004686</v>
      </c>
      <c r="H159" s="52" t="s">
        <v>197</v>
      </c>
      <c r="I159" s="52" t="s">
        <v>198</v>
      </c>
      <c r="J159" s="52" t="s">
        <v>25</v>
      </c>
      <c r="K159" s="52" t="s">
        <v>199</v>
      </c>
      <c r="L159" s="60">
        <f t="shared" si="141"/>
        <v>11839.170484</v>
      </c>
      <c r="M159" s="61"/>
      <c r="N159" s="61"/>
      <c r="O159" s="61">
        <v>11839.170484</v>
      </c>
      <c r="P159" s="61">
        <v>10970</v>
      </c>
      <c r="Q159" s="60">
        <f t="shared" si="142"/>
        <v>4100</v>
      </c>
      <c r="R159" s="61"/>
      <c r="S159" s="61"/>
      <c r="T159" s="61">
        <f>100+4000</f>
        <v>4100</v>
      </c>
      <c r="U159" s="60">
        <f t="shared" si="143"/>
        <v>4100</v>
      </c>
      <c r="V159" s="61"/>
      <c r="W159" s="61"/>
      <c r="X159" s="61">
        <f>100+4000</f>
        <v>4100</v>
      </c>
      <c r="Y159" s="60">
        <f>SUM(Z159:AD159)</f>
        <v>6000</v>
      </c>
      <c r="Z159" s="57"/>
      <c r="AA159" s="57"/>
      <c r="AB159" s="57">
        <v>6000</v>
      </c>
      <c r="AC159" s="57"/>
      <c r="AD159" s="57"/>
      <c r="AE159" s="57"/>
      <c r="AF159" s="57"/>
      <c r="AG159" s="44">
        <f t="shared" si="138"/>
        <v>870</v>
      </c>
      <c r="AH159" s="113">
        <f t="shared" si="121"/>
        <v>870</v>
      </c>
    </row>
    <row r="160" spans="1:34">
      <c r="K160" s="46"/>
    </row>
    <row r="161" spans="1:33">
      <c r="K161" s="46"/>
    </row>
    <row r="162" spans="1:33">
      <c r="K162" s="46"/>
    </row>
    <row r="163" spans="1:33">
      <c r="K163" s="46"/>
    </row>
    <row r="164" spans="1:33">
      <c r="A164" s="45"/>
      <c r="D164" s="45"/>
      <c r="E164" s="45"/>
      <c r="F164" s="45"/>
      <c r="G164" s="45"/>
      <c r="H164" s="45"/>
      <c r="I164" s="45"/>
      <c r="J164" s="45"/>
      <c r="K164" s="46"/>
      <c r="Y164" s="45"/>
      <c r="Z164" s="45"/>
      <c r="AA164" s="45"/>
      <c r="AB164" s="45"/>
      <c r="AC164" s="45"/>
      <c r="AD164" s="45"/>
      <c r="AE164" s="45"/>
      <c r="AF164" s="45"/>
      <c r="AG164" s="45"/>
    </row>
    <row r="165" spans="1:33">
      <c r="A165" s="45"/>
      <c r="D165" s="45"/>
      <c r="E165" s="45"/>
      <c r="F165" s="45"/>
      <c r="G165" s="45"/>
      <c r="H165" s="45"/>
      <c r="I165" s="45"/>
      <c r="J165" s="45"/>
      <c r="K165" s="46"/>
      <c r="Y165" s="45"/>
      <c r="Z165" s="45"/>
      <c r="AA165" s="45"/>
      <c r="AB165" s="45"/>
      <c r="AC165" s="45"/>
      <c r="AD165" s="45"/>
      <c r="AE165" s="45"/>
      <c r="AF165" s="45"/>
      <c r="AG165" s="45"/>
    </row>
    <row r="166" spans="1:33">
      <c r="A166" s="45"/>
      <c r="D166" s="45"/>
      <c r="E166" s="45"/>
      <c r="F166" s="45"/>
      <c r="G166" s="45"/>
      <c r="H166" s="45"/>
      <c r="I166" s="45"/>
      <c r="J166" s="45"/>
      <c r="K166" s="46"/>
      <c r="Y166" s="45"/>
      <c r="Z166" s="45"/>
      <c r="AA166" s="45"/>
      <c r="AB166" s="45"/>
      <c r="AC166" s="45"/>
      <c r="AD166" s="45"/>
      <c r="AE166" s="45"/>
      <c r="AF166" s="45"/>
      <c r="AG166" s="45"/>
    </row>
    <row r="167" spans="1:33">
      <c r="A167" s="45"/>
      <c r="D167" s="45"/>
      <c r="E167" s="45"/>
      <c r="F167" s="45"/>
      <c r="G167" s="45"/>
      <c r="H167" s="45"/>
      <c r="I167" s="45"/>
      <c r="J167" s="45"/>
      <c r="K167" s="46"/>
      <c r="Y167" s="45"/>
      <c r="Z167" s="45"/>
      <c r="AA167" s="45"/>
      <c r="AB167" s="45"/>
      <c r="AC167" s="45"/>
      <c r="AD167" s="45"/>
      <c r="AE167" s="45"/>
      <c r="AF167" s="45"/>
      <c r="AG167" s="45"/>
    </row>
    <row r="168" spans="1:33">
      <c r="A168" s="45"/>
      <c r="D168" s="45"/>
      <c r="E168" s="45"/>
      <c r="F168" s="45"/>
      <c r="G168" s="45"/>
      <c r="H168" s="45"/>
      <c r="I168" s="45"/>
      <c r="J168" s="45"/>
      <c r="K168" s="46"/>
      <c r="Y168" s="45"/>
      <c r="Z168" s="45"/>
      <c r="AA168" s="45"/>
      <c r="AB168" s="45"/>
      <c r="AC168" s="45"/>
      <c r="AD168" s="45"/>
      <c r="AE168" s="45"/>
      <c r="AF168" s="45"/>
      <c r="AG168" s="45"/>
    </row>
    <row r="169" spans="1:33">
      <c r="A169" s="45"/>
      <c r="D169" s="45"/>
      <c r="E169" s="45"/>
      <c r="F169" s="45"/>
      <c r="G169" s="45"/>
      <c r="H169" s="45"/>
      <c r="I169" s="45"/>
      <c r="J169" s="45"/>
      <c r="K169" s="46"/>
      <c r="Y169" s="45"/>
      <c r="Z169" s="45"/>
      <c r="AA169" s="45"/>
      <c r="AB169" s="45"/>
      <c r="AC169" s="45"/>
      <c r="AD169" s="45"/>
      <c r="AE169" s="45"/>
      <c r="AF169" s="45"/>
      <c r="AG169" s="45"/>
    </row>
    <row r="170" spans="1:33">
      <c r="A170" s="45"/>
      <c r="D170" s="45"/>
      <c r="E170" s="45"/>
      <c r="F170" s="45"/>
      <c r="G170" s="45"/>
      <c r="H170" s="45"/>
      <c r="I170" s="45"/>
      <c r="J170" s="45"/>
      <c r="K170" s="46"/>
      <c r="Y170" s="45"/>
      <c r="Z170" s="45"/>
      <c r="AA170" s="45"/>
      <c r="AB170" s="45"/>
      <c r="AC170" s="45"/>
      <c r="AD170" s="45"/>
      <c r="AE170" s="45"/>
      <c r="AF170" s="45"/>
      <c r="AG170" s="45"/>
    </row>
    <row r="171" spans="1:33">
      <c r="A171" s="45"/>
      <c r="D171" s="45"/>
      <c r="E171" s="45"/>
      <c r="F171" s="45"/>
      <c r="G171" s="45"/>
      <c r="H171" s="45"/>
      <c r="I171" s="45"/>
      <c r="J171" s="45"/>
      <c r="K171" s="46"/>
      <c r="Y171" s="45"/>
      <c r="Z171" s="45"/>
      <c r="AA171" s="45"/>
      <c r="AB171" s="45"/>
      <c r="AC171" s="45"/>
      <c r="AD171" s="45"/>
      <c r="AE171" s="45"/>
      <c r="AF171" s="45"/>
      <c r="AG171" s="45"/>
    </row>
    <row r="172" spans="1:33">
      <c r="A172" s="45"/>
      <c r="D172" s="45"/>
      <c r="E172" s="45"/>
      <c r="F172" s="45"/>
      <c r="G172" s="45"/>
      <c r="H172" s="45"/>
      <c r="I172" s="45"/>
      <c r="J172" s="45"/>
      <c r="K172" s="46"/>
      <c r="Y172" s="45"/>
      <c r="Z172" s="45"/>
      <c r="AA172" s="45"/>
      <c r="AB172" s="45"/>
      <c r="AC172" s="45"/>
      <c r="AD172" s="45"/>
      <c r="AE172" s="45"/>
      <c r="AF172" s="45"/>
      <c r="AG172" s="45"/>
    </row>
    <row r="173" spans="1:33">
      <c r="A173" s="45"/>
      <c r="D173" s="45"/>
      <c r="E173" s="45"/>
      <c r="F173" s="45"/>
      <c r="G173" s="45"/>
      <c r="H173" s="45"/>
      <c r="I173" s="45"/>
      <c r="J173" s="45"/>
      <c r="K173" s="46"/>
      <c r="Y173" s="45"/>
      <c r="Z173" s="45"/>
      <c r="AA173" s="45"/>
      <c r="AB173" s="45"/>
      <c r="AC173" s="45"/>
      <c r="AD173" s="45"/>
      <c r="AE173" s="45"/>
      <c r="AF173" s="45"/>
      <c r="AG173" s="45"/>
    </row>
    <row r="174" spans="1:33">
      <c r="A174" s="45"/>
      <c r="D174" s="45"/>
      <c r="E174" s="45"/>
      <c r="F174" s="45"/>
      <c r="G174" s="45"/>
      <c r="H174" s="45"/>
      <c r="I174" s="45"/>
      <c r="J174" s="45"/>
      <c r="K174" s="46"/>
      <c r="Y174" s="45"/>
      <c r="Z174" s="45"/>
      <c r="AA174" s="45"/>
      <c r="AB174" s="45"/>
      <c r="AC174" s="45"/>
      <c r="AD174" s="45"/>
      <c r="AE174" s="45"/>
      <c r="AF174" s="45"/>
      <c r="AG174" s="45"/>
    </row>
    <row r="175" spans="1:33">
      <c r="A175" s="45"/>
      <c r="D175" s="45"/>
      <c r="E175" s="45"/>
      <c r="F175" s="45"/>
      <c r="G175" s="45"/>
      <c r="H175" s="45"/>
      <c r="I175" s="45"/>
      <c r="J175" s="45"/>
      <c r="K175" s="46"/>
      <c r="Y175" s="45"/>
      <c r="Z175" s="45"/>
      <c r="AA175" s="45"/>
      <c r="AB175" s="45"/>
      <c r="AC175" s="45"/>
      <c r="AD175" s="45"/>
      <c r="AE175" s="45"/>
      <c r="AF175" s="45"/>
      <c r="AG175" s="45"/>
    </row>
    <row r="176" spans="1:33">
      <c r="A176" s="45"/>
      <c r="D176" s="45"/>
      <c r="E176" s="45"/>
      <c r="F176" s="45"/>
      <c r="G176" s="45"/>
      <c r="H176" s="45"/>
      <c r="I176" s="45"/>
      <c r="J176" s="45"/>
      <c r="K176" s="46"/>
      <c r="Y176" s="45"/>
      <c r="Z176" s="45"/>
      <c r="AA176" s="45"/>
      <c r="AB176" s="45"/>
      <c r="AC176" s="45"/>
      <c r="AD176" s="45"/>
      <c r="AE176" s="45"/>
      <c r="AF176" s="45"/>
      <c r="AG176" s="45"/>
    </row>
    <row r="177" spans="1:33">
      <c r="A177" s="45"/>
      <c r="D177" s="45"/>
      <c r="E177" s="45"/>
      <c r="F177" s="45"/>
      <c r="G177" s="45"/>
      <c r="H177" s="45"/>
      <c r="I177" s="45"/>
      <c r="J177" s="45"/>
      <c r="K177" s="46"/>
      <c r="Y177" s="45"/>
      <c r="Z177" s="45"/>
      <c r="AA177" s="45"/>
      <c r="AB177" s="45"/>
      <c r="AC177" s="45"/>
      <c r="AD177" s="45"/>
      <c r="AE177" s="45"/>
      <c r="AF177" s="45"/>
      <c r="AG177" s="45"/>
    </row>
    <row r="178" spans="1:33">
      <c r="A178" s="45"/>
      <c r="D178" s="45"/>
      <c r="E178" s="45"/>
      <c r="F178" s="45"/>
      <c r="G178" s="45"/>
      <c r="H178" s="45"/>
      <c r="I178" s="45"/>
      <c r="J178" s="45"/>
      <c r="K178" s="46"/>
      <c r="Y178" s="45"/>
      <c r="Z178" s="45"/>
      <c r="AA178" s="45"/>
      <c r="AB178" s="45"/>
      <c r="AC178" s="45"/>
      <c r="AD178" s="45"/>
      <c r="AE178" s="45"/>
      <c r="AF178" s="45"/>
      <c r="AG178" s="45"/>
    </row>
    <row r="179" spans="1:33">
      <c r="A179" s="45"/>
      <c r="D179" s="45"/>
      <c r="E179" s="45"/>
      <c r="F179" s="45"/>
      <c r="G179" s="45"/>
      <c r="H179" s="45"/>
      <c r="I179" s="45"/>
      <c r="J179" s="45"/>
      <c r="K179" s="46"/>
      <c r="Y179" s="45"/>
      <c r="Z179" s="45"/>
      <c r="AA179" s="45"/>
      <c r="AB179" s="45"/>
      <c r="AC179" s="45"/>
      <c r="AD179" s="45"/>
      <c r="AE179" s="45"/>
      <c r="AF179" s="45"/>
      <c r="AG179" s="45"/>
    </row>
    <row r="180" spans="1:33">
      <c r="A180" s="45"/>
      <c r="D180" s="45"/>
      <c r="E180" s="45"/>
      <c r="F180" s="45"/>
      <c r="G180" s="45"/>
      <c r="H180" s="45"/>
      <c r="I180" s="45"/>
      <c r="J180" s="45"/>
      <c r="K180" s="46"/>
      <c r="L180" s="45"/>
      <c r="Q180" s="45"/>
      <c r="U180" s="45"/>
      <c r="Y180" s="45"/>
      <c r="Z180" s="45"/>
      <c r="AA180" s="45"/>
      <c r="AB180" s="45"/>
      <c r="AC180" s="45"/>
      <c r="AD180" s="45"/>
      <c r="AE180" s="45"/>
      <c r="AF180" s="45"/>
      <c r="AG180" s="45"/>
    </row>
    <row r="181" spans="1:33">
      <c r="A181" s="45"/>
      <c r="D181" s="45"/>
      <c r="E181" s="45"/>
      <c r="F181" s="45"/>
      <c r="G181" s="45"/>
      <c r="H181" s="45"/>
      <c r="I181" s="45"/>
      <c r="J181" s="45"/>
      <c r="K181" s="46"/>
      <c r="L181" s="45"/>
      <c r="Q181" s="45"/>
      <c r="U181" s="45"/>
      <c r="Y181" s="45"/>
      <c r="Z181" s="45"/>
      <c r="AA181" s="45"/>
      <c r="AB181" s="45"/>
      <c r="AC181" s="45"/>
      <c r="AD181" s="45"/>
      <c r="AE181" s="45"/>
      <c r="AF181" s="45"/>
      <c r="AG181" s="45"/>
    </row>
    <row r="182" spans="1:33">
      <c r="A182" s="45"/>
      <c r="D182" s="45"/>
      <c r="E182" s="45"/>
      <c r="F182" s="45"/>
      <c r="G182" s="45"/>
      <c r="H182" s="45"/>
      <c r="I182" s="45"/>
      <c r="J182" s="45"/>
      <c r="K182" s="46"/>
      <c r="L182" s="45"/>
      <c r="Q182" s="45"/>
      <c r="U182" s="45"/>
      <c r="Y182" s="45"/>
      <c r="Z182" s="45"/>
      <c r="AA182" s="45"/>
      <c r="AB182" s="45"/>
      <c r="AC182" s="45"/>
      <c r="AD182" s="45"/>
      <c r="AE182" s="45"/>
      <c r="AF182" s="45"/>
      <c r="AG182" s="45"/>
    </row>
    <row r="183" spans="1:33">
      <c r="A183" s="45"/>
      <c r="D183" s="45"/>
      <c r="E183" s="45"/>
      <c r="F183" s="45"/>
      <c r="G183" s="45"/>
      <c r="H183" s="45"/>
      <c r="I183" s="45"/>
      <c r="J183" s="45"/>
      <c r="K183" s="46"/>
      <c r="L183" s="45"/>
      <c r="Q183" s="45"/>
      <c r="U183" s="45"/>
      <c r="Y183" s="45"/>
      <c r="Z183" s="45"/>
      <c r="AA183" s="45"/>
      <c r="AB183" s="45"/>
      <c r="AC183" s="45"/>
      <c r="AD183" s="45"/>
      <c r="AE183" s="45"/>
      <c r="AF183" s="45"/>
      <c r="AG183" s="45"/>
    </row>
    <row r="184" spans="1:33">
      <c r="A184" s="45"/>
      <c r="D184" s="45"/>
      <c r="E184" s="45"/>
      <c r="F184" s="45"/>
      <c r="G184" s="45"/>
      <c r="H184" s="45"/>
      <c r="I184" s="45"/>
      <c r="J184" s="45"/>
      <c r="K184" s="46"/>
      <c r="L184" s="45"/>
      <c r="Q184" s="45"/>
      <c r="U184" s="45"/>
      <c r="Y184" s="45"/>
      <c r="Z184" s="45"/>
      <c r="AA184" s="45"/>
      <c r="AB184" s="45"/>
      <c r="AC184" s="45"/>
      <c r="AD184" s="45"/>
      <c r="AE184" s="45"/>
      <c r="AF184" s="45"/>
      <c r="AG184" s="45"/>
    </row>
    <row r="185" spans="1:33">
      <c r="A185" s="45"/>
      <c r="D185" s="45"/>
      <c r="E185" s="45"/>
      <c r="F185" s="45"/>
      <c r="G185" s="45"/>
      <c r="H185" s="45"/>
      <c r="I185" s="45"/>
      <c r="J185" s="45"/>
      <c r="K185" s="46"/>
      <c r="L185" s="45"/>
      <c r="Q185" s="45"/>
      <c r="U185" s="45"/>
      <c r="Y185" s="45"/>
      <c r="Z185" s="45"/>
      <c r="AA185" s="45"/>
      <c r="AB185" s="45"/>
      <c r="AC185" s="45"/>
      <c r="AD185" s="45"/>
      <c r="AE185" s="45"/>
      <c r="AF185" s="45"/>
      <c r="AG185" s="45"/>
    </row>
    <row r="186" spans="1:33">
      <c r="A186" s="45"/>
      <c r="D186" s="45"/>
      <c r="E186" s="45"/>
      <c r="F186" s="45"/>
      <c r="G186" s="45"/>
      <c r="H186" s="45"/>
      <c r="I186" s="45"/>
      <c r="J186" s="45"/>
      <c r="K186" s="46"/>
      <c r="L186" s="45"/>
      <c r="Q186" s="45"/>
      <c r="U186" s="45"/>
      <c r="Y186" s="45"/>
      <c r="Z186" s="45"/>
      <c r="AA186" s="45"/>
      <c r="AB186" s="45"/>
      <c r="AC186" s="45"/>
      <c r="AD186" s="45"/>
      <c r="AE186" s="45"/>
      <c r="AF186" s="45"/>
      <c r="AG186" s="45"/>
    </row>
    <row r="187" spans="1:33">
      <c r="A187" s="45"/>
      <c r="D187" s="45"/>
      <c r="E187" s="45"/>
      <c r="F187" s="45"/>
      <c r="G187" s="45"/>
      <c r="H187" s="45"/>
      <c r="I187" s="45"/>
      <c r="J187" s="45"/>
      <c r="K187" s="46"/>
      <c r="L187" s="45"/>
      <c r="Q187" s="45"/>
      <c r="U187" s="45"/>
      <c r="Y187" s="45"/>
      <c r="Z187" s="45"/>
      <c r="AA187" s="45"/>
      <c r="AB187" s="45"/>
      <c r="AC187" s="45"/>
      <c r="AD187" s="45"/>
      <c r="AE187" s="45"/>
      <c r="AF187" s="45"/>
      <c r="AG187" s="45"/>
    </row>
    <row r="188" spans="1:33">
      <c r="A188" s="45"/>
      <c r="D188" s="45"/>
      <c r="E188" s="45"/>
      <c r="F188" s="45"/>
      <c r="G188" s="45"/>
      <c r="H188" s="45"/>
      <c r="I188" s="45"/>
      <c r="J188" s="45"/>
      <c r="K188" s="46"/>
      <c r="L188" s="45"/>
      <c r="Q188" s="45"/>
      <c r="U188" s="45"/>
      <c r="Y188" s="45"/>
      <c r="Z188" s="45"/>
      <c r="AA188" s="45"/>
      <c r="AB188" s="45"/>
      <c r="AC188" s="45"/>
      <c r="AD188" s="45"/>
      <c r="AE188" s="45"/>
      <c r="AF188" s="45"/>
      <c r="AG188" s="45"/>
    </row>
    <row r="189" spans="1:33">
      <c r="A189" s="45"/>
      <c r="D189" s="45"/>
      <c r="E189" s="45"/>
      <c r="F189" s="45"/>
      <c r="G189" s="45"/>
      <c r="H189" s="45"/>
      <c r="I189" s="45"/>
      <c r="J189" s="45"/>
      <c r="K189" s="46"/>
      <c r="L189" s="45"/>
      <c r="Q189" s="45"/>
      <c r="U189" s="45"/>
      <c r="Y189" s="45"/>
      <c r="Z189" s="45"/>
      <c r="AA189" s="45"/>
      <c r="AB189" s="45"/>
      <c r="AC189" s="45"/>
      <c r="AD189" s="45"/>
      <c r="AE189" s="45"/>
      <c r="AF189" s="45"/>
      <c r="AG189" s="45"/>
    </row>
    <row r="190" spans="1:33">
      <c r="A190" s="45"/>
      <c r="D190" s="45"/>
      <c r="E190" s="45"/>
      <c r="F190" s="45"/>
      <c r="G190" s="45"/>
      <c r="H190" s="45"/>
      <c r="I190" s="45"/>
      <c r="J190" s="45"/>
      <c r="K190" s="46"/>
      <c r="L190" s="45"/>
      <c r="Q190" s="45"/>
      <c r="U190" s="45"/>
      <c r="Y190" s="45"/>
      <c r="Z190" s="45"/>
      <c r="AA190" s="45"/>
      <c r="AB190" s="45"/>
      <c r="AC190" s="45"/>
      <c r="AD190" s="45"/>
      <c r="AE190" s="45"/>
      <c r="AF190" s="45"/>
      <c r="AG190" s="45"/>
    </row>
    <row r="191" spans="1:33">
      <c r="A191" s="45"/>
      <c r="D191" s="45"/>
      <c r="E191" s="45"/>
      <c r="F191" s="45"/>
      <c r="G191" s="45"/>
      <c r="H191" s="45"/>
      <c r="I191" s="45"/>
      <c r="J191" s="45"/>
      <c r="K191" s="46"/>
      <c r="L191" s="45"/>
      <c r="Q191" s="45"/>
      <c r="U191" s="45"/>
      <c r="Y191" s="45"/>
      <c r="Z191" s="45"/>
      <c r="AA191" s="45"/>
      <c r="AB191" s="45"/>
      <c r="AC191" s="45"/>
      <c r="AD191" s="45"/>
      <c r="AE191" s="45"/>
      <c r="AF191" s="45"/>
      <c r="AG191" s="45"/>
    </row>
    <row r="192" spans="1:33">
      <c r="A192" s="45"/>
      <c r="D192" s="45"/>
      <c r="E192" s="45"/>
      <c r="F192" s="45"/>
      <c r="G192" s="45"/>
      <c r="H192" s="45"/>
      <c r="I192" s="45"/>
      <c r="J192" s="45"/>
      <c r="K192" s="46"/>
      <c r="L192" s="45"/>
      <c r="Q192" s="45"/>
      <c r="U192" s="45"/>
      <c r="Y192" s="45"/>
      <c r="Z192" s="45"/>
      <c r="AA192" s="45"/>
      <c r="AB192" s="45"/>
      <c r="AC192" s="45"/>
      <c r="AD192" s="45"/>
      <c r="AE192" s="45"/>
      <c r="AF192" s="45"/>
      <c r="AG192" s="45"/>
    </row>
    <row r="193" spans="1:33">
      <c r="A193" s="45"/>
      <c r="D193" s="45"/>
      <c r="E193" s="45"/>
      <c r="F193" s="45"/>
      <c r="G193" s="45"/>
      <c r="H193" s="45"/>
      <c r="I193" s="45"/>
      <c r="J193" s="45"/>
      <c r="K193" s="46"/>
      <c r="L193" s="45"/>
      <c r="Q193" s="45"/>
      <c r="U193" s="45"/>
      <c r="Y193" s="45"/>
      <c r="Z193" s="45"/>
      <c r="AA193" s="45"/>
      <c r="AB193" s="45"/>
      <c r="AC193" s="45"/>
      <c r="AD193" s="45"/>
      <c r="AE193" s="45"/>
      <c r="AF193" s="45"/>
      <c r="AG193" s="45"/>
    </row>
    <row r="194" spans="1:33">
      <c r="A194" s="45"/>
      <c r="D194" s="45"/>
      <c r="E194" s="45"/>
      <c r="F194" s="45"/>
      <c r="G194" s="45"/>
      <c r="H194" s="45"/>
      <c r="I194" s="45"/>
      <c r="J194" s="45"/>
      <c r="K194" s="46"/>
      <c r="L194" s="45"/>
      <c r="Q194" s="45"/>
      <c r="U194" s="45"/>
      <c r="Y194" s="45"/>
      <c r="Z194" s="45"/>
      <c r="AA194" s="45"/>
      <c r="AB194" s="45"/>
      <c r="AC194" s="45"/>
      <c r="AD194" s="45"/>
      <c r="AE194" s="45"/>
      <c r="AF194" s="45"/>
      <c r="AG194" s="45"/>
    </row>
    <row r="195" spans="1:33">
      <c r="A195" s="45"/>
      <c r="D195" s="45"/>
      <c r="E195" s="45"/>
      <c r="F195" s="45"/>
      <c r="G195" s="45"/>
      <c r="H195" s="45"/>
      <c r="I195" s="45"/>
      <c r="J195" s="45"/>
      <c r="K195" s="46"/>
      <c r="L195" s="45"/>
      <c r="Q195" s="45"/>
      <c r="U195" s="45"/>
      <c r="Y195" s="45"/>
      <c r="Z195" s="45"/>
      <c r="AA195" s="45"/>
      <c r="AB195" s="45"/>
      <c r="AC195" s="45"/>
      <c r="AD195" s="45"/>
      <c r="AE195" s="45"/>
      <c r="AF195" s="45"/>
      <c r="AG195" s="45"/>
    </row>
    <row r="196" spans="1:33">
      <c r="A196" s="45"/>
      <c r="D196" s="45"/>
      <c r="E196" s="45"/>
      <c r="F196" s="45"/>
      <c r="G196" s="45"/>
      <c r="H196" s="45"/>
      <c r="I196" s="45"/>
      <c r="J196" s="45"/>
      <c r="K196" s="46"/>
      <c r="L196" s="45"/>
      <c r="Q196" s="45"/>
      <c r="U196" s="45"/>
      <c r="Y196" s="45"/>
      <c r="Z196" s="45"/>
      <c r="AA196" s="45"/>
      <c r="AB196" s="45"/>
      <c r="AC196" s="45"/>
      <c r="AD196" s="45"/>
      <c r="AE196" s="45"/>
      <c r="AF196" s="45"/>
      <c r="AG196" s="45"/>
    </row>
    <row r="197" spans="1:33">
      <c r="A197" s="45"/>
      <c r="D197" s="45"/>
      <c r="E197" s="45"/>
      <c r="F197" s="45"/>
      <c r="G197" s="45"/>
      <c r="H197" s="45"/>
      <c r="I197" s="45"/>
      <c r="J197" s="45"/>
      <c r="K197" s="46"/>
      <c r="L197" s="45"/>
      <c r="Q197" s="45"/>
      <c r="U197" s="45"/>
      <c r="Y197" s="45"/>
      <c r="Z197" s="45"/>
      <c r="AA197" s="45"/>
      <c r="AB197" s="45"/>
      <c r="AC197" s="45"/>
      <c r="AD197" s="45"/>
      <c r="AE197" s="45"/>
      <c r="AF197" s="45"/>
      <c r="AG197" s="45"/>
    </row>
    <row r="198" spans="1:33">
      <c r="A198" s="45"/>
      <c r="D198" s="45"/>
      <c r="E198" s="45"/>
      <c r="F198" s="45"/>
      <c r="G198" s="45"/>
      <c r="H198" s="45"/>
      <c r="I198" s="45"/>
      <c r="J198" s="45"/>
      <c r="K198" s="46"/>
      <c r="L198" s="45"/>
      <c r="Q198" s="45"/>
      <c r="U198" s="45"/>
      <c r="Y198" s="45"/>
      <c r="Z198" s="45"/>
      <c r="AA198" s="45"/>
      <c r="AB198" s="45"/>
      <c r="AC198" s="45"/>
      <c r="AD198" s="45"/>
      <c r="AE198" s="45"/>
      <c r="AF198" s="45"/>
      <c r="AG198" s="45"/>
    </row>
    <row r="199" spans="1:33">
      <c r="A199" s="45"/>
      <c r="D199" s="45"/>
      <c r="E199" s="45"/>
      <c r="F199" s="45"/>
      <c r="G199" s="45"/>
      <c r="H199" s="45"/>
      <c r="I199" s="45"/>
      <c r="J199" s="45"/>
      <c r="K199" s="46"/>
      <c r="L199" s="45"/>
      <c r="Q199" s="45"/>
      <c r="U199" s="45"/>
      <c r="Y199" s="45"/>
      <c r="Z199" s="45"/>
      <c r="AA199" s="45"/>
      <c r="AB199" s="45"/>
      <c r="AC199" s="45"/>
      <c r="AD199" s="45"/>
      <c r="AE199" s="45"/>
      <c r="AF199" s="45"/>
      <c r="AG199" s="45"/>
    </row>
    <row r="200" spans="1:33">
      <c r="A200" s="45"/>
      <c r="D200" s="45"/>
      <c r="E200" s="45"/>
      <c r="F200" s="45"/>
      <c r="G200" s="45"/>
      <c r="H200" s="45"/>
      <c r="I200" s="45"/>
      <c r="J200" s="45"/>
      <c r="K200" s="46"/>
      <c r="L200" s="45"/>
      <c r="Q200" s="45"/>
      <c r="U200" s="45"/>
      <c r="Y200" s="45"/>
      <c r="Z200" s="45"/>
      <c r="AA200" s="45"/>
      <c r="AB200" s="45"/>
      <c r="AC200" s="45"/>
      <c r="AD200" s="45"/>
      <c r="AE200" s="45"/>
      <c r="AF200" s="45"/>
      <c r="AG200" s="45"/>
    </row>
    <row r="201" spans="1:33">
      <c r="A201" s="45"/>
      <c r="D201" s="45"/>
      <c r="E201" s="45"/>
      <c r="F201" s="45"/>
      <c r="G201" s="45"/>
      <c r="H201" s="45"/>
      <c r="I201" s="45"/>
      <c r="J201" s="45"/>
      <c r="K201" s="46"/>
      <c r="L201" s="45"/>
      <c r="Q201" s="45"/>
      <c r="U201" s="45"/>
      <c r="Y201" s="45"/>
      <c r="Z201" s="45"/>
      <c r="AA201" s="45"/>
      <c r="AB201" s="45"/>
      <c r="AC201" s="45"/>
      <c r="AD201" s="45"/>
      <c r="AE201" s="45"/>
      <c r="AF201" s="45"/>
      <c r="AG201" s="45"/>
    </row>
    <row r="202" spans="1:33">
      <c r="A202" s="45"/>
      <c r="D202" s="45"/>
      <c r="E202" s="45"/>
      <c r="F202" s="45"/>
      <c r="G202" s="45"/>
      <c r="H202" s="45"/>
      <c r="I202" s="45"/>
      <c r="J202" s="45"/>
      <c r="K202" s="46"/>
      <c r="L202" s="45"/>
      <c r="Q202" s="45"/>
      <c r="U202" s="45"/>
      <c r="Y202" s="45"/>
      <c r="Z202" s="45"/>
      <c r="AA202" s="45"/>
      <c r="AB202" s="45"/>
      <c r="AC202" s="45"/>
      <c r="AD202" s="45"/>
      <c r="AE202" s="45"/>
      <c r="AF202" s="45"/>
      <c r="AG202" s="45"/>
    </row>
    <row r="203" spans="1:33">
      <c r="A203" s="45"/>
      <c r="D203" s="45"/>
      <c r="E203" s="45"/>
      <c r="F203" s="45"/>
      <c r="G203" s="45"/>
      <c r="H203" s="45"/>
      <c r="I203" s="45"/>
      <c r="J203" s="45"/>
      <c r="K203" s="46"/>
      <c r="L203" s="45"/>
      <c r="Q203" s="45"/>
      <c r="U203" s="45"/>
      <c r="Y203" s="45"/>
      <c r="Z203" s="45"/>
      <c r="AA203" s="45"/>
      <c r="AB203" s="45"/>
      <c r="AC203" s="45"/>
      <c r="AD203" s="45"/>
      <c r="AE203" s="45"/>
      <c r="AF203" s="45"/>
      <c r="AG203" s="45"/>
    </row>
    <row r="204" spans="1:33" ht="14.85" customHeight="1">
      <c r="A204" s="45"/>
      <c r="D204" s="45"/>
      <c r="E204" s="45"/>
      <c r="F204" s="45"/>
      <c r="G204" s="45"/>
      <c r="H204" s="45"/>
      <c r="I204" s="45"/>
      <c r="J204" s="45"/>
      <c r="K204" s="46"/>
      <c r="L204" s="45"/>
      <c r="Q204" s="45"/>
      <c r="U204" s="45"/>
      <c r="Y204" s="45"/>
      <c r="Z204" s="45"/>
      <c r="AA204" s="45"/>
      <c r="AB204" s="45"/>
      <c r="AC204" s="45"/>
      <c r="AD204" s="45"/>
      <c r="AE204" s="45"/>
      <c r="AF204" s="45"/>
      <c r="AG204" s="45"/>
    </row>
    <row r="205" spans="1:33" ht="29.85" customHeight="1">
      <c r="A205" s="45"/>
      <c r="D205" s="45"/>
      <c r="E205" s="45"/>
      <c r="F205" s="45"/>
      <c r="G205" s="45"/>
      <c r="H205" s="45"/>
      <c r="I205" s="45"/>
      <c r="J205" s="45"/>
      <c r="K205" s="46"/>
      <c r="L205" s="45"/>
      <c r="Q205" s="45"/>
      <c r="U205" s="45"/>
      <c r="Y205" s="45"/>
      <c r="Z205" s="45"/>
      <c r="AA205" s="45"/>
      <c r="AB205" s="45"/>
      <c r="AC205" s="45"/>
      <c r="AD205" s="45"/>
      <c r="AE205" s="45"/>
      <c r="AF205" s="45"/>
      <c r="AG205" s="45"/>
    </row>
    <row r="206" spans="1:33" ht="14.85" customHeight="1">
      <c r="A206" s="45"/>
      <c r="D206" s="45"/>
      <c r="E206" s="45"/>
      <c r="F206" s="45"/>
      <c r="G206" s="45"/>
      <c r="H206" s="45"/>
      <c r="I206" s="45"/>
      <c r="J206" s="45"/>
      <c r="K206" s="46"/>
      <c r="L206" s="45"/>
      <c r="Q206" s="45"/>
      <c r="U206" s="45"/>
      <c r="Y206" s="45"/>
      <c r="Z206" s="45"/>
      <c r="AA206" s="45"/>
      <c r="AB206" s="45"/>
      <c r="AC206" s="45"/>
      <c r="AD206" s="45"/>
      <c r="AE206" s="45"/>
      <c r="AF206" s="45"/>
      <c r="AG206" s="45"/>
    </row>
    <row r="207" spans="1:33" ht="14.85" customHeight="1">
      <c r="A207" s="45"/>
      <c r="D207" s="45"/>
      <c r="E207" s="45"/>
      <c r="F207" s="45"/>
      <c r="G207" s="45"/>
      <c r="H207" s="45"/>
      <c r="I207" s="45"/>
      <c r="J207" s="45"/>
      <c r="K207" s="46"/>
      <c r="L207" s="45"/>
      <c r="Q207" s="45"/>
      <c r="U207" s="45"/>
      <c r="Y207" s="45"/>
      <c r="Z207" s="45"/>
      <c r="AA207" s="45"/>
      <c r="AB207" s="45"/>
      <c r="AC207" s="45"/>
      <c r="AD207" s="45"/>
      <c r="AE207" s="45"/>
      <c r="AF207" s="45"/>
      <c r="AG207" s="45"/>
    </row>
    <row r="208" spans="1:33">
      <c r="A208" s="45"/>
      <c r="D208" s="45"/>
      <c r="E208" s="45"/>
      <c r="F208" s="45"/>
      <c r="G208" s="45"/>
      <c r="H208" s="45"/>
      <c r="I208" s="45"/>
      <c r="J208" s="45"/>
      <c r="K208" s="46"/>
      <c r="L208" s="45"/>
      <c r="Q208" s="45"/>
      <c r="U208" s="45"/>
      <c r="Y208" s="45"/>
      <c r="Z208" s="45"/>
      <c r="AA208" s="45"/>
      <c r="AB208" s="45"/>
      <c r="AC208" s="45"/>
      <c r="AD208" s="45"/>
      <c r="AE208" s="45"/>
      <c r="AF208" s="45"/>
      <c r="AG208" s="45"/>
    </row>
    <row r="211" spans="1:33" ht="29.85" customHeight="1">
      <c r="A211" s="45"/>
      <c r="D211" s="45"/>
      <c r="E211" s="45"/>
      <c r="F211" s="45"/>
      <c r="G211" s="45"/>
      <c r="H211" s="45"/>
      <c r="I211" s="45"/>
      <c r="J211" s="45"/>
      <c r="L211" s="45"/>
      <c r="Q211" s="45"/>
      <c r="U211" s="45"/>
      <c r="Y211" s="45"/>
      <c r="Z211" s="45"/>
      <c r="AA211" s="45"/>
      <c r="AB211" s="45"/>
      <c r="AC211" s="45"/>
      <c r="AD211" s="45"/>
      <c r="AE211" s="45"/>
      <c r="AF211" s="45"/>
      <c r="AG211" s="45"/>
    </row>
    <row r="212" spans="1:33" ht="29.85" customHeight="1">
      <c r="A212" s="45"/>
      <c r="D212" s="45"/>
      <c r="E212" s="45"/>
      <c r="F212" s="45"/>
      <c r="G212" s="45"/>
      <c r="H212" s="45"/>
      <c r="I212" s="45"/>
      <c r="J212" s="45"/>
      <c r="L212" s="45"/>
      <c r="Q212" s="45"/>
      <c r="U212" s="45"/>
      <c r="Y212" s="45"/>
      <c r="Z212" s="45"/>
      <c r="AA212" s="45"/>
      <c r="AB212" s="45"/>
      <c r="AC212" s="45"/>
      <c r="AD212" s="45"/>
      <c r="AE212" s="45"/>
      <c r="AF212" s="45"/>
      <c r="AG212" s="45"/>
    </row>
    <row r="216" spans="1:33" ht="14.85" customHeight="1">
      <c r="A216" s="45"/>
      <c r="D216" s="45"/>
      <c r="E216" s="45"/>
      <c r="F216" s="45"/>
      <c r="G216" s="45"/>
      <c r="H216" s="45"/>
      <c r="I216" s="45"/>
      <c r="J216" s="45"/>
      <c r="L216" s="45"/>
      <c r="Q216" s="45"/>
      <c r="U216" s="45"/>
      <c r="Y216" s="45"/>
      <c r="Z216" s="45"/>
      <c r="AA216" s="45"/>
      <c r="AB216" s="45"/>
      <c r="AC216" s="45"/>
      <c r="AD216" s="45"/>
      <c r="AE216" s="45"/>
      <c r="AF216" s="45"/>
      <c r="AG216" s="45"/>
    </row>
    <row r="217" spans="1:33" ht="29.85" customHeight="1">
      <c r="A217" s="45"/>
      <c r="D217" s="45"/>
      <c r="E217" s="45"/>
      <c r="F217" s="45"/>
      <c r="G217" s="45"/>
      <c r="H217" s="45"/>
      <c r="I217" s="45"/>
      <c r="J217" s="45"/>
      <c r="L217" s="45"/>
      <c r="Q217" s="45"/>
      <c r="U217" s="45"/>
      <c r="Y217" s="45"/>
      <c r="Z217" s="45"/>
      <c r="AA217" s="45"/>
      <c r="AB217" s="45"/>
      <c r="AC217" s="45"/>
      <c r="AD217" s="45"/>
      <c r="AE217" s="45"/>
      <c r="AF217" s="45"/>
      <c r="AG217" s="45"/>
    </row>
    <row r="224" spans="1:33">
      <c r="A224" s="45"/>
      <c r="D224" s="45"/>
      <c r="E224" s="45"/>
      <c r="F224" s="45"/>
      <c r="G224" s="45"/>
      <c r="H224" s="45"/>
      <c r="I224" s="45"/>
      <c r="J224" s="45"/>
      <c r="L224" s="45"/>
      <c r="Q224" s="45"/>
      <c r="U224" s="45"/>
      <c r="Y224" s="45"/>
      <c r="Z224" s="45"/>
      <c r="AA224" s="45"/>
      <c r="AB224" s="45"/>
      <c r="AC224" s="45"/>
      <c r="AD224" s="45"/>
      <c r="AE224" s="45"/>
      <c r="AF224" s="45"/>
      <c r="AG224" s="45"/>
    </row>
    <row r="225" spans="1:33">
      <c r="A225" s="45"/>
      <c r="D225" s="45"/>
      <c r="E225" s="45"/>
      <c r="F225" s="45"/>
      <c r="G225" s="45"/>
      <c r="H225" s="45"/>
      <c r="I225" s="45"/>
      <c r="J225" s="45"/>
      <c r="L225" s="45"/>
      <c r="Q225" s="45"/>
      <c r="U225" s="45"/>
      <c r="Y225" s="45"/>
      <c r="Z225" s="45"/>
      <c r="AA225" s="45"/>
      <c r="AB225" s="45"/>
      <c r="AC225" s="45"/>
      <c r="AD225" s="45"/>
      <c r="AE225" s="45"/>
      <c r="AF225" s="45"/>
      <c r="AG225" s="45"/>
    </row>
    <row r="226" spans="1:33">
      <c r="A226" s="45"/>
      <c r="D226" s="45"/>
      <c r="E226" s="45"/>
      <c r="F226" s="45"/>
      <c r="G226" s="45"/>
      <c r="H226" s="45"/>
      <c r="I226" s="45"/>
      <c r="J226" s="45"/>
      <c r="L226" s="45"/>
      <c r="Q226" s="45"/>
      <c r="U226" s="45"/>
      <c r="Y226" s="45"/>
      <c r="Z226" s="45"/>
      <c r="AA226" s="45"/>
      <c r="AB226" s="45"/>
      <c r="AC226" s="45"/>
      <c r="AD226" s="45"/>
      <c r="AE226" s="45"/>
      <c r="AF226" s="45"/>
      <c r="AG226" s="45"/>
    </row>
    <row r="227" spans="1:33">
      <c r="A227" s="45"/>
      <c r="D227" s="45"/>
      <c r="E227" s="45"/>
      <c r="F227" s="45"/>
      <c r="G227" s="45"/>
      <c r="H227" s="45"/>
      <c r="I227" s="45"/>
      <c r="J227" s="45"/>
      <c r="L227" s="45"/>
      <c r="Q227" s="45"/>
      <c r="U227" s="45"/>
      <c r="Y227" s="45"/>
      <c r="Z227" s="45"/>
      <c r="AA227" s="45"/>
      <c r="AB227" s="45"/>
      <c r="AC227" s="45"/>
      <c r="AD227" s="45"/>
      <c r="AE227" s="45"/>
      <c r="AF227" s="45"/>
      <c r="AG227" s="45"/>
    </row>
    <row r="228" spans="1:33">
      <c r="A228" s="45"/>
      <c r="D228" s="45"/>
      <c r="E228" s="45"/>
      <c r="F228" s="45"/>
      <c r="G228" s="45"/>
      <c r="H228" s="45"/>
      <c r="I228" s="45"/>
      <c r="J228" s="45"/>
      <c r="L228" s="45"/>
      <c r="Q228" s="45"/>
      <c r="U228" s="45"/>
      <c r="Y228" s="45"/>
      <c r="Z228" s="45"/>
      <c r="AA228" s="45"/>
      <c r="AB228" s="45"/>
      <c r="AC228" s="45"/>
      <c r="AD228" s="45"/>
      <c r="AE228" s="45"/>
      <c r="AF228" s="45"/>
      <c r="AG228" s="45"/>
    </row>
    <row r="229" spans="1:33">
      <c r="A229" s="45"/>
      <c r="D229" s="45"/>
      <c r="E229" s="45"/>
      <c r="F229" s="45"/>
      <c r="G229" s="45"/>
      <c r="H229" s="45"/>
      <c r="I229" s="45"/>
      <c r="J229" s="45"/>
      <c r="L229" s="45"/>
      <c r="Q229" s="45"/>
      <c r="U229" s="45"/>
      <c r="Y229" s="45"/>
      <c r="Z229" s="45"/>
      <c r="AA229" s="45"/>
      <c r="AB229" s="45"/>
      <c r="AC229" s="45"/>
      <c r="AD229" s="45"/>
      <c r="AE229" s="45"/>
      <c r="AF229" s="45"/>
      <c r="AG229" s="45"/>
    </row>
    <row r="230" spans="1:33">
      <c r="A230" s="45"/>
      <c r="D230" s="45"/>
      <c r="E230" s="45"/>
      <c r="F230" s="45"/>
      <c r="G230" s="45"/>
      <c r="H230" s="45"/>
      <c r="I230" s="45"/>
      <c r="J230" s="45"/>
      <c r="L230" s="45"/>
      <c r="Q230" s="45"/>
      <c r="U230" s="45"/>
      <c r="Y230" s="45"/>
      <c r="Z230" s="45"/>
      <c r="AA230" s="45"/>
      <c r="AB230" s="45"/>
      <c r="AC230" s="45"/>
      <c r="AD230" s="45"/>
      <c r="AE230" s="45"/>
      <c r="AF230" s="45"/>
      <c r="AG230" s="45"/>
    </row>
    <row r="231" spans="1:33">
      <c r="A231" s="45"/>
      <c r="D231" s="45"/>
      <c r="E231" s="45"/>
      <c r="F231" s="45"/>
      <c r="G231" s="45"/>
      <c r="H231" s="45"/>
      <c r="I231" s="45"/>
      <c r="J231" s="45"/>
      <c r="L231" s="45"/>
      <c r="Q231" s="45"/>
      <c r="U231" s="45"/>
      <c r="Y231" s="45"/>
      <c r="Z231" s="45"/>
      <c r="AA231" s="45"/>
      <c r="AB231" s="45"/>
      <c r="AC231" s="45"/>
      <c r="AD231" s="45"/>
      <c r="AE231" s="45"/>
      <c r="AF231" s="45"/>
      <c r="AG231" s="45"/>
    </row>
    <row r="232" spans="1:33">
      <c r="A232" s="45"/>
      <c r="D232" s="45"/>
      <c r="E232" s="45"/>
      <c r="F232" s="45"/>
      <c r="G232" s="45"/>
      <c r="H232" s="45"/>
      <c r="I232" s="45"/>
      <c r="J232" s="45"/>
      <c r="L232" s="45"/>
      <c r="Q232" s="45"/>
      <c r="U232" s="45"/>
      <c r="Y232" s="45"/>
      <c r="Z232" s="45"/>
      <c r="AA232" s="45"/>
      <c r="AB232" s="45"/>
      <c r="AC232" s="45"/>
      <c r="AD232" s="45"/>
      <c r="AE232" s="45"/>
      <c r="AF232" s="45"/>
      <c r="AG232" s="45"/>
    </row>
    <row r="233" spans="1:33">
      <c r="A233" s="45"/>
      <c r="D233" s="45"/>
      <c r="E233" s="45"/>
      <c r="F233" s="45"/>
      <c r="G233" s="45"/>
      <c r="H233" s="45"/>
      <c r="I233" s="45"/>
      <c r="J233" s="45"/>
      <c r="L233" s="45"/>
      <c r="Q233" s="45"/>
      <c r="U233" s="45"/>
      <c r="Y233" s="45"/>
      <c r="Z233" s="45"/>
      <c r="AA233" s="45"/>
      <c r="AB233" s="45"/>
      <c r="AC233" s="45"/>
      <c r="AD233" s="45"/>
      <c r="AE233" s="45"/>
      <c r="AF233" s="45"/>
      <c r="AG233" s="45"/>
    </row>
    <row r="234" spans="1:33">
      <c r="A234" s="45"/>
      <c r="D234" s="45"/>
      <c r="E234" s="45"/>
      <c r="F234" s="45"/>
      <c r="G234" s="45"/>
      <c r="H234" s="45"/>
      <c r="I234" s="45"/>
      <c r="J234" s="45"/>
      <c r="L234" s="45"/>
      <c r="Q234" s="45"/>
      <c r="U234" s="45"/>
      <c r="Y234" s="45"/>
      <c r="Z234" s="45"/>
      <c r="AA234" s="45"/>
      <c r="AB234" s="45"/>
      <c r="AC234" s="45"/>
      <c r="AD234" s="45"/>
      <c r="AE234" s="45"/>
      <c r="AF234" s="45"/>
      <c r="AG234" s="45"/>
    </row>
    <row r="235" spans="1:33">
      <c r="A235" s="45"/>
      <c r="D235" s="45"/>
      <c r="E235" s="45"/>
      <c r="F235" s="45"/>
      <c r="G235" s="45"/>
      <c r="H235" s="45"/>
      <c r="I235" s="45"/>
      <c r="J235" s="45"/>
      <c r="L235" s="45"/>
      <c r="Q235" s="45"/>
      <c r="U235" s="45"/>
      <c r="Y235" s="45"/>
      <c r="Z235" s="45"/>
      <c r="AA235" s="45"/>
      <c r="AB235" s="45"/>
      <c r="AC235" s="45"/>
      <c r="AD235" s="45"/>
      <c r="AE235" s="45"/>
      <c r="AF235" s="45"/>
      <c r="AG235" s="45"/>
    </row>
    <row r="236" spans="1:33">
      <c r="A236" s="45"/>
      <c r="D236" s="45"/>
      <c r="E236" s="45"/>
      <c r="F236" s="45"/>
      <c r="G236" s="45"/>
      <c r="H236" s="45"/>
      <c r="I236" s="45"/>
      <c r="J236" s="45"/>
      <c r="L236" s="45"/>
      <c r="Q236" s="45"/>
      <c r="U236" s="45"/>
      <c r="Y236" s="45"/>
      <c r="Z236" s="45"/>
      <c r="AA236" s="45"/>
      <c r="AB236" s="45"/>
      <c r="AC236" s="45"/>
      <c r="AD236" s="45"/>
      <c r="AE236" s="45"/>
      <c r="AF236" s="45"/>
      <c r="AG236" s="45"/>
    </row>
    <row r="239" spans="1:33">
      <c r="A239" s="45"/>
      <c r="D239" s="45"/>
      <c r="E239" s="45"/>
      <c r="F239" s="45"/>
      <c r="G239" s="45"/>
      <c r="H239" s="45"/>
      <c r="I239" s="45"/>
      <c r="J239" s="45"/>
      <c r="L239" s="45"/>
      <c r="Q239" s="45"/>
      <c r="U239" s="45"/>
      <c r="Y239" s="45"/>
      <c r="Z239" s="45"/>
      <c r="AA239" s="45"/>
      <c r="AB239" s="45"/>
      <c r="AC239" s="45"/>
      <c r="AD239" s="45"/>
      <c r="AE239" s="45"/>
      <c r="AF239" s="45"/>
      <c r="AG239" s="45"/>
    </row>
    <row r="240" spans="1:33">
      <c r="A240" s="45"/>
      <c r="D240" s="45"/>
      <c r="E240" s="45"/>
      <c r="F240" s="45"/>
      <c r="G240" s="45"/>
      <c r="H240" s="45"/>
      <c r="I240" s="45"/>
      <c r="J240" s="45"/>
      <c r="L240" s="45"/>
      <c r="Q240" s="45"/>
      <c r="U240" s="45"/>
      <c r="Y240" s="45"/>
      <c r="Z240" s="45"/>
      <c r="AA240" s="45"/>
      <c r="AB240" s="45"/>
      <c r="AC240" s="45"/>
      <c r="AD240" s="45"/>
      <c r="AE240" s="45"/>
      <c r="AF240" s="45"/>
      <c r="AG240" s="45"/>
    </row>
    <row r="244" spans="1:33">
      <c r="A244" s="45"/>
      <c r="D244" s="45"/>
      <c r="E244" s="45"/>
      <c r="F244" s="45"/>
      <c r="G244" s="45"/>
      <c r="H244" s="45"/>
      <c r="I244" s="45"/>
      <c r="J244" s="45"/>
      <c r="L244" s="45"/>
      <c r="Q244" s="45"/>
      <c r="U244" s="45"/>
      <c r="Y244" s="45"/>
      <c r="Z244" s="45"/>
      <c r="AA244" s="45"/>
      <c r="AB244" s="45"/>
      <c r="AC244" s="45"/>
      <c r="AD244" s="45"/>
      <c r="AE244" s="45"/>
      <c r="AF244" s="45"/>
      <c r="AG244" s="45"/>
    </row>
    <row r="245" spans="1:33">
      <c r="A245" s="45"/>
      <c r="D245" s="45"/>
      <c r="E245" s="45"/>
      <c r="F245" s="45"/>
      <c r="G245" s="45"/>
      <c r="H245" s="45"/>
      <c r="I245" s="45"/>
      <c r="J245" s="45"/>
      <c r="L245" s="45"/>
      <c r="Q245" s="45"/>
      <c r="U245" s="45"/>
      <c r="Y245" s="45"/>
      <c r="Z245" s="45"/>
      <c r="AA245" s="45"/>
      <c r="AB245" s="45"/>
      <c r="AC245" s="45"/>
      <c r="AD245" s="45"/>
      <c r="AE245" s="45"/>
      <c r="AF245" s="45"/>
      <c r="AG245" s="45"/>
    </row>
  </sheetData>
  <mergeCells count="30">
    <mergeCell ref="AF7:AF10"/>
    <mergeCell ref="C7:C10"/>
    <mergeCell ref="U9:U10"/>
    <mergeCell ref="V9:X9"/>
    <mergeCell ref="Y9:Y10"/>
    <mergeCell ref="L8:O8"/>
    <mergeCell ref="L9:L10"/>
    <mergeCell ref="M9:O9"/>
    <mergeCell ref="Q9:Q10"/>
    <mergeCell ref="R9:T9"/>
    <mergeCell ref="K8:K10"/>
    <mergeCell ref="K7:O7"/>
    <mergeCell ref="P7:P10"/>
    <mergeCell ref="Q7:T8"/>
    <mergeCell ref="A1:AF1"/>
    <mergeCell ref="A3:AF3"/>
    <mergeCell ref="A2:AF2"/>
    <mergeCell ref="AE6:AF6"/>
    <mergeCell ref="A7:A10"/>
    <mergeCell ref="B7:B10"/>
    <mergeCell ref="D7:D10"/>
    <mergeCell ref="E7:E10"/>
    <mergeCell ref="F7:F10"/>
    <mergeCell ref="G7:G10"/>
    <mergeCell ref="I7:I10"/>
    <mergeCell ref="J7:J10"/>
    <mergeCell ref="Z9:AE9"/>
    <mergeCell ref="H7:H10"/>
    <mergeCell ref="U7:X8"/>
    <mergeCell ref="Y7:AE8"/>
  </mergeCells>
  <printOptions horizontalCentered="1"/>
  <pageMargins left="0.7" right="0.5" top="0.5" bottom="0.5" header="0.3" footer="0.3"/>
  <pageSetup paperSize="9" scale="35" fitToHeight="0" orientation="landscape" verticalDpi="0" r:id="rId1"/>
  <headerFooter>
    <oddFooter>&amp;C&amp;"Times New Roman,Regular"&amp;P/&amp;N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H258"/>
  <sheetViews>
    <sheetView zoomScale="80" zoomScaleNormal="80" workbookViewId="0">
      <pane xSplit="4" ySplit="13" topLeftCell="E14" activePane="bottomRight" state="frozen"/>
      <selection pane="topRight" activeCell="E1" sqref="E1"/>
      <selection pane="bottomLeft" activeCell="A14" sqref="A14"/>
      <selection pane="bottomRight" activeCell="V22" sqref="V22"/>
    </sheetView>
  </sheetViews>
  <sheetFormatPr defaultColWidth="8.85546875" defaultRowHeight="15"/>
  <cols>
    <col min="1" max="1" width="5.7109375" style="46" bestFit="1" customWidth="1"/>
    <col min="2" max="2" width="30.85546875" style="45" customWidth="1"/>
    <col min="3" max="3" width="30.85546875" style="45" hidden="1" customWidth="1"/>
    <col min="4" max="4" width="10.42578125" style="46" customWidth="1"/>
    <col min="5" max="5" width="10" style="46" customWidth="1"/>
    <col min="6" max="6" width="6.42578125" style="46" customWidth="1"/>
    <col min="7" max="7" width="11.85546875" style="47" customWidth="1"/>
    <col min="8" max="8" width="11.140625" style="46" customWidth="1"/>
    <col min="9" max="9" width="12.5703125" style="46" customWidth="1"/>
    <col min="10" max="10" width="11.85546875" style="46" customWidth="1"/>
    <col min="11" max="11" width="12.28515625" style="45" customWidth="1"/>
    <col min="12" max="12" width="12.85546875" style="48" customWidth="1"/>
    <col min="13" max="14" width="11.85546875" style="45" customWidth="1"/>
    <col min="15" max="15" width="12.5703125" style="45" customWidth="1"/>
    <col min="16" max="16" width="13.42578125" style="45" customWidth="1"/>
    <col min="17" max="17" width="11.85546875" style="48" customWidth="1"/>
    <col min="18" max="18" width="11.85546875" style="45" customWidth="1"/>
    <col min="19" max="19" width="11.28515625" style="45" customWidth="1"/>
    <col min="20" max="20" width="14.5703125" style="45" customWidth="1"/>
    <col min="21" max="21" width="11.42578125" style="49" bestFit="1" customWidth="1"/>
    <col min="22" max="22" width="11.7109375" style="45" bestFit="1" customWidth="1"/>
    <col min="23" max="23" width="12.5703125" style="45" bestFit="1" customWidth="1"/>
    <col min="24" max="24" width="12.42578125" style="45" customWidth="1"/>
    <col min="25" max="25" width="11.42578125" style="50" bestFit="1" customWidth="1"/>
    <col min="26" max="32" width="11.85546875" style="93" customWidth="1"/>
    <col min="33" max="33" width="11.85546875" style="93" hidden="1" customWidth="1"/>
    <col min="34" max="34" width="0" style="45" hidden="1" customWidth="1"/>
    <col min="35" max="16384" width="8.85546875" style="45"/>
  </cols>
  <sheetData>
    <row r="3" spans="1:34" ht="18.75">
      <c r="A3" s="228" t="s">
        <v>352</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row>
    <row r="4" spans="1:34">
      <c r="A4" s="229" t="s">
        <v>176</v>
      </c>
      <c r="B4" s="229"/>
      <c r="C4" s="229"/>
      <c r="D4" s="229"/>
      <c r="E4" s="229"/>
      <c r="F4" s="229"/>
      <c r="G4" s="229"/>
      <c r="H4" s="229"/>
      <c r="I4" s="229"/>
      <c r="J4" s="229"/>
      <c r="K4" s="229"/>
      <c r="L4" s="229"/>
      <c r="M4" s="229"/>
      <c r="N4" s="229"/>
      <c r="O4" s="229"/>
      <c r="P4" s="229"/>
      <c r="Q4" s="229"/>
      <c r="R4" s="229"/>
      <c r="S4" s="229"/>
      <c r="T4" s="229"/>
      <c r="U4" s="229"/>
      <c r="V4" s="229"/>
      <c r="W4" s="229"/>
      <c r="X4" s="229"/>
      <c r="Y4" s="229"/>
      <c r="Z4" s="229"/>
      <c r="AA4" s="229"/>
      <c r="AB4" s="229"/>
      <c r="AC4" s="229"/>
      <c r="AD4" s="229"/>
      <c r="AE4" s="229"/>
    </row>
    <row r="5" spans="1:34">
      <c r="L5" s="48">
        <f>'Nganh-Linh vuc'!L12</f>
        <v>16426222.648484001</v>
      </c>
      <c r="M5" s="48">
        <f>'Nganh-Linh vuc'!M12</f>
        <v>8862439</v>
      </c>
      <c r="N5" s="48">
        <f>'Nganh-Linh vuc'!N12</f>
        <v>821343</v>
      </c>
      <c r="O5" s="48">
        <f>'Nganh-Linh vuc'!O12</f>
        <v>6742440.648484</v>
      </c>
      <c r="P5" s="48">
        <f>'Nganh-Linh vuc'!P12</f>
        <v>10655033.75</v>
      </c>
      <c r="Q5" s="48">
        <f>'Nganh-Linh vuc'!Q12</f>
        <v>8012222</v>
      </c>
      <c r="R5" s="48">
        <f>'Nganh-Linh vuc'!R12</f>
        <v>1384210</v>
      </c>
      <c r="S5" s="48">
        <f>'Nganh-Linh vuc'!S12</f>
        <v>1011670</v>
      </c>
      <c r="T5" s="48">
        <f>'Nganh-Linh vuc'!T12</f>
        <v>5672032</v>
      </c>
      <c r="U5" s="48">
        <f>'Nganh-Linh vuc'!U12</f>
        <v>8129966</v>
      </c>
      <c r="V5" s="48">
        <f>'Nganh-Linh vuc'!V12</f>
        <v>1534210</v>
      </c>
      <c r="W5" s="48">
        <f>'Nganh-Linh vuc'!W12</f>
        <v>844862</v>
      </c>
      <c r="X5" s="48">
        <f>'Nganh-Linh vuc'!X12</f>
        <v>5750894</v>
      </c>
      <c r="Y5" s="48">
        <f>'Nganh-Linh vuc'!Y12</f>
        <v>4896443</v>
      </c>
      <c r="Z5" s="48">
        <f>'Nganh-Linh vuc'!Z12</f>
        <v>809023</v>
      </c>
      <c r="AA5" s="48">
        <f>'Nganh-Linh vuc'!AA12</f>
        <v>452620</v>
      </c>
      <c r="AB5" s="48">
        <f>'Nganh-Linh vuc'!AB12</f>
        <v>1464800</v>
      </c>
      <c r="AC5" s="48">
        <f>'Nganh-Linh vuc'!AC12</f>
        <v>400000</v>
      </c>
      <c r="AD5" s="48">
        <f>'Nganh-Linh vuc'!AD12</f>
        <v>1300000</v>
      </c>
      <c r="AE5" s="48">
        <f>'Nganh-Linh vuc'!AE12</f>
        <v>470000</v>
      </c>
      <c r="AF5" s="48">
        <f>'Nganh-Linh vuc'!AF12</f>
        <v>0</v>
      </c>
      <c r="AG5" s="94"/>
    </row>
    <row r="6" spans="1:34">
      <c r="L6" s="95">
        <f>L5-L13</f>
        <v>0</v>
      </c>
      <c r="M6" s="95">
        <f t="shared" ref="M6:AE6" si="0">M5-M13</f>
        <v>0</v>
      </c>
      <c r="N6" s="95">
        <f t="shared" si="0"/>
        <v>0</v>
      </c>
      <c r="O6" s="95">
        <f t="shared" si="0"/>
        <v>0</v>
      </c>
      <c r="P6" s="95">
        <f t="shared" si="0"/>
        <v>0</v>
      </c>
      <c r="Q6" s="95">
        <f t="shared" si="0"/>
        <v>0</v>
      </c>
      <c r="R6" s="95">
        <f t="shared" si="0"/>
        <v>0</v>
      </c>
      <c r="S6" s="95">
        <f t="shared" si="0"/>
        <v>0</v>
      </c>
      <c r="T6" s="95">
        <f t="shared" si="0"/>
        <v>0</v>
      </c>
      <c r="U6" s="95">
        <f t="shared" si="0"/>
        <v>0</v>
      </c>
      <c r="V6" s="95">
        <f t="shared" si="0"/>
        <v>0</v>
      </c>
      <c r="W6" s="95">
        <f t="shared" si="0"/>
        <v>0</v>
      </c>
      <c r="X6" s="95">
        <f t="shared" si="0"/>
        <v>0</v>
      </c>
      <c r="Y6" s="95">
        <f t="shared" si="0"/>
        <v>0</v>
      </c>
      <c r="Z6" s="95">
        <f t="shared" si="0"/>
        <v>0</v>
      </c>
      <c r="AA6" s="95">
        <f t="shared" si="0"/>
        <v>0</v>
      </c>
      <c r="AB6" s="95">
        <f t="shared" si="0"/>
        <v>0</v>
      </c>
      <c r="AC6" s="95">
        <f t="shared" si="0"/>
        <v>0</v>
      </c>
      <c r="AD6" s="95">
        <f t="shared" si="0"/>
        <v>0</v>
      </c>
      <c r="AE6" s="95">
        <f t="shared" si="0"/>
        <v>0</v>
      </c>
      <c r="AF6" s="94"/>
      <c r="AG6" s="94"/>
    </row>
    <row r="7" spans="1:34">
      <c r="P7" s="51"/>
      <c r="AB7" s="96">
        <f>1464800-AB13</f>
        <v>0</v>
      </c>
      <c r="AC7" s="96">
        <f>400000-AC13</f>
        <v>0</v>
      </c>
      <c r="AD7" s="96">
        <f>1300000-AD13</f>
        <v>0</v>
      </c>
      <c r="AE7" s="230" t="s">
        <v>4</v>
      </c>
      <c r="AF7" s="230"/>
    </row>
    <row r="8" spans="1:34" ht="13.9" customHeight="1">
      <c r="A8" s="237" t="s">
        <v>0</v>
      </c>
      <c r="B8" s="237" t="s">
        <v>7</v>
      </c>
      <c r="C8" s="238" t="s">
        <v>237</v>
      </c>
      <c r="D8" s="237" t="s">
        <v>39</v>
      </c>
      <c r="E8" s="237" t="s">
        <v>177</v>
      </c>
      <c r="F8" s="237" t="s">
        <v>178</v>
      </c>
      <c r="G8" s="236" t="s">
        <v>179</v>
      </c>
      <c r="H8" s="237" t="s">
        <v>189</v>
      </c>
      <c r="I8" s="237" t="s">
        <v>8</v>
      </c>
      <c r="J8" s="237" t="s">
        <v>40</v>
      </c>
      <c r="K8" s="237" t="s">
        <v>12</v>
      </c>
      <c r="L8" s="237"/>
      <c r="M8" s="237"/>
      <c r="N8" s="237"/>
      <c r="O8" s="237"/>
      <c r="P8" s="237" t="s">
        <v>180</v>
      </c>
      <c r="Q8" s="237" t="s">
        <v>202</v>
      </c>
      <c r="R8" s="237"/>
      <c r="S8" s="237"/>
      <c r="T8" s="237"/>
      <c r="U8" s="237" t="s">
        <v>203</v>
      </c>
      <c r="V8" s="237"/>
      <c r="W8" s="237"/>
      <c r="X8" s="237"/>
      <c r="Y8" s="236" t="s">
        <v>235</v>
      </c>
      <c r="Z8" s="236"/>
      <c r="AA8" s="236"/>
      <c r="AB8" s="236"/>
      <c r="AC8" s="236"/>
      <c r="AD8" s="236"/>
      <c r="AE8" s="236"/>
      <c r="AF8" s="236" t="s">
        <v>9</v>
      </c>
    </row>
    <row r="9" spans="1:34" ht="13.9" customHeight="1">
      <c r="A9" s="237"/>
      <c r="B9" s="237"/>
      <c r="C9" s="239"/>
      <c r="D9" s="237"/>
      <c r="E9" s="237"/>
      <c r="F9" s="237"/>
      <c r="G9" s="236"/>
      <c r="H9" s="237"/>
      <c r="I9" s="237"/>
      <c r="J9" s="237"/>
      <c r="K9" s="237" t="s">
        <v>41</v>
      </c>
      <c r="L9" s="237" t="s">
        <v>42</v>
      </c>
      <c r="M9" s="237"/>
      <c r="N9" s="237"/>
      <c r="O9" s="237"/>
      <c r="P9" s="237"/>
      <c r="Q9" s="237"/>
      <c r="R9" s="237"/>
      <c r="S9" s="237"/>
      <c r="T9" s="237"/>
      <c r="U9" s="237"/>
      <c r="V9" s="237"/>
      <c r="W9" s="237"/>
      <c r="X9" s="237"/>
      <c r="Y9" s="236"/>
      <c r="Z9" s="236"/>
      <c r="AA9" s="236"/>
      <c r="AB9" s="236"/>
      <c r="AC9" s="236"/>
      <c r="AD9" s="236"/>
      <c r="AE9" s="236"/>
      <c r="AF9" s="236"/>
    </row>
    <row r="10" spans="1:34" ht="13.9" customHeight="1">
      <c r="A10" s="237"/>
      <c r="B10" s="237"/>
      <c r="C10" s="239"/>
      <c r="D10" s="237"/>
      <c r="E10" s="237"/>
      <c r="F10" s="237"/>
      <c r="G10" s="236"/>
      <c r="H10" s="237"/>
      <c r="I10" s="237"/>
      <c r="J10" s="237"/>
      <c r="K10" s="237"/>
      <c r="L10" s="231" t="s">
        <v>10</v>
      </c>
      <c r="M10" s="237" t="s">
        <v>43</v>
      </c>
      <c r="N10" s="237"/>
      <c r="O10" s="237"/>
      <c r="P10" s="237"/>
      <c r="Q10" s="231" t="s">
        <v>11</v>
      </c>
      <c r="R10" s="237" t="s">
        <v>43</v>
      </c>
      <c r="S10" s="237"/>
      <c r="T10" s="237"/>
      <c r="U10" s="233" t="s">
        <v>11</v>
      </c>
      <c r="V10" s="237" t="s">
        <v>43</v>
      </c>
      <c r="W10" s="237"/>
      <c r="X10" s="237"/>
      <c r="Y10" s="232" t="s">
        <v>11</v>
      </c>
      <c r="Z10" s="236" t="s">
        <v>43</v>
      </c>
      <c r="AA10" s="236"/>
      <c r="AB10" s="236"/>
      <c r="AC10" s="236"/>
      <c r="AD10" s="236"/>
      <c r="AE10" s="236"/>
      <c r="AF10" s="236"/>
    </row>
    <row r="11" spans="1:34" ht="65.45" customHeight="1">
      <c r="A11" s="237"/>
      <c r="B11" s="237"/>
      <c r="C11" s="240"/>
      <c r="D11" s="237"/>
      <c r="E11" s="237"/>
      <c r="F11" s="237"/>
      <c r="G11" s="236"/>
      <c r="H11" s="237"/>
      <c r="I11" s="237"/>
      <c r="J11" s="237"/>
      <c r="K11" s="237"/>
      <c r="L11" s="231"/>
      <c r="M11" s="89" t="s">
        <v>44</v>
      </c>
      <c r="N11" s="89" t="s">
        <v>45</v>
      </c>
      <c r="O11" s="89" t="s">
        <v>46</v>
      </c>
      <c r="P11" s="237"/>
      <c r="Q11" s="231"/>
      <c r="R11" s="89" t="s">
        <v>44</v>
      </c>
      <c r="S11" s="89" t="s">
        <v>45</v>
      </c>
      <c r="T11" s="89" t="s">
        <v>46</v>
      </c>
      <c r="U11" s="235"/>
      <c r="V11" s="89" t="s">
        <v>44</v>
      </c>
      <c r="W11" s="89" t="s">
        <v>45</v>
      </c>
      <c r="X11" s="89" t="s">
        <v>46</v>
      </c>
      <c r="Y11" s="232"/>
      <c r="Z11" s="91" t="s">
        <v>44</v>
      </c>
      <c r="AA11" s="91" t="s">
        <v>45</v>
      </c>
      <c r="AB11" s="91" t="s">
        <v>47</v>
      </c>
      <c r="AC11" s="91" t="s">
        <v>48</v>
      </c>
      <c r="AD11" s="91" t="s">
        <v>49</v>
      </c>
      <c r="AE11" s="91" t="s">
        <v>50</v>
      </c>
      <c r="AF11" s="236"/>
    </row>
    <row r="12" spans="1:34" ht="13.5" customHeight="1">
      <c r="A12" s="89" t="s">
        <v>1</v>
      </c>
      <c r="B12" s="89" t="s">
        <v>2</v>
      </c>
      <c r="C12" s="88"/>
      <c r="D12" s="89">
        <v>1</v>
      </c>
      <c r="E12" s="89">
        <v>2</v>
      </c>
      <c r="F12" s="89">
        <v>2</v>
      </c>
      <c r="G12" s="89">
        <v>3</v>
      </c>
      <c r="H12" s="89">
        <v>4</v>
      </c>
      <c r="I12" s="89">
        <v>5</v>
      </c>
      <c r="J12" s="89">
        <v>6</v>
      </c>
      <c r="K12" s="89">
        <v>7</v>
      </c>
      <c r="L12" s="89">
        <v>8</v>
      </c>
      <c r="M12" s="89">
        <v>9</v>
      </c>
      <c r="N12" s="89">
        <v>10</v>
      </c>
      <c r="O12" s="89">
        <v>11</v>
      </c>
      <c r="P12" s="89">
        <v>12</v>
      </c>
      <c r="Q12" s="89">
        <v>13</v>
      </c>
      <c r="R12" s="89">
        <v>14</v>
      </c>
      <c r="S12" s="89">
        <v>15</v>
      </c>
      <c r="T12" s="89">
        <v>16</v>
      </c>
      <c r="U12" s="89">
        <v>17</v>
      </c>
      <c r="V12" s="89">
        <v>18</v>
      </c>
      <c r="W12" s="89">
        <v>19</v>
      </c>
      <c r="X12" s="89">
        <v>20</v>
      </c>
      <c r="Y12" s="89">
        <v>21</v>
      </c>
      <c r="Z12" s="89">
        <v>22</v>
      </c>
      <c r="AA12" s="89">
        <v>23</v>
      </c>
      <c r="AB12" s="89">
        <v>24</v>
      </c>
      <c r="AC12" s="89">
        <v>25</v>
      </c>
      <c r="AD12" s="89">
        <v>26</v>
      </c>
      <c r="AE12" s="89">
        <v>27</v>
      </c>
      <c r="AF12" s="89">
        <v>28</v>
      </c>
      <c r="AG12" s="89">
        <v>29</v>
      </c>
    </row>
    <row r="13" spans="1:34" s="48" customFormat="1" ht="14.25">
      <c r="A13" s="92"/>
      <c r="B13" s="92" t="s">
        <v>11</v>
      </c>
      <c r="C13" s="92"/>
      <c r="D13" s="92"/>
      <c r="E13" s="92"/>
      <c r="F13" s="92"/>
      <c r="G13" s="90"/>
      <c r="H13" s="92"/>
      <c r="I13" s="92"/>
      <c r="J13" s="92"/>
      <c r="K13" s="92"/>
      <c r="L13" s="56">
        <f t="shared" ref="L13:AD13" si="1">L14+L15+L16+L17+L18</f>
        <v>16426222.648484001</v>
      </c>
      <c r="M13" s="56">
        <f t="shared" si="1"/>
        <v>8862439</v>
      </c>
      <c r="N13" s="56">
        <f t="shared" si="1"/>
        <v>821343</v>
      </c>
      <c r="O13" s="56">
        <f t="shared" si="1"/>
        <v>6742440.648484</v>
      </c>
      <c r="P13" s="56">
        <f t="shared" si="1"/>
        <v>10655033.75</v>
      </c>
      <c r="Q13" s="56">
        <f t="shared" si="1"/>
        <v>8012222</v>
      </c>
      <c r="R13" s="56">
        <f t="shared" si="1"/>
        <v>1384210</v>
      </c>
      <c r="S13" s="56">
        <f t="shared" si="1"/>
        <v>1011670</v>
      </c>
      <c r="T13" s="56">
        <f t="shared" si="1"/>
        <v>5672032</v>
      </c>
      <c r="U13" s="56">
        <f t="shared" si="1"/>
        <v>8129966</v>
      </c>
      <c r="V13" s="56">
        <f t="shared" si="1"/>
        <v>1534210</v>
      </c>
      <c r="W13" s="56">
        <f t="shared" si="1"/>
        <v>844862</v>
      </c>
      <c r="X13" s="56">
        <f t="shared" si="1"/>
        <v>5750894</v>
      </c>
      <c r="Y13" s="56">
        <f t="shared" si="1"/>
        <v>4896443</v>
      </c>
      <c r="Z13" s="56">
        <f t="shared" si="1"/>
        <v>809023</v>
      </c>
      <c r="AA13" s="56">
        <f t="shared" si="1"/>
        <v>452620</v>
      </c>
      <c r="AB13" s="56">
        <f t="shared" si="1"/>
        <v>1464800</v>
      </c>
      <c r="AC13" s="56">
        <f t="shared" si="1"/>
        <v>400000</v>
      </c>
      <c r="AD13" s="56">
        <f t="shared" si="1"/>
        <v>1300000</v>
      </c>
      <c r="AE13" s="56">
        <f>AE14+AE15+AE16+AE17+AE18</f>
        <v>470000</v>
      </c>
      <c r="AF13" s="56"/>
      <c r="AG13" s="50">
        <f t="shared" ref="AG13:AG19" si="2">P13-U13-Y13</f>
        <v>-2371375.25</v>
      </c>
      <c r="AH13" s="95">
        <f t="shared" ref="AH13:AH19" si="3">Y13-Z13-AA13-AB13-AC13-AD13-AE13</f>
        <v>0</v>
      </c>
    </row>
    <row r="14" spans="1:34">
      <c r="A14" s="89"/>
      <c r="B14" s="54" t="s">
        <v>351</v>
      </c>
      <c r="C14" s="54"/>
      <c r="D14" s="89"/>
      <c r="E14" s="89"/>
      <c r="F14" s="89"/>
      <c r="G14" s="91"/>
      <c r="H14" s="89"/>
      <c r="I14" s="89"/>
      <c r="J14" s="89"/>
      <c r="K14" s="89"/>
      <c r="L14" s="60"/>
      <c r="M14" s="61"/>
      <c r="N14" s="61"/>
      <c r="O14" s="61"/>
      <c r="P14" s="61"/>
      <c r="Q14" s="60"/>
      <c r="R14" s="61"/>
      <c r="S14" s="61"/>
      <c r="T14" s="61"/>
      <c r="U14" s="60"/>
      <c r="V14" s="61"/>
      <c r="W14" s="61"/>
      <c r="X14" s="61"/>
      <c r="Y14" s="60">
        <f>SUM(Z14:AD14)</f>
        <v>555531</v>
      </c>
      <c r="Z14" s="57"/>
      <c r="AA14" s="57"/>
      <c r="AB14" s="57">
        <f>146480+108000-17500</f>
        <v>236980</v>
      </c>
      <c r="AC14" s="57">
        <f>40000+21400</f>
        <v>61400</v>
      </c>
      <c r="AD14" s="57">
        <f>130000+127151</f>
        <v>257151</v>
      </c>
      <c r="AE14" s="57"/>
      <c r="AF14" s="57"/>
      <c r="AG14" s="93">
        <f t="shared" si="2"/>
        <v>-555531</v>
      </c>
      <c r="AH14" s="95">
        <f t="shared" si="3"/>
        <v>0</v>
      </c>
    </row>
    <row r="15" spans="1:34">
      <c r="A15" s="89"/>
      <c r="B15" s="54" t="s">
        <v>51</v>
      </c>
      <c r="C15" s="54"/>
      <c r="D15" s="89"/>
      <c r="E15" s="89"/>
      <c r="F15" s="89"/>
      <c r="G15" s="91"/>
      <c r="H15" s="89"/>
      <c r="I15" s="89"/>
      <c r="J15" s="89"/>
      <c r="K15" s="89"/>
      <c r="L15" s="60"/>
      <c r="M15" s="61"/>
      <c r="N15" s="61"/>
      <c r="O15" s="61"/>
      <c r="P15" s="61">
        <v>225000</v>
      </c>
      <c r="Q15" s="60"/>
      <c r="R15" s="61"/>
      <c r="S15" s="61"/>
      <c r="T15" s="61"/>
      <c r="U15" s="60"/>
      <c r="V15" s="61"/>
      <c r="W15" s="61"/>
      <c r="X15" s="61"/>
      <c r="Y15" s="60">
        <f>SUM(Z15:AD15)</f>
        <v>30000</v>
      </c>
      <c r="Z15" s="57"/>
      <c r="AA15" s="57"/>
      <c r="AB15" s="57"/>
      <c r="AC15" s="57">
        <v>30000</v>
      </c>
      <c r="AD15" s="57"/>
      <c r="AE15" s="57"/>
      <c r="AF15" s="57"/>
      <c r="AG15" s="93">
        <f t="shared" si="2"/>
        <v>195000</v>
      </c>
      <c r="AH15" s="95">
        <f t="shared" si="3"/>
        <v>0</v>
      </c>
    </row>
    <row r="16" spans="1:34" hidden="1">
      <c r="A16" s="89"/>
      <c r="B16" s="54" t="s">
        <v>52</v>
      </c>
      <c r="C16" s="54"/>
      <c r="D16" s="89"/>
      <c r="E16" s="89"/>
      <c r="F16" s="89"/>
      <c r="G16" s="91"/>
      <c r="H16" s="89"/>
      <c r="I16" s="89"/>
      <c r="J16" s="89"/>
      <c r="K16" s="89"/>
      <c r="L16" s="60"/>
      <c r="M16" s="61"/>
      <c r="N16" s="61"/>
      <c r="O16" s="61"/>
      <c r="P16" s="61"/>
      <c r="Q16" s="60">
        <f>SUM(R16:T16)</f>
        <v>0</v>
      </c>
      <c r="R16" s="61"/>
      <c r="S16" s="61"/>
      <c r="T16" s="61"/>
      <c r="U16" s="60">
        <f>SUM(V16:X16)</f>
        <v>0</v>
      </c>
      <c r="V16" s="61"/>
      <c r="W16" s="61"/>
      <c r="X16" s="61"/>
      <c r="Y16" s="60">
        <f>SUM(Z16:AD16)</f>
        <v>0</v>
      </c>
      <c r="Z16" s="57"/>
      <c r="AA16" s="57"/>
      <c r="AB16" s="57"/>
      <c r="AC16" s="57"/>
      <c r="AD16" s="57"/>
      <c r="AE16" s="57"/>
      <c r="AF16" s="57"/>
      <c r="AG16" s="93">
        <f t="shared" si="2"/>
        <v>0</v>
      </c>
      <c r="AH16" s="95">
        <f t="shared" si="3"/>
        <v>0</v>
      </c>
    </row>
    <row r="17" spans="1:34" ht="30">
      <c r="A17" s="89"/>
      <c r="B17" s="54" t="s">
        <v>350</v>
      </c>
      <c r="C17" s="54"/>
      <c r="D17" s="89"/>
      <c r="E17" s="89"/>
      <c r="F17" s="89"/>
      <c r="G17" s="91"/>
      <c r="H17" s="89"/>
      <c r="I17" s="89"/>
      <c r="J17" s="89"/>
      <c r="K17" s="89"/>
      <c r="L17" s="60"/>
      <c r="M17" s="61"/>
      <c r="N17" s="61"/>
      <c r="O17" s="61"/>
      <c r="P17" s="61">
        <v>111140</v>
      </c>
      <c r="Q17" s="60">
        <f>SUM(R17:T17)</f>
        <v>71060</v>
      </c>
      <c r="R17" s="61"/>
      <c r="S17" s="61"/>
      <c r="T17" s="61">
        <f>69410+1650</f>
        <v>71060</v>
      </c>
      <c r="U17" s="60">
        <f>SUM(V17:X17)</f>
        <v>71060</v>
      </c>
      <c r="V17" s="61"/>
      <c r="W17" s="61"/>
      <c r="X17" s="61">
        <f>69410+1650</f>
        <v>71060</v>
      </c>
      <c r="Y17" s="60">
        <f>SUM(Z17:AD17)</f>
        <v>10000</v>
      </c>
      <c r="Z17" s="57"/>
      <c r="AA17" s="57"/>
      <c r="AB17" s="57">
        <v>10000</v>
      </c>
      <c r="AC17" s="57"/>
      <c r="AD17" s="57"/>
      <c r="AE17" s="57"/>
      <c r="AF17" s="57"/>
      <c r="AG17" s="93">
        <f t="shared" si="2"/>
        <v>30080</v>
      </c>
      <c r="AH17" s="95">
        <f t="shared" si="3"/>
        <v>0</v>
      </c>
    </row>
    <row r="18" spans="1:34">
      <c r="A18" s="89"/>
      <c r="B18" s="54" t="s">
        <v>53</v>
      </c>
      <c r="C18" s="54"/>
      <c r="D18" s="89"/>
      <c r="E18" s="89"/>
      <c r="F18" s="89"/>
      <c r="G18" s="91"/>
      <c r="H18" s="89"/>
      <c r="I18" s="89"/>
      <c r="J18" s="89"/>
      <c r="K18" s="89"/>
      <c r="L18" s="60">
        <f t="shared" ref="L18:AD18" si="4">L19+L20+L21+L22+L23+L24</f>
        <v>16426222.648484001</v>
      </c>
      <c r="M18" s="60">
        <f t="shared" si="4"/>
        <v>8862439</v>
      </c>
      <c r="N18" s="60">
        <f t="shared" si="4"/>
        <v>821343</v>
      </c>
      <c r="O18" s="60">
        <f t="shared" si="4"/>
        <v>6742440.648484</v>
      </c>
      <c r="P18" s="60">
        <f t="shared" si="4"/>
        <v>10318893.75</v>
      </c>
      <c r="Q18" s="60">
        <f t="shared" si="4"/>
        <v>7941162</v>
      </c>
      <c r="R18" s="60">
        <f t="shared" si="4"/>
        <v>1384210</v>
      </c>
      <c r="S18" s="60">
        <f t="shared" si="4"/>
        <v>1011670</v>
      </c>
      <c r="T18" s="60">
        <f t="shared" si="4"/>
        <v>5600972</v>
      </c>
      <c r="U18" s="60">
        <f t="shared" si="4"/>
        <v>8058906</v>
      </c>
      <c r="V18" s="60">
        <f t="shared" si="4"/>
        <v>1534210</v>
      </c>
      <c r="W18" s="60">
        <f t="shared" si="4"/>
        <v>844862</v>
      </c>
      <c r="X18" s="60">
        <f t="shared" si="4"/>
        <v>5679834</v>
      </c>
      <c r="Y18" s="60">
        <f t="shared" si="4"/>
        <v>4300912</v>
      </c>
      <c r="Z18" s="60">
        <f t="shared" si="4"/>
        <v>809023</v>
      </c>
      <c r="AA18" s="60">
        <f t="shared" si="4"/>
        <v>452620</v>
      </c>
      <c r="AB18" s="60">
        <f t="shared" si="4"/>
        <v>1217820</v>
      </c>
      <c r="AC18" s="60">
        <f t="shared" si="4"/>
        <v>308600</v>
      </c>
      <c r="AD18" s="60">
        <f t="shared" si="4"/>
        <v>1042849</v>
      </c>
      <c r="AE18" s="60">
        <f>AE19+AE20+AE21+AE22+AE23+AE24</f>
        <v>470000</v>
      </c>
      <c r="AF18" s="57"/>
      <c r="AG18" s="93">
        <f t="shared" si="2"/>
        <v>-2040924.25</v>
      </c>
      <c r="AH18" s="95">
        <f t="shared" si="3"/>
        <v>0</v>
      </c>
    </row>
    <row r="19" spans="1:34" ht="90">
      <c r="A19" s="89"/>
      <c r="B19" s="54" t="s">
        <v>54</v>
      </c>
      <c r="C19" s="54"/>
      <c r="D19" s="89"/>
      <c r="E19" s="89"/>
      <c r="F19" s="89"/>
      <c r="G19" s="91"/>
      <c r="H19" s="89"/>
      <c r="I19" s="89"/>
      <c r="J19" s="89"/>
      <c r="K19" s="89"/>
      <c r="L19" s="60"/>
      <c r="M19" s="61"/>
      <c r="N19" s="61"/>
      <c r="O19" s="61"/>
      <c r="P19" s="61">
        <v>100000</v>
      </c>
      <c r="Q19" s="60"/>
      <c r="R19" s="61"/>
      <c r="S19" s="61"/>
      <c r="T19" s="61"/>
      <c r="U19" s="60">
        <f>SUM(V19:X19)</f>
        <v>26000</v>
      </c>
      <c r="V19" s="61"/>
      <c r="W19" s="61"/>
      <c r="X19" s="61">
        <v>26000</v>
      </c>
      <c r="Y19" s="60">
        <f>SUM(Z19:AE19)</f>
        <v>45000</v>
      </c>
      <c r="Z19" s="57"/>
      <c r="AA19" s="57"/>
      <c r="AB19" s="57"/>
      <c r="AC19" s="57"/>
      <c r="AD19" s="57">
        <v>45000</v>
      </c>
      <c r="AE19" s="57"/>
      <c r="AF19" s="57"/>
      <c r="AG19" s="93">
        <f t="shared" si="2"/>
        <v>29000</v>
      </c>
      <c r="AH19" s="95">
        <f t="shared" si="3"/>
        <v>0</v>
      </c>
    </row>
    <row r="20" spans="1:34" ht="30">
      <c r="A20" s="89"/>
      <c r="B20" s="54" t="s">
        <v>353</v>
      </c>
      <c r="C20" s="54"/>
      <c r="D20" s="89"/>
      <c r="E20" s="89"/>
      <c r="F20" s="89"/>
      <c r="G20" s="91"/>
      <c r="H20" s="89"/>
      <c r="I20" s="89"/>
      <c r="J20" s="89"/>
      <c r="K20" s="89"/>
      <c r="L20" s="60"/>
      <c r="M20" s="61"/>
      <c r="N20" s="61"/>
      <c r="O20" s="61"/>
      <c r="P20" s="61"/>
      <c r="Q20" s="60"/>
      <c r="R20" s="61"/>
      <c r="S20" s="61"/>
      <c r="T20" s="61"/>
      <c r="U20" s="60"/>
      <c r="V20" s="61"/>
      <c r="W20" s="61"/>
      <c r="X20" s="61"/>
      <c r="Y20" s="60">
        <f>SUM(Z20:AD20)</f>
        <v>98000</v>
      </c>
      <c r="Z20" s="57"/>
      <c r="AA20" s="57"/>
      <c r="AB20" s="57"/>
      <c r="AC20" s="57"/>
      <c r="AD20" s="57">
        <f>25000+20000+20000+10000+5000+5000+13000</f>
        <v>98000</v>
      </c>
      <c r="AE20" s="57"/>
      <c r="AF20" s="57"/>
      <c r="AH20" s="95">
        <f>'Chu dau tu'!L109-'Chu dau tu'!U109-Y20</f>
        <v>-85779</v>
      </c>
    </row>
    <row r="21" spans="1:34" ht="75">
      <c r="A21" s="89"/>
      <c r="B21" s="54" t="s">
        <v>331</v>
      </c>
      <c r="C21" s="54"/>
      <c r="D21" s="89"/>
      <c r="E21" s="89"/>
      <c r="F21" s="89"/>
      <c r="G21" s="91"/>
      <c r="H21" s="89"/>
      <c r="I21" s="89"/>
      <c r="J21" s="89"/>
      <c r="K21" s="89"/>
      <c r="L21" s="60"/>
      <c r="M21" s="61"/>
      <c r="N21" s="61"/>
      <c r="O21" s="61"/>
      <c r="P21" s="61"/>
      <c r="Q21" s="60"/>
      <c r="R21" s="61"/>
      <c r="S21" s="61"/>
      <c r="T21" s="61"/>
      <c r="U21" s="60"/>
      <c r="V21" s="61"/>
      <c r="W21" s="61"/>
      <c r="X21" s="61"/>
      <c r="Y21" s="60">
        <f>SUM(Z21:AD21)</f>
        <v>40000</v>
      </c>
      <c r="Z21" s="57"/>
      <c r="AA21" s="57"/>
      <c r="AB21" s="57"/>
      <c r="AC21" s="57">
        <v>40000</v>
      </c>
      <c r="AD21" s="57"/>
      <c r="AE21" s="57"/>
      <c r="AF21" s="57"/>
      <c r="AH21" s="95" t="e">
        <f>#REF!-#REF!-Y21</f>
        <v>#REF!</v>
      </c>
    </row>
    <row r="22" spans="1:34" ht="30">
      <c r="A22" s="89"/>
      <c r="B22" s="54" t="s">
        <v>55</v>
      </c>
      <c r="C22" s="54"/>
      <c r="D22" s="89"/>
      <c r="E22" s="89"/>
      <c r="F22" s="89"/>
      <c r="G22" s="91"/>
      <c r="H22" s="89"/>
      <c r="I22" s="89"/>
      <c r="J22" s="89"/>
      <c r="K22" s="89"/>
      <c r="L22" s="60"/>
      <c r="M22" s="61"/>
      <c r="N22" s="61"/>
      <c r="O22" s="61"/>
      <c r="P22" s="61"/>
      <c r="Q22" s="60"/>
      <c r="R22" s="61"/>
      <c r="S22" s="61"/>
      <c r="T22" s="61"/>
      <c r="U22" s="60">
        <f>SUM(V22:X22)</f>
        <v>0</v>
      </c>
      <c r="V22" s="61"/>
      <c r="W22" s="61"/>
      <c r="X22" s="61"/>
      <c r="Y22" s="60">
        <f>SUM(Z22:AD22)</f>
        <v>1261643</v>
      </c>
      <c r="Z22" s="57">
        <v>809023</v>
      </c>
      <c r="AA22" s="57">
        <v>452620</v>
      </c>
      <c r="AB22" s="57"/>
      <c r="AC22" s="57"/>
      <c r="AD22" s="57"/>
      <c r="AE22" s="57"/>
      <c r="AF22" s="57"/>
      <c r="AG22" s="93">
        <f>P22-U22-Y22</f>
        <v>-1261643</v>
      </c>
      <c r="AH22" s="95">
        <f>Y22-Z22-AA22-AB22-AC22-AD22-AE22</f>
        <v>0</v>
      </c>
    </row>
    <row r="23" spans="1:34">
      <c r="A23" s="89"/>
      <c r="B23" s="54" t="s">
        <v>56</v>
      </c>
      <c r="C23" s="54"/>
      <c r="D23" s="89"/>
      <c r="E23" s="89"/>
      <c r="F23" s="89"/>
      <c r="G23" s="91"/>
      <c r="H23" s="89"/>
      <c r="I23" s="89"/>
      <c r="J23" s="89"/>
      <c r="K23" s="89"/>
      <c r="L23" s="60"/>
      <c r="M23" s="61"/>
      <c r="N23" s="61"/>
      <c r="O23" s="61"/>
      <c r="P23" s="61"/>
      <c r="Q23" s="60"/>
      <c r="R23" s="61"/>
      <c r="S23" s="61"/>
      <c r="T23" s="61"/>
      <c r="U23" s="60"/>
      <c r="V23" s="61"/>
      <c r="W23" s="61"/>
      <c r="X23" s="61"/>
      <c r="Y23" s="60">
        <f>SUM(Z23:AE23)</f>
        <v>470000</v>
      </c>
      <c r="Z23" s="57"/>
      <c r="AA23" s="57"/>
      <c r="AB23" s="57"/>
      <c r="AC23" s="57"/>
      <c r="AD23" s="57"/>
      <c r="AE23" s="57">
        <v>470000</v>
      </c>
      <c r="AF23" s="57"/>
      <c r="AG23" s="93">
        <f>P23-U23-Y23</f>
        <v>-470000</v>
      </c>
      <c r="AH23" s="95">
        <f>Y23-Z23-AA23-AB23-AC23-AD23-AE23</f>
        <v>0</v>
      </c>
    </row>
    <row r="24" spans="1:34">
      <c r="A24" s="89"/>
      <c r="B24" s="54" t="s">
        <v>57</v>
      </c>
      <c r="C24" s="54"/>
      <c r="D24" s="89"/>
      <c r="E24" s="89"/>
      <c r="F24" s="89"/>
      <c r="G24" s="91"/>
      <c r="H24" s="89"/>
      <c r="I24" s="89"/>
      <c r="J24" s="89"/>
      <c r="K24" s="89"/>
      <c r="L24" s="60">
        <f>L25+L143</f>
        <v>16426222.648484001</v>
      </c>
      <c r="M24" s="60">
        <f t="shared" ref="M24:AE24" si="5">M25+M143</f>
        <v>8862439</v>
      </c>
      <c r="N24" s="60">
        <f t="shared" si="5"/>
        <v>821343</v>
      </c>
      <c r="O24" s="60">
        <f t="shared" si="5"/>
        <v>6742440.648484</v>
      </c>
      <c r="P24" s="60">
        <f t="shared" si="5"/>
        <v>10218893.75</v>
      </c>
      <c r="Q24" s="60">
        <f t="shared" si="5"/>
        <v>7941162</v>
      </c>
      <c r="R24" s="60">
        <f t="shared" si="5"/>
        <v>1384210</v>
      </c>
      <c r="S24" s="60">
        <f t="shared" si="5"/>
        <v>1011670</v>
      </c>
      <c r="T24" s="60">
        <f t="shared" si="5"/>
        <v>5600972</v>
      </c>
      <c r="U24" s="60">
        <f t="shared" si="5"/>
        <v>8032906</v>
      </c>
      <c r="V24" s="60">
        <f t="shared" si="5"/>
        <v>1534210</v>
      </c>
      <c r="W24" s="60">
        <f t="shared" si="5"/>
        <v>844862</v>
      </c>
      <c r="X24" s="60">
        <f t="shared" si="5"/>
        <v>5653834</v>
      </c>
      <c r="Y24" s="60">
        <f t="shared" si="5"/>
        <v>2386269</v>
      </c>
      <c r="Z24" s="60">
        <f t="shared" si="5"/>
        <v>0</v>
      </c>
      <c r="AA24" s="60">
        <f t="shared" si="5"/>
        <v>0</v>
      </c>
      <c r="AB24" s="60">
        <f t="shared" si="5"/>
        <v>1217820</v>
      </c>
      <c r="AC24" s="60">
        <f t="shared" si="5"/>
        <v>268600</v>
      </c>
      <c r="AD24" s="60">
        <f t="shared" si="5"/>
        <v>899849</v>
      </c>
      <c r="AE24" s="60">
        <f t="shared" si="5"/>
        <v>0</v>
      </c>
      <c r="AF24" s="57"/>
      <c r="AG24" s="93">
        <f>P24-U24-Y24</f>
        <v>-200281.25</v>
      </c>
      <c r="AH24" s="95">
        <f>Y24-Z24-AA24-AB24-AC24-AD24-AE24</f>
        <v>0</v>
      </c>
    </row>
    <row r="25" spans="1:34" s="48" customFormat="1" ht="14.25">
      <c r="A25" s="92" t="s">
        <v>1</v>
      </c>
      <c r="B25" s="55" t="s">
        <v>58</v>
      </c>
      <c r="C25" s="55"/>
      <c r="D25" s="92"/>
      <c r="E25" s="92"/>
      <c r="F25" s="92"/>
      <c r="G25" s="90"/>
      <c r="H25" s="92"/>
      <c r="I25" s="92"/>
      <c r="J25" s="92"/>
      <c r="K25" s="92"/>
      <c r="L25" s="60">
        <f>L26+L29+L34+L40+L43+L46+L49+L60+L68+L71+L74+L78+L81+L91+L102+L105+L110+L117+L120+L131+L139</f>
        <v>16158747.569</v>
      </c>
      <c r="M25" s="60">
        <f t="shared" ref="M25:AE25" si="6">M26+M29+M34+M40+M43+M46+M49+M60+M68+M71+M74+M78+M81+M91+M102+M105+M110+M117+M120+M131+M139</f>
        <v>8862439</v>
      </c>
      <c r="N25" s="60">
        <f t="shared" si="6"/>
        <v>821343</v>
      </c>
      <c r="O25" s="60">
        <f t="shared" si="6"/>
        <v>6474965.5690000001</v>
      </c>
      <c r="P25" s="60">
        <f t="shared" si="6"/>
        <v>5644733.75</v>
      </c>
      <c r="Q25" s="60">
        <f t="shared" si="6"/>
        <v>5616279</v>
      </c>
      <c r="R25" s="60">
        <f t="shared" si="6"/>
        <v>1384210</v>
      </c>
      <c r="S25" s="60">
        <f t="shared" si="6"/>
        <v>1011670</v>
      </c>
      <c r="T25" s="60">
        <f t="shared" si="6"/>
        <v>3276089</v>
      </c>
      <c r="U25" s="60">
        <f t="shared" si="6"/>
        <v>5704023</v>
      </c>
      <c r="V25" s="60">
        <f t="shared" si="6"/>
        <v>1534210</v>
      </c>
      <c r="W25" s="60">
        <f t="shared" si="6"/>
        <v>844862</v>
      </c>
      <c r="X25" s="60">
        <f t="shared" si="6"/>
        <v>3324951</v>
      </c>
      <c r="Y25" s="60">
        <f t="shared" si="6"/>
        <v>1272041</v>
      </c>
      <c r="Z25" s="60">
        <f t="shared" si="6"/>
        <v>0</v>
      </c>
      <c r="AA25" s="60">
        <f t="shared" si="6"/>
        <v>0</v>
      </c>
      <c r="AB25" s="60">
        <f t="shared" si="6"/>
        <v>659592</v>
      </c>
      <c r="AC25" s="60">
        <f t="shared" si="6"/>
        <v>172600</v>
      </c>
      <c r="AD25" s="60">
        <f t="shared" si="6"/>
        <v>439849</v>
      </c>
      <c r="AE25" s="60">
        <f t="shared" si="6"/>
        <v>0</v>
      </c>
      <c r="AF25" s="56"/>
      <c r="AG25" s="50">
        <f>P25-U25-Y25</f>
        <v>-1331330.25</v>
      </c>
      <c r="AH25" s="95">
        <f>L24-U24-Y25</f>
        <v>7121275.6484840009</v>
      </c>
    </row>
    <row r="26" spans="1:34" s="107" customFormat="1" ht="28.5">
      <c r="A26" s="99" t="s">
        <v>5</v>
      </c>
      <c r="B26" s="100" t="s">
        <v>258</v>
      </c>
      <c r="C26" s="100"/>
      <c r="D26" s="99"/>
      <c r="E26" s="99"/>
      <c r="F26" s="99"/>
      <c r="G26" s="97"/>
      <c r="H26" s="99"/>
      <c r="I26" s="99"/>
      <c r="J26" s="99"/>
      <c r="K26" s="99"/>
      <c r="L26" s="103">
        <f>L27</f>
        <v>6682</v>
      </c>
      <c r="M26" s="103">
        <f t="shared" ref="M26:AE27" si="7">M27</f>
        <v>5284</v>
      </c>
      <c r="N26" s="103">
        <f t="shared" si="7"/>
        <v>0</v>
      </c>
      <c r="O26" s="103">
        <f t="shared" si="7"/>
        <v>1398</v>
      </c>
      <c r="P26" s="103">
        <f t="shared" si="7"/>
        <v>1587</v>
      </c>
      <c r="Q26" s="103">
        <f t="shared" si="7"/>
        <v>5552</v>
      </c>
      <c r="R26" s="103">
        <f t="shared" si="7"/>
        <v>4555</v>
      </c>
      <c r="S26" s="103">
        <f t="shared" si="7"/>
        <v>0</v>
      </c>
      <c r="T26" s="103">
        <f t="shared" si="7"/>
        <v>997</v>
      </c>
      <c r="U26" s="103">
        <f t="shared" si="7"/>
        <v>5552</v>
      </c>
      <c r="V26" s="103">
        <f t="shared" si="7"/>
        <v>4555</v>
      </c>
      <c r="W26" s="103">
        <f t="shared" si="7"/>
        <v>0</v>
      </c>
      <c r="X26" s="103">
        <f t="shared" si="7"/>
        <v>997</v>
      </c>
      <c r="Y26" s="103">
        <f t="shared" si="7"/>
        <v>8</v>
      </c>
      <c r="Z26" s="103">
        <f t="shared" si="7"/>
        <v>0</v>
      </c>
      <c r="AA26" s="103">
        <f t="shared" si="7"/>
        <v>0</v>
      </c>
      <c r="AB26" s="103">
        <f t="shared" si="7"/>
        <v>8</v>
      </c>
      <c r="AC26" s="103">
        <f t="shared" si="7"/>
        <v>0</v>
      </c>
      <c r="AD26" s="103">
        <f t="shared" si="7"/>
        <v>0</v>
      </c>
      <c r="AE26" s="103">
        <f t="shared" si="7"/>
        <v>0</v>
      </c>
      <c r="AF26" s="104"/>
      <c r="AG26" s="105"/>
      <c r="AH26" s="106"/>
    </row>
    <row r="27" spans="1:34" s="48" customFormat="1" ht="42.75">
      <c r="A27" s="92" t="s">
        <v>73</v>
      </c>
      <c r="B27" s="55" t="s">
        <v>190</v>
      </c>
      <c r="C27" s="55"/>
      <c r="D27" s="92"/>
      <c r="E27" s="92"/>
      <c r="F27" s="92"/>
      <c r="G27" s="90"/>
      <c r="H27" s="92"/>
      <c r="I27" s="92"/>
      <c r="J27" s="92"/>
      <c r="K27" s="92"/>
      <c r="L27" s="60">
        <f>L28</f>
        <v>6682</v>
      </c>
      <c r="M27" s="60">
        <f t="shared" si="7"/>
        <v>5284</v>
      </c>
      <c r="N27" s="60">
        <f t="shared" si="7"/>
        <v>0</v>
      </c>
      <c r="O27" s="60">
        <f t="shared" si="7"/>
        <v>1398</v>
      </c>
      <c r="P27" s="60">
        <f t="shared" si="7"/>
        <v>1587</v>
      </c>
      <c r="Q27" s="60">
        <f t="shared" si="7"/>
        <v>5552</v>
      </c>
      <c r="R27" s="60">
        <f t="shared" si="7"/>
        <v>4555</v>
      </c>
      <c r="S27" s="60">
        <f t="shared" si="7"/>
        <v>0</v>
      </c>
      <c r="T27" s="60">
        <f t="shared" si="7"/>
        <v>997</v>
      </c>
      <c r="U27" s="60">
        <f t="shared" si="7"/>
        <v>5552</v>
      </c>
      <c r="V27" s="60">
        <f t="shared" si="7"/>
        <v>4555</v>
      </c>
      <c r="W27" s="60">
        <f t="shared" si="7"/>
        <v>0</v>
      </c>
      <c r="X27" s="60">
        <f t="shared" si="7"/>
        <v>997</v>
      </c>
      <c r="Y27" s="60">
        <f t="shared" si="7"/>
        <v>8</v>
      </c>
      <c r="Z27" s="60">
        <f t="shared" si="7"/>
        <v>0</v>
      </c>
      <c r="AA27" s="60">
        <f t="shared" si="7"/>
        <v>0</v>
      </c>
      <c r="AB27" s="60">
        <f t="shared" si="7"/>
        <v>8</v>
      </c>
      <c r="AC27" s="60">
        <f t="shared" si="7"/>
        <v>0</v>
      </c>
      <c r="AD27" s="60">
        <f t="shared" si="7"/>
        <v>0</v>
      </c>
      <c r="AE27" s="60">
        <f t="shared" si="7"/>
        <v>0</v>
      </c>
      <c r="AF27" s="56"/>
      <c r="AG27" s="50">
        <f>P27-U27-Y27</f>
        <v>-3973</v>
      </c>
      <c r="AH27" s="95">
        <f>L25-U25-Y27</f>
        <v>10454716.569</v>
      </c>
    </row>
    <row r="28" spans="1:34" ht="45">
      <c r="A28" s="89">
        <v>1</v>
      </c>
      <c r="B28" s="54" t="s">
        <v>257</v>
      </c>
      <c r="C28" s="54" t="s">
        <v>258</v>
      </c>
      <c r="D28" s="89" t="s">
        <v>29</v>
      </c>
      <c r="E28" s="89" t="s">
        <v>181</v>
      </c>
      <c r="F28" s="89" t="s">
        <v>3</v>
      </c>
      <c r="G28" s="91">
        <v>7533030</v>
      </c>
      <c r="H28" s="89">
        <v>278</v>
      </c>
      <c r="I28" s="89"/>
      <c r="J28" s="89"/>
      <c r="K28" s="89" t="s">
        <v>259</v>
      </c>
      <c r="L28" s="60">
        <f>M28+O28+N28</f>
        <v>6682</v>
      </c>
      <c r="M28" s="61">
        <v>5284</v>
      </c>
      <c r="N28" s="61"/>
      <c r="O28" s="61">
        <v>1398</v>
      </c>
      <c r="P28" s="57">
        <v>1587</v>
      </c>
      <c r="Q28" s="60">
        <f>SUM(R28:T28)</f>
        <v>5552</v>
      </c>
      <c r="R28" s="61">
        <v>4555</v>
      </c>
      <c r="S28" s="61"/>
      <c r="T28" s="61">
        <v>997</v>
      </c>
      <c r="U28" s="60">
        <f>SUM(V28:X28)</f>
        <v>5552</v>
      </c>
      <c r="V28" s="61">
        <v>4555</v>
      </c>
      <c r="W28" s="61"/>
      <c r="X28" s="61">
        <v>997</v>
      </c>
      <c r="Y28" s="60">
        <f>SUM(Z28:AD28)</f>
        <v>8</v>
      </c>
      <c r="Z28" s="57"/>
      <c r="AA28" s="57"/>
      <c r="AB28" s="57">
        <v>8</v>
      </c>
      <c r="AC28" s="57"/>
      <c r="AD28" s="57"/>
      <c r="AE28" s="57"/>
      <c r="AF28" s="57"/>
      <c r="AG28" s="95"/>
      <c r="AH28" s="45" t="e">
        <f>#REF!-#REF!-Y28</f>
        <v>#REF!</v>
      </c>
    </row>
    <row r="29" spans="1:34" s="107" customFormat="1" ht="28.5">
      <c r="A29" s="99" t="s">
        <v>6</v>
      </c>
      <c r="B29" s="100" t="s">
        <v>335</v>
      </c>
      <c r="C29" s="100"/>
      <c r="D29" s="99"/>
      <c r="E29" s="99"/>
      <c r="F29" s="99"/>
      <c r="G29" s="97"/>
      <c r="H29" s="99"/>
      <c r="I29" s="99"/>
      <c r="J29" s="99"/>
      <c r="K29" s="99"/>
      <c r="L29" s="103">
        <f>L30</f>
        <v>735533</v>
      </c>
      <c r="M29" s="103">
        <f t="shared" ref="M29:AE29" si="8">M30</f>
        <v>0</v>
      </c>
      <c r="N29" s="103">
        <f t="shared" si="8"/>
        <v>208371</v>
      </c>
      <c r="O29" s="103">
        <f t="shared" si="8"/>
        <v>527162</v>
      </c>
      <c r="P29" s="103">
        <f t="shared" si="8"/>
        <v>335883</v>
      </c>
      <c r="Q29" s="103">
        <f t="shared" si="8"/>
        <v>391864</v>
      </c>
      <c r="R29" s="103">
        <f t="shared" si="8"/>
        <v>0</v>
      </c>
      <c r="S29" s="103">
        <f t="shared" si="8"/>
        <v>198300</v>
      </c>
      <c r="T29" s="103">
        <f t="shared" si="8"/>
        <v>193564</v>
      </c>
      <c r="U29" s="103">
        <f t="shared" si="8"/>
        <v>393864</v>
      </c>
      <c r="V29" s="103">
        <f t="shared" si="8"/>
        <v>0</v>
      </c>
      <c r="W29" s="103">
        <f t="shared" si="8"/>
        <v>198300</v>
      </c>
      <c r="X29" s="103">
        <f t="shared" si="8"/>
        <v>195564</v>
      </c>
      <c r="Y29" s="103">
        <f t="shared" si="8"/>
        <v>31000</v>
      </c>
      <c r="Z29" s="103">
        <f t="shared" si="8"/>
        <v>0</v>
      </c>
      <c r="AA29" s="103">
        <f t="shared" si="8"/>
        <v>0</v>
      </c>
      <c r="AB29" s="103">
        <f t="shared" si="8"/>
        <v>31000</v>
      </c>
      <c r="AC29" s="103">
        <f t="shared" si="8"/>
        <v>0</v>
      </c>
      <c r="AD29" s="103">
        <f t="shared" si="8"/>
        <v>0</v>
      </c>
      <c r="AE29" s="103">
        <f t="shared" si="8"/>
        <v>0</v>
      </c>
      <c r="AF29" s="104"/>
      <c r="AG29" s="105"/>
      <c r="AH29" s="106"/>
    </row>
    <row r="30" spans="1:34" s="48" customFormat="1">
      <c r="A30" s="92" t="s">
        <v>60</v>
      </c>
      <c r="B30" s="55" t="s">
        <v>61</v>
      </c>
      <c r="C30" s="55"/>
      <c r="D30" s="92"/>
      <c r="E30" s="92"/>
      <c r="F30" s="92"/>
      <c r="G30" s="90"/>
      <c r="H30" s="89"/>
      <c r="I30" s="92"/>
      <c r="J30" s="92"/>
      <c r="K30" s="92"/>
      <c r="L30" s="60">
        <f>SUM(L31:L33)</f>
        <v>735533</v>
      </c>
      <c r="M30" s="60">
        <f t="shared" ref="M30:AE30" si="9">SUM(M31:M33)</f>
        <v>0</v>
      </c>
      <c r="N30" s="60">
        <f t="shared" si="9"/>
        <v>208371</v>
      </c>
      <c r="O30" s="60">
        <f t="shared" si="9"/>
        <v>527162</v>
      </c>
      <c r="P30" s="60">
        <f t="shared" si="9"/>
        <v>335883</v>
      </c>
      <c r="Q30" s="60">
        <f t="shared" si="9"/>
        <v>391864</v>
      </c>
      <c r="R30" s="60">
        <f t="shared" si="9"/>
        <v>0</v>
      </c>
      <c r="S30" s="60">
        <f t="shared" si="9"/>
        <v>198300</v>
      </c>
      <c r="T30" s="60">
        <f t="shared" si="9"/>
        <v>193564</v>
      </c>
      <c r="U30" s="60">
        <f t="shared" si="9"/>
        <v>393864</v>
      </c>
      <c r="V30" s="60">
        <f t="shared" si="9"/>
        <v>0</v>
      </c>
      <c r="W30" s="60">
        <f t="shared" si="9"/>
        <v>198300</v>
      </c>
      <c r="X30" s="60">
        <f t="shared" si="9"/>
        <v>195564</v>
      </c>
      <c r="Y30" s="60">
        <f t="shared" si="9"/>
        <v>31000</v>
      </c>
      <c r="Z30" s="60">
        <f t="shared" si="9"/>
        <v>0</v>
      </c>
      <c r="AA30" s="60">
        <f t="shared" si="9"/>
        <v>0</v>
      </c>
      <c r="AB30" s="60">
        <f t="shared" si="9"/>
        <v>31000</v>
      </c>
      <c r="AC30" s="60">
        <f t="shared" si="9"/>
        <v>0</v>
      </c>
      <c r="AD30" s="60">
        <f t="shared" si="9"/>
        <v>0</v>
      </c>
      <c r="AE30" s="60">
        <f t="shared" si="9"/>
        <v>0</v>
      </c>
      <c r="AF30" s="56"/>
      <c r="AG30" s="50">
        <f>P30-U30-Y30</f>
        <v>-88981</v>
      </c>
      <c r="AH30" s="95">
        <f>'Chu dau tu'!L28-'Chu dau tu'!U28-Y30</f>
        <v>-29870</v>
      </c>
    </row>
    <row r="31" spans="1:34" ht="45">
      <c r="A31" s="89">
        <v>1</v>
      </c>
      <c r="B31" s="54" t="s">
        <v>152</v>
      </c>
      <c r="C31" s="54" t="s">
        <v>335</v>
      </c>
      <c r="D31" s="89" t="s">
        <v>29</v>
      </c>
      <c r="E31" s="89" t="s">
        <v>181</v>
      </c>
      <c r="F31" s="89" t="s">
        <v>3</v>
      </c>
      <c r="G31" s="91">
        <v>7576991</v>
      </c>
      <c r="H31" s="89">
        <v>341</v>
      </c>
      <c r="I31" s="89" t="s">
        <v>63</v>
      </c>
      <c r="J31" s="89" t="s">
        <v>153</v>
      </c>
      <c r="K31" s="89" t="s">
        <v>154</v>
      </c>
      <c r="L31" s="60">
        <f>SUM(M31:O31)</f>
        <v>5923</v>
      </c>
      <c r="M31" s="61"/>
      <c r="N31" s="61"/>
      <c r="O31" s="61">
        <v>5923</v>
      </c>
      <c r="P31" s="61">
        <v>5600</v>
      </c>
      <c r="Q31" s="60">
        <f>SUM(R31:T31)</f>
        <v>4350</v>
      </c>
      <c r="R31" s="61"/>
      <c r="S31" s="61"/>
      <c r="T31" s="61">
        <f>50+2000+2300</f>
        <v>4350</v>
      </c>
      <c r="U31" s="60">
        <f>SUM(V31:X31)</f>
        <v>4350</v>
      </c>
      <c r="V31" s="61"/>
      <c r="W31" s="61"/>
      <c r="X31" s="61">
        <f>50+2000+2300</f>
        <v>4350</v>
      </c>
      <c r="Y31" s="60">
        <f>SUM(Z31:AD31)</f>
        <v>1000</v>
      </c>
      <c r="Z31" s="57"/>
      <c r="AA31" s="57"/>
      <c r="AB31" s="57">
        <v>1000</v>
      </c>
      <c r="AC31" s="57"/>
      <c r="AD31" s="57"/>
      <c r="AE31" s="57"/>
      <c r="AF31" s="57"/>
      <c r="AG31" s="93">
        <f>P31-U31-Y31</f>
        <v>250</v>
      </c>
      <c r="AH31" s="95">
        <f>'Chu dau tu'!L55-'Chu dau tu'!U55-Y31</f>
        <v>644</v>
      </c>
    </row>
    <row r="32" spans="1:34" ht="60">
      <c r="A32" s="89">
        <v>2</v>
      </c>
      <c r="B32" s="54" t="s">
        <v>215</v>
      </c>
      <c r="C32" s="54" t="s">
        <v>335</v>
      </c>
      <c r="D32" s="89" t="s">
        <v>216</v>
      </c>
      <c r="E32" s="89" t="s">
        <v>181</v>
      </c>
      <c r="F32" s="89" t="s">
        <v>2</v>
      </c>
      <c r="G32" s="91">
        <v>7541370</v>
      </c>
      <c r="H32" s="89">
        <v>281</v>
      </c>
      <c r="I32" s="89"/>
      <c r="J32" s="89" t="s">
        <v>217</v>
      </c>
      <c r="K32" s="89" t="s">
        <v>218</v>
      </c>
      <c r="L32" s="60">
        <f>M32+O32+N32</f>
        <v>312868</v>
      </c>
      <c r="M32" s="61"/>
      <c r="N32" s="61"/>
      <c r="O32" s="61">
        <v>312868</v>
      </c>
      <c r="P32" s="57">
        <v>31283</v>
      </c>
      <c r="Q32" s="60">
        <f>SUM(R32:T32)</f>
        <v>21234</v>
      </c>
      <c r="R32" s="61"/>
      <c r="S32" s="61"/>
      <c r="T32" s="61">
        <f>1234+5000+15000</f>
        <v>21234</v>
      </c>
      <c r="U32" s="60">
        <f>SUM(V32:X32)</f>
        <v>23234</v>
      </c>
      <c r="V32" s="61"/>
      <c r="W32" s="61"/>
      <c r="X32" s="61">
        <f>3234+5000+15000</f>
        <v>23234</v>
      </c>
      <c r="Y32" s="60">
        <f>SUM(Z32:AD32)</f>
        <v>10000</v>
      </c>
      <c r="Z32" s="57"/>
      <c r="AA32" s="57"/>
      <c r="AB32" s="57">
        <v>10000</v>
      </c>
      <c r="AC32" s="57"/>
      <c r="AD32" s="57"/>
      <c r="AE32" s="57"/>
      <c r="AF32" s="57"/>
      <c r="AH32" s="95">
        <f>L30-U30-Y32</f>
        <v>331669</v>
      </c>
    </row>
    <row r="33" spans="1:34" ht="45">
      <c r="A33" s="89">
        <v>3</v>
      </c>
      <c r="B33" s="54" t="s">
        <v>15</v>
      </c>
      <c r="C33" s="54" t="s">
        <v>335</v>
      </c>
      <c r="D33" s="89" t="s">
        <v>64</v>
      </c>
      <c r="E33" s="89" t="s">
        <v>181</v>
      </c>
      <c r="F33" s="89" t="s">
        <v>2</v>
      </c>
      <c r="G33" s="91">
        <v>7021916</v>
      </c>
      <c r="H33" s="89">
        <v>283</v>
      </c>
      <c r="I33" s="89" t="s">
        <v>65</v>
      </c>
      <c r="J33" s="89" t="s">
        <v>16</v>
      </c>
      <c r="K33" s="89" t="s">
        <v>66</v>
      </c>
      <c r="L33" s="60">
        <f>SUM(M33:O33)</f>
        <v>416742</v>
      </c>
      <c r="M33" s="61"/>
      <c r="N33" s="61">
        <v>208371</v>
      </c>
      <c r="O33" s="61">
        <v>208371</v>
      </c>
      <c r="P33" s="61">
        <v>299000</v>
      </c>
      <c r="Q33" s="60">
        <f>SUM(R33:T33)</f>
        <v>366280</v>
      </c>
      <c r="R33" s="61"/>
      <c r="S33" s="61">
        <f>84300+35000+60000+19000</f>
        <v>198300</v>
      </c>
      <c r="T33" s="61">
        <f>31980+25000+60000+31000+20000</f>
        <v>167980</v>
      </c>
      <c r="U33" s="60">
        <f>SUM(V33:X33)</f>
        <v>366280</v>
      </c>
      <c r="V33" s="61"/>
      <c r="W33" s="61">
        <f>84300+35000+60000+19000</f>
        <v>198300</v>
      </c>
      <c r="X33" s="61">
        <f>31980+25000+60000+31000+20000</f>
        <v>167980</v>
      </c>
      <c r="Y33" s="60">
        <f>SUM(Z33:AD33)</f>
        <v>20000</v>
      </c>
      <c r="Z33" s="57"/>
      <c r="AA33" s="57"/>
      <c r="AB33" s="57">
        <v>20000</v>
      </c>
      <c r="AC33" s="57"/>
      <c r="AD33" s="57"/>
      <c r="AE33" s="57"/>
      <c r="AF33" s="57"/>
      <c r="AG33" s="93">
        <f>P33-U33-Y33</f>
        <v>-87280</v>
      </c>
      <c r="AH33" s="95">
        <f>L32-U32-Y33</f>
        <v>269634</v>
      </c>
    </row>
    <row r="34" spans="1:34" s="107" customFormat="1" ht="14.25">
      <c r="A34" s="99" t="s">
        <v>24</v>
      </c>
      <c r="B34" s="100" t="s">
        <v>336</v>
      </c>
      <c r="C34" s="100"/>
      <c r="D34" s="99"/>
      <c r="E34" s="99"/>
      <c r="F34" s="99"/>
      <c r="G34" s="97"/>
      <c r="H34" s="99"/>
      <c r="I34" s="99"/>
      <c r="J34" s="99"/>
      <c r="K34" s="99"/>
      <c r="L34" s="103">
        <f>L35</f>
        <v>1598307.726</v>
      </c>
      <c r="M34" s="103">
        <f t="shared" ref="M34:AE34" si="10">M35</f>
        <v>469664</v>
      </c>
      <c r="N34" s="103">
        <f t="shared" si="10"/>
        <v>0</v>
      </c>
      <c r="O34" s="103">
        <f t="shared" si="10"/>
        <v>1128643.726</v>
      </c>
      <c r="P34" s="103">
        <f t="shared" si="10"/>
        <v>1371286</v>
      </c>
      <c r="Q34" s="103">
        <f t="shared" si="10"/>
        <v>687404</v>
      </c>
      <c r="R34" s="103">
        <f t="shared" si="10"/>
        <v>0</v>
      </c>
      <c r="S34" s="103">
        <f t="shared" si="10"/>
        <v>0</v>
      </c>
      <c r="T34" s="103">
        <f t="shared" si="10"/>
        <v>687404</v>
      </c>
      <c r="U34" s="103">
        <f t="shared" si="10"/>
        <v>687404</v>
      </c>
      <c r="V34" s="103">
        <f t="shared" si="10"/>
        <v>0</v>
      </c>
      <c r="W34" s="103">
        <f t="shared" si="10"/>
        <v>0</v>
      </c>
      <c r="X34" s="103">
        <f t="shared" si="10"/>
        <v>687404</v>
      </c>
      <c r="Y34" s="103">
        <f t="shared" si="10"/>
        <v>173073</v>
      </c>
      <c r="Z34" s="103">
        <f t="shared" si="10"/>
        <v>0</v>
      </c>
      <c r="AA34" s="103">
        <f t="shared" si="10"/>
        <v>0</v>
      </c>
      <c r="AB34" s="103">
        <f t="shared" si="10"/>
        <v>23073</v>
      </c>
      <c r="AC34" s="103">
        <f t="shared" si="10"/>
        <v>0</v>
      </c>
      <c r="AD34" s="103">
        <f t="shared" si="10"/>
        <v>150000</v>
      </c>
      <c r="AE34" s="103">
        <f t="shared" si="10"/>
        <v>0</v>
      </c>
      <c r="AF34" s="104"/>
      <c r="AG34" s="105"/>
      <c r="AH34" s="106"/>
    </row>
    <row r="35" spans="1:34" s="48" customFormat="1">
      <c r="A35" s="92" t="s">
        <v>60</v>
      </c>
      <c r="B35" s="55" t="s">
        <v>61</v>
      </c>
      <c r="C35" s="55"/>
      <c r="D35" s="92"/>
      <c r="E35" s="92"/>
      <c r="F35" s="92"/>
      <c r="G35" s="90"/>
      <c r="H35" s="89"/>
      <c r="I35" s="92"/>
      <c r="J35" s="92"/>
      <c r="K35" s="92"/>
      <c r="L35" s="60">
        <f>SUM(L36:L39)</f>
        <v>1598307.726</v>
      </c>
      <c r="M35" s="60">
        <f t="shared" ref="M35:AE35" si="11">SUM(M36:M39)</f>
        <v>469664</v>
      </c>
      <c r="N35" s="60">
        <f t="shared" si="11"/>
        <v>0</v>
      </c>
      <c r="O35" s="60">
        <f t="shared" si="11"/>
        <v>1128643.726</v>
      </c>
      <c r="P35" s="60">
        <f t="shared" si="11"/>
        <v>1371286</v>
      </c>
      <c r="Q35" s="60">
        <f t="shared" si="11"/>
        <v>687404</v>
      </c>
      <c r="R35" s="60">
        <f t="shared" si="11"/>
        <v>0</v>
      </c>
      <c r="S35" s="60">
        <f t="shared" si="11"/>
        <v>0</v>
      </c>
      <c r="T35" s="60">
        <f t="shared" si="11"/>
        <v>687404</v>
      </c>
      <c r="U35" s="60">
        <f t="shared" si="11"/>
        <v>687404</v>
      </c>
      <c r="V35" s="60">
        <f t="shared" si="11"/>
        <v>0</v>
      </c>
      <c r="W35" s="60">
        <f t="shared" si="11"/>
        <v>0</v>
      </c>
      <c r="X35" s="60">
        <f t="shared" si="11"/>
        <v>687404</v>
      </c>
      <c r="Y35" s="60">
        <f t="shared" si="11"/>
        <v>173073</v>
      </c>
      <c r="Z35" s="60">
        <f t="shared" si="11"/>
        <v>0</v>
      </c>
      <c r="AA35" s="60">
        <f t="shared" si="11"/>
        <v>0</v>
      </c>
      <c r="AB35" s="60">
        <f t="shared" si="11"/>
        <v>23073</v>
      </c>
      <c r="AC35" s="60">
        <f t="shared" si="11"/>
        <v>0</v>
      </c>
      <c r="AD35" s="60">
        <f t="shared" si="11"/>
        <v>150000</v>
      </c>
      <c r="AE35" s="60">
        <f t="shared" si="11"/>
        <v>0</v>
      </c>
      <c r="AF35" s="56"/>
      <c r="AG35" s="50">
        <f>P35-U35-Y35</f>
        <v>510809</v>
      </c>
      <c r="AH35" s="95">
        <f>'Chu dau tu'!L33-'Chu dau tu'!U33-Y35</f>
        <v>-122611</v>
      </c>
    </row>
    <row r="36" spans="1:34" ht="75">
      <c r="A36" s="89">
        <v>1</v>
      </c>
      <c r="B36" s="54" t="s">
        <v>69</v>
      </c>
      <c r="C36" s="54" t="s">
        <v>336</v>
      </c>
      <c r="D36" s="89" t="s">
        <v>70</v>
      </c>
      <c r="E36" s="89" t="s">
        <v>181</v>
      </c>
      <c r="F36" s="89" t="s">
        <v>2</v>
      </c>
      <c r="G36" s="91">
        <v>7403787</v>
      </c>
      <c r="H36" s="89">
        <v>283</v>
      </c>
      <c r="I36" s="89" t="s">
        <v>65</v>
      </c>
      <c r="J36" s="89" t="s">
        <v>22</v>
      </c>
      <c r="K36" s="89" t="s">
        <v>71</v>
      </c>
      <c r="L36" s="60">
        <f>SUM(M36:O36)</f>
        <v>810742</v>
      </c>
      <c r="M36" s="61">
        <v>469664</v>
      </c>
      <c r="N36" s="61"/>
      <c r="O36" s="61">
        <v>341078</v>
      </c>
      <c r="P36" s="61">
        <v>778941</v>
      </c>
      <c r="Q36" s="60">
        <f>SUM(R36:T36)</f>
        <v>85014</v>
      </c>
      <c r="R36" s="61"/>
      <c r="S36" s="61"/>
      <c r="T36" s="61">
        <f>3300+81714</f>
        <v>85014</v>
      </c>
      <c r="U36" s="60">
        <f>SUM(V36:X36)</f>
        <v>85014</v>
      </c>
      <c r="V36" s="61"/>
      <c r="W36" s="61"/>
      <c r="X36" s="61">
        <f>3300+81714</f>
        <v>85014</v>
      </c>
      <c r="Y36" s="60">
        <f>SUM(Z36:AD36)</f>
        <v>150000</v>
      </c>
      <c r="Z36" s="57"/>
      <c r="AA36" s="57"/>
      <c r="AB36" s="57"/>
      <c r="AC36" s="57"/>
      <c r="AD36" s="57">
        <v>150000</v>
      </c>
      <c r="AE36" s="57"/>
      <c r="AF36" s="57"/>
      <c r="AG36" s="93">
        <f>P36-U36-Y36</f>
        <v>543927</v>
      </c>
      <c r="AH36" s="95">
        <f>'Chu dau tu'!L33-'Chu dau tu'!U33-Y36</f>
        <v>-99538</v>
      </c>
    </row>
    <row r="37" spans="1:34" ht="60">
      <c r="A37" s="89">
        <v>2</v>
      </c>
      <c r="B37" s="54" t="s">
        <v>238</v>
      </c>
      <c r="C37" s="54" t="s">
        <v>336</v>
      </c>
      <c r="D37" s="89" t="s">
        <v>79</v>
      </c>
      <c r="E37" s="89" t="s">
        <v>181</v>
      </c>
      <c r="F37" s="89" t="s">
        <v>2</v>
      </c>
      <c r="G37" s="91">
        <v>7175437</v>
      </c>
      <c r="H37" s="89">
        <v>223</v>
      </c>
      <c r="I37" s="89" t="s">
        <v>63</v>
      </c>
      <c r="J37" s="89" t="s">
        <v>80</v>
      </c>
      <c r="K37" s="89" t="s">
        <v>81</v>
      </c>
      <c r="L37" s="60">
        <f>SUM(M37:O37)</f>
        <v>546474</v>
      </c>
      <c r="M37" s="61"/>
      <c r="N37" s="61"/>
      <c r="O37" s="61">
        <v>546474</v>
      </c>
      <c r="P37" s="61">
        <v>363070</v>
      </c>
      <c r="Q37" s="60">
        <f>SUM(R37:T37)</f>
        <v>408806</v>
      </c>
      <c r="R37" s="61"/>
      <c r="S37" s="61"/>
      <c r="T37" s="61">
        <f>127224+11900+150000+40850+4828+74004</f>
        <v>408806</v>
      </c>
      <c r="U37" s="60">
        <f>SUM(V37:X37)</f>
        <v>408806</v>
      </c>
      <c r="V37" s="61"/>
      <c r="W37" s="61"/>
      <c r="X37" s="61">
        <f>127224+11900+150000+40850+4828+74004</f>
        <v>408806</v>
      </c>
      <c r="Y37" s="60">
        <f>SUM(Z37:AD37)</f>
        <v>13000</v>
      </c>
      <c r="Z37" s="57"/>
      <c r="AA37" s="57"/>
      <c r="AB37" s="57">
        <v>13000</v>
      </c>
      <c r="AC37" s="57"/>
      <c r="AD37" s="57"/>
      <c r="AE37" s="57"/>
      <c r="AF37" s="57"/>
      <c r="AG37" s="93">
        <f>P37-U37-Y37</f>
        <v>-58736</v>
      </c>
      <c r="AH37" s="95" t="e">
        <f>#REF!-#REF!-Y37</f>
        <v>#REF!</v>
      </c>
    </row>
    <row r="38" spans="1:34" ht="45">
      <c r="A38" s="89">
        <v>3</v>
      </c>
      <c r="B38" s="54" t="s">
        <v>82</v>
      </c>
      <c r="C38" s="54" t="s">
        <v>336</v>
      </c>
      <c r="D38" s="89" t="s">
        <v>83</v>
      </c>
      <c r="E38" s="89" t="s">
        <v>181</v>
      </c>
      <c r="F38" s="89" t="s">
        <v>2</v>
      </c>
      <c r="G38" s="91">
        <v>7564436</v>
      </c>
      <c r="H38" s="89">
        <v>223</v>
      </c>
      <c r="I38" s="89" t="s">
        <v>63</v>
      </c>
      <c r="J38" s="89" t="s">
        <v>22</v>
      </c>
      <c r="K38" s="89" t="s">
        <v>84</v>
      </c>
      <c r="L38" s="60">
        <f>SUM(M38:O38)</f>
        <v>99484.725999999995</v>
      </c>
      <c r="M38" s="61"/>
      <c r="N38" s="61"/>
      <c r="O38" s="61">
        <v>99484.725999999995</v>
      </c>
      <c r="P38" s="61">
        <v>99285</v>
      </c>
      <c r="Q38" s="60">
        <f>SUM(R38:T38)</f>
        <v>73657</v>
      </c>
      <c r="R38" s="61"/>
      <c r="S38" s="61"/>
      <c r="T38" s="61">
        <f>47511+26146</f>
        <v>73657</v>
      </c>
      <c r="U38" s="60">
        <f>SUM(V38:X38)</f>
        <v>73657</v>
      </c>
      <c r="V38" s="61"/>
      <c r="W38" s="61"/>
      <c r="X38" s="61">
        <f>47511+26146</f>
        <v>73657</v>
      </c>
      <c r="Y38" s="60">
        <f>SUM(Z38:AD38)</f>
        <v>5000</v>
      </c>
      <c r="Z38" s="57"/>
      <c r="AA38" s="57"/>
      <c r="AB38" s="57">
        <v>5000</v>
      </c>
      <c r="AC38" s="57"/>
      <c r="AD38" s="57"/>
      <c r="AE38" s="57"/>
      <c r="AF38" s="57"/>
      <c r="AG38" s="93">
        <f>P38-U38-Y38</f>
        <v>20628</v>
      </c>
      <c r="AH38" s="95">
        <f>L37-U37-Y38</f>
        <v>132668</v>
      </c>
    </row>
    <row r="39" spans="1:34" ht="45">
      <c r="A39" s="89">
        <v>4</v>
      </c>
      <c r="B39" s="54" t="s">
        <v>113</v>
      </c>
      <c r="C39" s="54" t="s">
        <v>336</v>
      </c>
      <c r="D39" s="89" t="s">
        <v>29</v>
      </c>
      <c r="E39" s="89" t="s">
        <v>181</v>
      </c>
      <c r="F39" s="89" t="s">
        <v>3</v>
      </c>
      <c r="G39" s="91">
        <v>7435684</v>
      </c>
      <c r="H39" s="89">
        <v>101</v>
      </c>
      <c r="I39" s="89" t="s">
        <v>63</v>
      </c>
      <c r="J39" s="89" t="s">
        <v>22</v>
      </c>
      <c r="K39" s="89" t="s">
        <v>114</v>
      </c>
      <c r="L39" s="60">
        <f>SUM(M39:O39)</f>
        <v>141607</v>
      </c>
      <c r="M39" s="61"/>
      <c r="N39" s="61"/>
      <c r="O39" s="61">
        <v>141607</v>
      </c>
      <c r="P39" s="61">
        <v>129990</v>
      </c>
      <c r="Q39" s="60">
        <f>SUM(R39:T39)</f>
        <v>119927</v>
      </c>
      <c r="R39" s="61"/>
      <c r="S39" s="61"/>
      <c r="T39" s="61">
        <f>400+13500+25000+81027</f>
        <v>119927</v>
      </c>
      <c r="U39" s="60">
        <f>SUM(V39:X39)</f>
        <v>119927</v>
      </c>
      <c r="V39" s="61"/>
      <c r="W39" s="61"/>
      <c r="X39" s="61">
        <f>400+13500+25000+81027</f>
        <v>119927</v>
      </c>
      <c r="Y39" s="60">
        <f>SUM(Z39:AD39)</f>
        <v>5073</v>
      </c>
      <c r="Z39" s="57"/>
      <c r="AA39" s="57"/>
      <c r="AB39" s="57">
        <v>5073</v>
      </c>
      <c r="AC39" s="57"/>
      <c r="AD39" s="57"/>
      <c r="AE39" s="57"/>
      <c r="AF39" s="57"/>
      <c r="AG39" s="93">
        <f>P39-U39-Y39</f>
        <v>4990</v>
      </c>
      <c r="AH39" s="95" t="e">
        <f>#REF!-#REF!-Y39</f>
        <v>#REF!</v>
      </c>
    </row>
    <row r="40" spans="1:34" s="107" customFormat="1" ht="14.25">
      <c r="A40" s="99" t="s">
        <v>26</v>
      </c>
      <c r="B40" s="100" t="s">
        <v>261</v>
      </c>
      <c r="C40" s="100"/>
      <c r="D40" s="99"/>
      <c r="E40" s="99"/>
      <c r="F40" s="99"/>
      <c r="G40" s="97"/>
      <c r="H40" s="99"/>
      <c r="I40" s="99"/>
      <c r="J40" s="99"/>
      <c r="K40" s="99"/>
      <c r="L40" s="103">
        <f>L41</f>
        <v>314937</v>
      </c>
      <c r="M40" s="103">
        <f t="shared" ref="M40:AE41" si="12">M41</f>
        <v>252931</v>
      </c>
      <c r="N40" s="103">
        <f t="shared" si="12"/>
        <v>0</v>
      </c>
      <c r="O40" s="103">
        <f t="shared" si="12"/>
        <v>62006</v>
      </c>
      <c r="P40" s="103">
        <f t="shared" si="12"/>
        <v>283443</v>
      </c>
      <c r="Q40" s="103">
        <f t="shared" si="12"/>
        <v>400</v>
      </c>
      <c r="R40" s="103">
        <f t="shared" si="12"/>
        <v>0</v>
      </c>
      <c r="S40" s="103">
        <f t="shared" si="12"/>
        <v>0</v>
      </c>
      <c r="T40" s="103">
        <f t="shared" si="12"/>
        <v>400</v>
      </c>
      <c r="U40" s="103">
        <f t="shared" si="12"/>
        <v>400</v>
      </c>
      <c r="V40" s="103">
        <f t="shared" si="12"/>
        <v>0</v>
      </c>
      <c r="W40" s="103">
        <f t="shared" si="12"/>
        <v>0</v>
      </c>
      <c r="X40" s="103">
        <f t="shared" si="12"/>
        <v>400</v>
      </c>
      <c r="Y40" s="103">
        <f t="shared" si="12"/>
        <v>23000</v>
      </c>
      <c r="Z40" s="103">
        <f t="shared" si="12"/>
        <v>0</v>
      </c>
      <c r="AA40" s="103">
        <f t="shared" si="12"/>
        <v>0</v>
      </c>
      <c r="AB40" s="103">
        <f t="shared" si="12"/>
        <v>23000</v>
      </c>
      <c r="AC40" s="103">
        <f t="shared" si="12"/>
        <v>0</v>
      </c>
      <c r="AD40" s="103">
        <f t="shared" si="12"/>
        <v>0</v>
      </c>
      <c r="AE40" s="103">
        <f t="shared" si="12"/>
        <v>0</v>
      </c>
      <c r="AF40" s="104"/>
      <c r="AG40" s="105"/>
      <c r="AH40" s="106"/>
    </row>
    <row r="41" spans="1:34" s="48" customFormat="1" ht="14.25">
      <c r="A41" s="92" t="s">
        <v>67</v>
      </c>
      <c r="B41" s="55" t="s">
        <v>68</v>
      </c>
      <c r="C41" s="55"/>
      <c r="D41" s="92"/>
      <c r="E41" s="92"/>
      <c r="F41" s="92"/>
      <c r="G41" s="90"/>
      <c r="H41" s="92"/>
      <c r="I41" s="92"/>
      <c r="J41" s="92"/>
      <c r="K41" s="92"/>
      <c r="L41" s="60">
        <f>L42</f>
        <v>314937</v>
      </c>
      <c r="M41" s="60">
        <f t="shared" si="12"/>
        <v>252931</v>
      </c>
      <c r="N41" s="60">
        <f t="shared" si="12"/>
        <v>0</v>
      </c>
      <c r="O41" s="60">
        <f t="shared" si="12"/>
        <v>62006</v>
      </c>
      <c r="P41" s="60">
        <f t="shared" si="12"/>
        <v>283443</v>
      </c>
      <c r="Q41" s="60">
        <f t="shared" si="12"/>
        <v>400</v>
      </c>
      <c r="R41" s="60">
        <f t="shared" si="12"/>
        <v>0</v>
      </c>
      <c r="S41" s="60">
        <f t="shared" si="12"/>
        <v>0</v>
      </c>
      <c r="T41" s="60">
        <f t="shared" si="12"/>
        <v>400</v>
      </c>
      <c r="U41" s="60">
        <f t="shared" si="12"/>
        <v>400</v>
      </c>
      <c r="V41" s="60">
        <f t="shared" si="12"/>
        <v>0</v>
      </c>
      <c r="W41" s="60">
        <f t="shared" si="12"/>
        <v>0</v>
      </c>
      <c r="X41" s="60">
        <f t="shared" si="12"/>
        <v>400</v>
      </c>
      <c r="Y41" s="60">
        <f t="shared" si="12"/>
        <v>23000</v>
      </c>
      <c r="Z41" s="60">
        <f t="shared" si="12"/>
        <v>0</v>
      </c>
      <c r="AA41" s="60">
        <f t="shared" si="12"/>
        <v>0</v>
      </c>
      <c r="AB41" s="60">
        <f t="shared" si="12"/>
        <v>23000</v>
      </c>
      <c r="AC41" s="60">
        <f t="shared" si="12"/>
        <v>0</v>
      </c>
      <c r="AD41" s="60">
        <f t="shared" si="12"/>
        <v>0</v>
      </c>
      <c r="AE41" s="60">
        <f t="shared" si="12"/>
        <v>0</v>
      </c>
      <c r="AF41" s="56"/>
      <c r="AG41" s="50">
        <f>P41-U41-Y41</f>
        <v>260043</v>
      </c>
      <c r="AH41" s="95">
        <f>'Chu dau tu'!L36-'Chu dau tu'!U36-Y41</f>
        <v>702728</v>
      </c>
    </row>
    <row r="42" spans="1:34" ht="90">
      <c r="A42" s="89">
        <v>1</v>
      </c>
      <c r="B42" s="54" t="s">
        <v>260</v>
      </c>
      <c r="C42" s="54" t="s">
        <v>261</v>
      </c>
      <c r="D42" s="89" t="s">
        <v>29</v>
      </c>
      <c r="E42" s="89" t="s">
        <v>181</v>
      </c>
      <c r="F42" s="89" t="s">
        <v>2</v>
      </c>
      <c r="G42" s="1">
        <v>7633286</v>
      </c>
      <c r="H42" s="69">
        <v>283</v>
      </c>
      <c r="I42" s="89"/>
      <c r="J42" s="89"/>
      <c r="K42" s="89" t="s">
        <v>262</v>
      </c>
      <c r="L42" s="60">
        <f>M42+O42+N42</f>
        <v>314937</v>
      </c>
      <c r="M42" s="61">
        <v>252931</v>
      </c>
      <c r="N42" s="61"/>
      <c r="O42" s="61">
        <v>62006</v>
      </c>
      <c r="P42" s="61">
        <v>283443</v>
      </c>
      <c r="Q42" s="60">
        <f>SUM(R42:T42)</f>
        <v>400</v>
      </c>
      <c r="R42" s="61"/>
      <c r="S42" s="61"/>
      <c r="T42" s="61">
        <v>400</v>
      </c>
      <c r="U42" s="60">
        <f>SUM(V42:X42)</f>
        <v>400</v>
      </c>
      <c r="V42" s="61"/>
      <c r="W42" s="61"/>
      <c r="X42" s="61">
        <v>400</v>
      </c>
      <c r="Y42" s="60">
        <f>SUM(Z42:AD42)</f>
        <v>23000</v>
      </c>
      <c r="Z42" s="57"/>
      <c r="AA42" s="57"/>
      <c r="AB42" s="57">
        <v>23000</v>
      </c>
      <c r="AC42" s="57"/>
      <c r="AD42" s="57"/>
      <c r="AE42" s="57"/>
      <c r="AF42" s="57"/>
      <c r="AH42" s="95">
        <f>L41-U41-Y42</f>
        <v>291537</v>
      </c>
    </row>
    <row r="43" spans="1:34" s="107" customFormat="1" ht="14.25">
      <c r="A43" s="99" t="s">
        <v>28</v>
      </c>
      <c r="B43" s="100" t="s">
        <v>337</v>
      </c>
      <c r="C43" s="100"/>
      <c r="D43" s="99"/>
      <c r="E43" s="99"/>
      <c r="F43" s="99"/>
      <c r="G43" s="97"/>
      <c r="H43" s="99"/>
      <c r="I43" s="99"/>
      <c r="J43" s="99"/>
      <c r="K43" s="99"/>
      <c r="L43" s="103">
        <f>L44</f>
        <v>607850</v>
      </c>
      <c r="M43" s="103">
        <f t="shared" ref="M43:AE44" si="13">M44</f>
        <v>469831</v>
      </c>
      <c r="N43" s="103">
        <f t="shared" si="13"/>
        <v>0</v>
      </c>
      <c r="O43" s="103">
        <f t="shared" si="13"/>
        <v>138019</v>
      </c>
      <c r="P43" s="103">
        <f t="shared" si="13"/>
        <v>109697</v>
      </c>
      <c r="Q43" s="103">
        <f t="shared" si="13"/>
        <v>576149</v>
      </c>
      <c r="R43" s="103">
        <f t="shared" si="13"/>
        <v>0</v>
      </c>
      <c r="S43" s="103">
        <f t="shared" si="13"/>
        <v>469831</v>
      </c>
      <c r="T43" s="103">
        <f t="shared" si="13"/>
        <v>106318</v>
      </c>
      <c r="U43" s="103">
        <f t="shared" si="13"/>
        <v>561149</v>
      </c>
      <c r="V43" s="103">
        <f t="shared" si="13"/>
        <v>0</v>
      </c>
      <c r="W43" s="103">
        <f t="shared" si="13"/>
        <v>469831</v>
      </c>
      <c r="X43" s="103">
        <f t="shared" si="13"/>
        <v>91318</v>
      </c>
      <c r="Y43" s="103">
        <f t="shared" si="13"/>
        <v>15000</v>
      </c>
      <c r="Z43" s="103">
        <f t="shared" si="13"/>
        <v>0</v>
      </c>
      <c r="AA43" s="103">
        <f t="shared" si="13"/>
        <v>0</v>
      </c>
      <c r="AB43" s="103">
        <f t="shared" si="13"/>
        <v>15000</v>
      </c>
      <c r="AC43" s="103">
        <f t="shared" si="13"/>
        <v>0</v>
      </c>
      <c r="AD43" s="103">
        <f t="shared" si="13"/>
        <v>0</v>
      </c>
      <c r="AE43" s="103">
        <f t="shared" si="13"/>
        <v>0</v>
      </c>
      <c r="AF43" s="104"/>
      <c r="AG43" s="105"/>
      <c r="AH43" s="106"/>
    </row>
    <row r="44" spans="1:34" s="48" customFormat="1" ht="42.75">
      <c r="A44" s="92" t="s">
        <v>73</v>
      </c>
      <c r="B44" s="55" t="s">
        <v>190</v>
      </c>
      <c r="C44" s="55"/>
      <c r="D44" s="92"/>
      <c r="E44" s="92"/>
      <c r="F44" s="92"/>
      <c r="G44" s="90"/>
      <c r="H44" s="92"/>
      <c r="I44" s="92"/>
      <c r="J44" s="92"/>
      <c r="K44" s="92"/>
      <c r="L44" s="60">
        <f>L45</f>
        <v>607850</v>
      </c>
      <c r="M44" s="60">
        <f t="shared" si="13"/>
        <v>469831</v>
      </c>
      <c r="N44" s="60">
        <f t="shared" si="13"/>
        <v>0</v>
      </c>
      <c r="O44" s="60">
        <f t="shared" si="13"/>
        <v>138019</v>
      </c>
      <c r="P44" s="60">
        <f t="shared" si="13"/>
        <v>109697</v>
      </c>
      <c r="Q44" s="60">
        <f t="shared" si="13"/>
        <v>576149</v>
      </c>
      <c r="R44" s="60">
        <f t="shared" si="13"/>
        <v>0</v>
      </c>
      <c r="S44" s="60">
        <f t="shared" si="13"/>
        <v>469831</v>
      </c>
      <c r="T44" s="60">
        <f t="shared" si="13"/>
        <v>106318</v>
      </c>
      <c r="U44" s="60">
        <f t="shared" si="13"/>
        <v>561149</v>
      </c>
      <c r="V44" s="60">
        <f t="shared" si="13"/>
        <v>0</v>
      </c>
      <c r="W44" s="60">
        <f t="shared" si="13"/>
        <v>469831</v>
      </c>
      <c r="X44" s="60">
        <f t="shared" si="13"/>
        <v>91318</v>
      </c>
      <c r="Y44" s="60">
        <f t="shared" si="13"/>
        <v>15000</v>
      </c>
      <c r="Z44" s="60">
        <f t="shared" si="13"/>
        <v>0</v>
      </c>
      <c r="AA44" s="60">
        <f t="shared" si="13"/>
        <v>0</v>
      </c>
      <c r="AB44" s="60">
        <f t="shared" si="13"/>
        <v>15000</v>
      </c>
      <c r="AC44" s="60">
        <f t="shared" si="13"/>
        <v>0</v>
      </c>
      <c r="AD44" s="60">
        <f t="shared" si="13"/>
        <v>0</v>
      </c>
      <c r="AE44" s="60">
        <f t="shared" si="13"/>
        <v>0</v>
      </c>
      <c r="AF44" s="56"/>
      <c r="AG44" s="50">
        <f>P44-U44-Y44</f>
        <v>-466452</v>
      </c>
      <c r="AH44" s="95">
        <f>L42-U42-Y44</f>
        <v>299537</v>
      </c>
    </row>
    <row r="45" spans="1:34" ht="60">
      <c r="A45" s="89">
        <v>1</v>
      </c>
      <c r="B45" s="54" t="s">
        <v>74</v>
      </c>
      <c r="C45" s="54" t="s">
        <v>337</v>
      </c>
      <c r="D45" s="89" t="s">
        <v>75</v>
      </c>
      <c r="E45" s="89" t="s">
        <v>181</v>
      </c>
      <c r="F45" s="89" t="s">
        <v>2</v>
      </c>
      <c r="G45" s="91">
        <v>7043803</v>
      </c>
      <c r="H45" s="101">
        <v>292</v>
      </c>
      <c r="I45" s="89" t="s">
        <v>76</v>
      </c>
      <c r="J45" s="89" t="s">
        <v>77</v>
      </c>
      <c r="K45" s="89" t="s">
        <v>78</v>
      </c>
      <c r="L45" s="60">
        <f>SUM(M45:O45)</f>
        <v>607850</v>
      </c>
      <c r="M45" s="61">
        <v>469831</v>
      </c>
      <c r="N45" s="61"/>
      <c r="O45" s="61">
        <v>138019</v>
      </c>
      <c r="P45" s="61">
        <v>109697</v>
      </c>
      <c r="Q45" s="60">
        <f>SUM(R45:T45)</f>
        <v>576149</v>
      </c>
      <c r="R45" s="61"/>
      <c r="S45" s="61">
        <v>469831</v>
      </c>
      <c r="T45" s="61">
        <f>24429+10238+35794+20857+15000</f>
        <v>106318</v>
      </c>
      <c r="U45" s="60">
        <f>SUM(V45:X45)</f>
        <v>561149</v>
      </c>
      <c r="V45" s="61"/>
      <c r="W45" s="61">
        <v>469831</v>
      </c>
      <c r="X45" s="61">
        <f>24429+10238+35794+20857</f>
        <v>91318</v>
      </c>
      <c r="Y45" s="60">
        <f>SUM(Z45:AD45)</f>
        <v>15000</v>
      </c>
      <c r="Z45" s="57"/>
      <c r="AA45" s="57"/>
      <c r="AB45" s="57">
        <v>15000</v>
      </c>
      <c r="AC45" s="57"/>
      <c r="AD45" s="57"/>
      <c r="AE45" s="57"/>
      <c r="AF45" s="57"/>
      <c r="AG45" s="93">
        <f>P45-U45-Y45</f>
        <v>-466452</v>
      </c>
      <c r="AH45" s="95" t="e">
        <f>#REF!-#REF!-Y45</f>
        <v>#REF!</v>
      </c>
    </row>
    <row r="46" spans="1:34" s="107" customFormat="1" ht="14.25">
      <c r="A46" s="99" t="s">
        <v>30</v>
      </c>
      <c r="B46" s="100" t="s">
        <v>264</v>
      </c>
      <c r="C46" s="100"/>
      <c r="D46" s="99"/>
      <c r="E46" s="99"/>
      <c r="F46" s="99"/>
      <c r="G46" s="97"/>
      <c r="H46" s="99"/>
      <c r="I46" s="99"/>
      <c r="J46" s="99"/>
      <c r="K46" s="99"/>
      <c r="L46" s="103">
        <f>L47</f>
        <v>8766</v>
      </c>
      <c r="M46" s="103">
        <f t="shared" ref="M46:AE47" si="14">M47</f>
        <v>0</v>
      </c>
      <c r="N46" s="103">
        <f t="shared" si="14"/>
        <v>0</v>
      </c>
      <c r="O46" s="103">
        <f t="shared" si="14"/>
        <v>8766</v>
      </c>
      <c r="P46" s="103">
        <f t="shared" si="14"/>
        <v>8766</v>
      </c>
      <c r="Q46" s="103">
        <f t="shared" si="14"/>
        <v>8000</v>
      </c>
      <c r="R46" s="103">
        <f t="shared" si="14"/>
        <v>0</v>
      </c>
      <c r="S46" s="103">
        <f t="shared" si="14"/>
        <v>0</v>
      </c>
      <c r="T46" s="103">
        <f t="shared" si="14"/>
        <v>8000</v>
      </c>
      <c r="U46" s="103">
        <f t="shared" si="14"/>
        <v>8000</v>
      </c>
      <c r="V46" s="103">
        <f t="shared" si="14"/>
        <v>0</v>
      </c>
      <c r="W46" s="103">
        <f t="shared" si="14"/>
        <v>0</v>
      </c>
      <c r="X46" s="103">
        <f t="shared" si="14"/>
        <v>8000</v>
      </c>
      <c r="Y46" s="103">
        <f t="shared" si="14"/>
        <v>400</v>
      </c>
      <c r="Z46" s="103">
        <f t="shared" si="14"/>
        <v>0</v>
      </c>
      <c r="AA46" s="103">
        <f t="shared" si="14"/>
        <v>0</v>
      </c>
      <c r="AB46" s="103">
        <f t="shared" si="14"/>
        <v>400</v>
      </c>
      <c r="AC46" s="103">
        <f t="shared" si="14"/>
        <v>0</v>
      </c>
      <c r="AD46" s="103">
        <f t="shared" si="14"/>
        <v>0</v>
      </c>
      <c r="AE46" s="103">
        <f t="shared" si="14"/>
        <v>0</v>
      </c>
      <c r="AF46" s="104"/>
      <c r="AG46" s="105"/>
      <c r="AH46" s="106"/>
    </row>
    <row r="47" spans="1:34" s="121" customFormat="1">
      <c r="A47" s="114" t="s">
        <v>60</v>
      </c>
      <c r="B47" s="115" t="s">
        <v>61</v>
      </c>
      <c r="C47" s="115"/>
      <c r="D47" s="114"/>
      <c r="E47" s="114"/>
      <c r="F47" s="114"/>
      <c r="G47" s="116"/>
      <c r="H47" s="122"/>
      <c r="I47" s="114"/>
      <c r="J47" s="114"/>
      <c r="K47" s="114"/>
      <c r="L47" s="117">
        <f>L48</f>
        <v>8766</v>
      </c>
      <c r="M47" s="117">
        <f t="shared" si="14"/>
        <v>0</v>
      </c>
      <c r="N47" s="117">
        <f t="shared" si="14"/>
        <v>0</v>
      </c>
      <c r="O47" s="117">
        <f t="shared" si="14"/>
        <v>8766</v>
      </c>
      <c r="P47" s="117">
        <f t="shared" si="14"/>
        <v>8766</v>
      </c>
      <c r="Q47" s="117">
        <f t="shared" si="14"/>
        <v>8000</v>
      </c>
      <c r="R47" s="117">
        <f t="shared" si="14"/>
        <v>0</v>
      </c>
      <c r="S47" s="117">
        <f t="shared" si="14"/>
        <v>0</v>
      </c>
      <c r="T47" s="117">
        <f t="shared" si="14"/>
        <v>8000</v>
      </c>
      <c r="U47" s="117">
        <f t="shared" si="14"/>
        <v>8000</v>
      </c>
      <c r="V47" s="117">
        <f t="shared" si="14"/>
        <v>0</v>
      </c>
      <c r="W47" s="117">
        <f t="shared" si="14"/>
        <v>0</v>
      </c>
      <c r="X47" s="117">
        <f t="shared" si="14"/>
        <v>8000</v>
      </c>
      <c r="Y47" s="117">
        <f t="shared" si="14"/>
        <v>400</v>
      </c>
      <c r="Z47" s="117">
        <f t="shared" si="14"/>
        <v>0</v>
      </c>
      <c r="AA47" s="117">
        <f t="shared" si="14"/>
        <v>0</v>
      </c>
      <c r="AB47" s="117">
        <f t="shared" si="14"/>
        <v>400</v>
      </c>
      <c r="AC47" s="117">
        <f t="shared" si="14"/>
        <v>0</v>
      </c>
      <c r="AD47" s="117">
        <f t="shared" si="14"/>
        <v>0</v>
      </c>
      <c r="AE47" s="117">
        <f t="shared" si="14"/>
        <v>0</v>
      </c>
      <c r="AF47" s="118"/>
      <c r="AG47" s="119">
        <f>P47-U47-Y47</f>
        <v>366</v>
      </c>
      <c r="AH47" s="120">
        <f>'Chu dau tu'!L45-'Chu dau tu'!U45-Y47</f>
        <v>46301</v>
      </c>
    </row>
    <row r="48" spans="1:34" s="129" customFormat="1" ht="45">
      <c r="A48" s="122">
        <v>1</v>
      </c>
      <c r="B48" s="123" t="s">
        <v>233</v>
      </c>
      <c r="C48" s="123" t="s">
        <v>264</v>
      </c>
      <c r="D48" s="122" t="s">
        <v>14</v>
      </c>
      <c r="E48" s="122" t="s">
        <v>181</v>
      </c>
      <c r="F48" s="122" t="s">
        <v>3</v>
      </c>
      <c r="G48" s="124">
        <v>7004686</v>
      </c>
      <c r="H48" s="125" t="s">
        <v>364</v>
      </c>
      <c r="I48" s="122" t="s">
        <v>105</v>
      </c>
      <c r="J48" s="122" t="s">
        <v>25</v>
      </c>
      <c r="K48" s="122" t="s">
        <v>234</v>
      </c>
      <c r="L48" s="117">
        <f>SUM(M48:O48)</f>
        <v>8766</v>
      </c>
      <c r="M48" s="126"/>
      <c r="N48" s="126"/>
      <c r="O48" s="126">
        <v>8766</v>
      </c>
      <c r="P48" s="126">
        <v>8766</v>
      </c>
      <c r="Q48" s="117">
        <f>SUM(R48:T48)</f>
        <v>8000</v>
      </c>
      <c r="R48" s="126"/>
      <c r="S48" s="126"/>
      <c r="T48" s="126">
        <v>8000</v>
      </c>
      <c r="U48" s="117">
        <f>SUM(V48:X48)</f>
        <v>8000</v>
      </c>
      <c r="V48" s="126"/>
      <c r="W48" s="126"/>
      <c r="X48" s="126">
        <f>3000+5000</f>
        <v>8000</v>
      </c>
      <c r="Y48" s="117">
        <f>SUM(Z48:AD48)</f>
        <v>400</v>
      </c>
      <c r="Z48" s="127"/>
      <c r="AA48" s="127"/>
      <c r="AB48" s="127">
        <v>400</v>
      </c>
      <c r="AC48" s="127"/>
      <c r="AD48" s="127"/>
      <c r="AE48" s="127"/>
      <c r="AF48" s="127"/>
      <c r="AG48" s="128"/>
      <c r="AH48" s="120">
        <f>'Chu dau tu'!L45-'Chu dau tu'!U45-Y48</f>
        <v>46301</v>
      </c>
    </row>
    <row r="49" spans="1:34" s="107" customFormat="1" ht="14.25">
      <c r="A49" s="99" t="s">
        <v>31</v>
      </c>
      <c r="B49" s="100" t="s">
        <v>338</v>
      </c>
      <c r="C49" s="100"/>
      <c r="D49" s="99"/>
      <c r="E49" s="99"/>
      <c r="F49" s="99"/>
      <c r="G49" s="97"/>
      <c r="H49" s="99"/>
      <c r="I49" s="99"/>
      <c r="J49" s="99"/>
      <c r="K49" s="99"/>
      <c r="L49" s="103">
        <f>L50</f>
        <v>583829.84299999999</v>
      </c>
      <c r="M49" s="103">
        <f t="shared" ref="M49:AE49" si="15">M50</f>
        <v>0</v>
      </c>
      <c r="N49" s="103">
        <f t="shared" si="15"/>
        <v>100000</v>
      </c>
      <c r="O49" s="103">
        <f t="shared" si="15"/>
        <v>483829.84299999999</v>
      </c>
      <c r="P49" s="103">
        <f t="shared" si="15"/>
        <v>559649.75</v>
      </c>
      <c r="Q49" s="103">
        <f t="shared" si="15"/>
        <v>201610</v>
      </c>
      <c r="R49" s="103">
        <f t="shared" si="15"/>
        <v>0</v>
      </c>
      <c r="S49" s="103">
        <f t="shared" si="15"/>
        <v>0</v>
      </c>
      <c r="T49" s="103">
        <f t="shared" si="15"/>
        <v>201610</v>
      </c>
      <c r="U49" s="103">
        <f t="shared" si="15"/>
        <v>202584</v>
      </c>
      <c r="V49" s="103">
        <f t="shared" si="15"/>
        <v>0</v>
      </c>
      <c r="W49" s="103">
        <f t="shared" si="15"/>
        <v>0</v>
      </c>
      <c r="X49" s="103">
        <f t="shared" si="15"/>
        <v>202584</v>
      </c>
      <c r="Y49" s="103">
        <f t="shared" si="15"/>
        <v>81549</v>
      </c>
      <c r="Z49" s="103">
        <f t="shared" si="15"/>
        <v>0</v>
      </c>
      <c r="AA49" s="103">
        <f t="shared" si="15"/>
        <v>0</v>
      </c>
      <c r="AB49" s="103">
        <f t="shared" si="15"/>
        <v>43000</v>
      </c>
      <c r="AC49" s="103">
        <f t="shared" si="15"/>
        <v>10700</v>
      </c>
      <c r="AD49" s="103">
        <f t="shared" si="15"/>
        <v>27849</v>
      </c>
      <c r="AE49" s="103">
        <f t="shared" si="15"/>
        <v>0</v>
      </c>
      <c r="AF49" s="104"/>
      <c r="AG49" s="105"/>
      <c r="AH49" s="106"/>
    </row>
    <row r="50" spans="1:34" s="48" customFormat="1">
      <c r="A50" s="92" t="s">
        <v>60</v>
      </c>
      <c r="B50" s="55" t="s">
        <v>61</v>
      </c>
      <c r="C50" s="55"/>
      <c r="D50" s="92"/>
      <c r="E50" s="92"/>
      <c r="F50" s="92"/>
      <c r="G50" s="90"/>
      <c r="H50" s="89"/>
      <c r="I50" s="92"/>
      <c r="J50" s="92"/>
      <c r="K50" s="92"/>
      <c r="L50" s="60">
        <f>SUM(L51:L59)</f>
        <v>583829.84299999999</v>
      </c>
      <c r="M50" s="60">
        <f t="shared" ref="M50:AE50" si="16">SUM(M51:M59)</f>
        <v>0</v>
      </c>
      <c r="N50" s="60">
        <f t="shared" si="16"/>
        <v>100000</v>
      </c>
      <c r="O50" s="60">
        <f t="shared" si="16"/>
        <v>483829.84299999999</v>
      </c>
      <c r="P50" s="60">
        <f t="shared" si="16"/>
        <v>559649.75</v>
      </c>
      <c r="Q50" s="60">
        <f t="shared" si="16"/>
        <v>201610</v>
      </c>
      <c r="R50" s="60">
        <f t="shared" si="16"/>
        <v>0</v>
      </c>
      <c r="S50" s="60">
        <f t="shared" si="16"/>
        <v>0</v>
      </c>
      <c r="T50" s="60">
        <f t="shared" si="16"/>
        <v>201610</v>
      </c>
      <c r="U50" s="60">
        <f t="shared" si="16"/>
        <v>202584</v>
      </c>
      <c r="V50" s="60">
        <f t="shared" si="16"/>
        <v>0</v>
      </c>
      <c r="W50" s="60">
        <f t="shared" si="16"/>
        <v>0</v>
      </c>
      <c r="X50" s="60">
        <f t="shared" si="16"/>
        <v>202584</v>
      </c>
      <c r="Y50" s="60">
        <f t="shared" si="16"/>
        <v>81549</v>
      </c>
      <c r="Z50" s="60">
        <f t="shared" si="16"/>
        <v>0</v>
      </c>
      <c r="AA50" s="60">
        <f t="shared" si="16"/>
        <v>0</v>
      </c>
      <c r="AB50" s="60">
        <f t="shared" si="16"/>
        <v>43000</v>
      </c>
      <c r="AC50" s="60">
        <f t="shared" si="16"/>
        <v>10700</v>
      </c>
      <c r="AD50" s="60">
        <f t="shared" si="16"/>
        <v>27849</v>
      </c>
      <c r="AE50" s="60">
        <f t="shared" si="16"/>
        <v>0</v>
      </c>
      <c r="AF50" s="56"/>
      <c r="AG50" s="50">
        <f>P50-U50-Y50</f>
        <v>275516.75</v>
      </c>
      <c r="AH50" s="95">
        <f>'Chu dau tu'!L48-'Chu dau tu'!U48-Y50</f>
        <v>-80783</v>
      </c>
    </row>
    <row r="51" spans="1:34" ht="60">
      <c r="A51" s="89">
        <v>1</v>
      </c>
      <c r="B51" s="54" t="s">
        <v>87</v>
      </c>
      <c r="C51" s="54" t="s">
        <v>338</v>
      </c>
      <c r="D51" s="89" t="s">
        <v>88</v>
      </c>
      <c r="E51" s="89" t="s">
        <v>181</v>
      </c>
      <c r="F51" s="89" t="s">
        <v>3</v>
      </c>
      <c r="G51" s="91">
        <v>7545459</v>
      </c>
      <c r="H51" s="89">
        <v>223</v>
      </c>
      <c r="I51" s="89" t="s">
        <v>85</v>
      </c>
      <c r="J51" s="89" t="s">
        <v>25</v>
      </c>
      <c r="K51" s="89" t="s">
        <v>89</v>
      </c>
      <c r="L51" s="60">
        <f>SUM(M51:O51)</f>
        <v>21395</v>
      </c>
      <c r="M51" s="61"/>
      <c r="N51" s="61"/>
      <c r="O51" s="61">
        <v>21395</v>
      </c>
      <c r="P51" s="61">
        <v>20895</v>
      </c>
      <c r="Q51" s="60">
        <f t="shared" ref="Q51:Q59" si="17">SUM(R51:T51)</f>
        <v>6800</v>
      </c>
      <c r="R51" s="61"/>
      <c r="S51" s="61"/>
      <c r="T51" s="61">
        <f>500+6300</f>
        <v>6800</v>
      </c>
      <c r="U51" s="60">
        <f t="shared" ref="U51:U59" si="18">SUM(V51:X51)</f>
        <v>6800</v>
      </c>
      <c r="V51" s="61"/>
      <c r="W51" s="61"/>
      <c r="X51" s="61">
        <f>500+6300</f>
        <v>6800</v>
      </c>
      <c r="Y51" s="60">
        <f t="shared" ref="Y51:Y59" si="19">SUM(Z51:AD51)</f>
        <v>10700</v>
      </c>
      <c r="Z51" s="57"/>
      <c r="AA51" s="57"/>
      <c r="AB51" s="57"/>
      <c r="AC51" s="57">
        <v>10700</v>
      </c>
      <c r="AD51" s="57"/>
      <c r="AE51" s="57"/>
      <c r="AF51" s="57"/>
      <c r="AG51" s="93">
        <f>P51-U51-Y51</f>
        <v>3395</v>
      </c>
      <c r="AH51" s="95">
        <f>'Chu dau tu'!L38-'Chu dau tu'!U38-Y51</f>
        <v>15127.725999999995</v>
      </c>
    </row>
    <row r="52" spans="1:34" ht="90">
      <c r="A52" s="89">
        <v>2</v>
      </c>
      <c r="B52" s="54" t="s">
        <v>19</v>
      </c>
      <c r="C52" s="54" t="s">
        <v>338</v>
      </c>
      <c r="D52" s="89" t="s">
        <v>17</v>
      </c>
      <c r="E52" s="89" t="s">
        <v>181</v>
      </c>
      <c r="F52" s="89" t="s">
        <v>2</v>
      </c>
      <c r="G52" s="91">
        <v>7466791</v>
      </c>
      <c r="H52" s="89">
        <v>223</v>
      </c>
      <c r="I52" s="89" t="s">
        <v>239</v>
      </c>
      <c r="J52" s="89" t="s">
        <v>18</v>
      </c>
      <c r="K52" s="91" t="s">
        <v>20</v>
      </c>
      <c r="L52" s="60">
        <f>SUM(M52:O52)</f>
        <v>137185</v>
      </c>
      <c r="M52" s="57"/>
      <c r="N52" s="57">
        <v>100000</v>
      </c>
      <c r="O52" s="61">
        <v>37185</v>
      </c>
      <c r="P52" s="61">
        <v>135650</v>
      </c>
      <c r="Q52" s="60">
        <f t="shared" si="17"/>
        <v>15000</v>
      </c>
      <c r="R52" s="61"/>
      <c r="S52" s="61"/>
      <c r="T52" s="61">
        <v>15000</v>
      </c>
      <c r="U52" s="60">
        <f t="shared" si="18"/>
        <v>15000</v>
      </c>
      <c r="V52" s="61"/>
      <c r="W52" s="61"/>
      <c r="X52" s="61">
        <v>15000</v>
      </c>
      <c r="Y52" s="60">
        <f t="shared" si="19"/>
        <v>25000</v>
      </c>
      <c r="Z52" s="57"/>
      <c r="AA52" s="57"/>
      <c r="AB52" s="57">
        <v>25000</v>
      </c>
      <c r="AC52" s="57"/>
      <c r="AD52" s="57"/>
      <c r="AE52" s="57"/>
      <c r="AF52" s="57"/>
      <c r="AH52" s="95">
        <f>'Chu dau tu'!L51-'Chu dau tu'!U51-Y52</f>
        <v>-10405</v>
      </c>
    </row>
    <row r="53" spans="1:34" ht="45">
      <c r="A53" s="89">
        <v>3</v>
      </c>
      <c r="B53" s="54" t="s">
        <v>115</v>
      </c>
      <c r="C53" s="54" t="s">
        <v>338</v>
      </c>
      <c r="D53" s="89" t="s">
        <v>29</v>
      </c>
      <c r="E53" s="89" t="s">
        <v>181</v>
      </c>
      <c r="F53" s="89" t="s">
        <v>3</v>
      </c>
      <c r="G53" s="91">
        <v>7541959</v>
      </c>
      <c r="H53" s="89">
        <v>101</v>
      </c>
      <c r="I53" s="89" t="s">
        <v>96</v>
      </c>
      <c r="J53" s="89" t="s">
        <v>25</v>
      </c>
      <c r="K53" s="89" t="s">
        <v>116</v>
      </c>
      <c r="L53" s="60">
        <f>SUM(M53:O53)</f>
        <v>42503</v>
      </c>
      <c r="M53" s="61"/>
      <c r="N53" s="61"/>
      <c r="O53" s="61">
        <v>42503</v>
      </c>
      <c r="P53" s="61">
        <v>41261</v>
      </c>
      <c r="Q53" s="60">
        <f t="shared" si="17"/>
        <v>26700</v>
      </c>
      <c r="R53" s="61"/>
      <c r="S53" s="61"/>
      <c r="T53" s="61">
        <f>10000+16700</f>
        <v>26700</v>
      </c>
      <c r="U53" s="60">
        <f t="shared" si="18"/>
        <v>26700</v>
      </c>
      <c r="V53" s="61"/>
      <c r="W53" s="61"/>
      <c r="X53" s="61">
        <f>10000+16700</f>
        <v>26700</v>
      </c>
      <c r="Y53" s="60">
        <f t="shared" si="19"/>
        <v>13000</v>
      </c>
      <c r="Z53" s="57"/>
      <c r="AA53" s="57"/>
      <c r="AB53" s="57">
        <v>13000</v>
      </c>
      <c r="AC53" s="57"/>
      <c r="AD53" s="57"/>
      <c r="AE53" s="57"/>
      <c r="AF53" s="57"/>
      <c r="AG53" s="93">
        <f>P53-U53-Y53</f>
        <v>1561</v>
      </c>
      <c r="AH53" s="95">
        <f>'Chu dau tu'!L39-'Chu dau tu'!U39-Y53</f>
        <v>8680</v>
      </c>
    </row>
    <row r="54" spans="1:34" ht="45">
      <c r="A54" s="89">
        <v>4</v>
      </c>
      <c r="B54" s="54" t="s">
        <v>121</v>
      </c>
      <c r="C54" s="54" t="s">
        <v>338</v>
      </c>
      <c r="D54" s="89" t="s">
        <v>29</v>
      </c>
      <c r="E54" s="89" t="s">
        <v>181</v>
      </c>
      <c r="F54" s="89" t="s">
        <v>2</v>
      </c>
      <c r="G54" s="91">
        <v>7467957</v>
      </c>
      <c r="H54" s="70" t="s">
        <v>365</v>
      </c>
      <c r="I54" s="89" t="s">
        <v>63</v>
      </c>
      <c r="J54" s="89" t="s">
        <v>22</v>
      </c>
      <c r="K54" s="89" t="s">
        <v>122</v>
      </c>
      <c r="L54" s="60">
        <f>SUM(M54:O54)</f>
        <v>106848</v>
      </c>
      <c r="M54" s="61"/>
      <c r="N54" s="61"/>
      <c r="O54" s="61">
        <v>106848</v>
      </c>
      <c r="P54" s="61">
        <v>98198</v>
      </c>
      <c r="Q54" s="60">
        <f t="shared" si="17"/>
        <v>68382</v>
      </c>
      <c r="R54" s="61"/>
      <c r="S54" s="61"/>
      <c r="T54" s="61">
        <f>37000+31382</f>
        <v>68382</v>
      </c>
      <c r="U54" s="60">
        <f t="shared" si="18"/>
        <v>68382</v>
      </c>
      <c r="V54" s="61"/>
      <c r="W54" s="61"/>
      <c r="X54" s="61">
        <f>37000+31382</f>
        <v>68382</v>
      </c>
      <c r="Y54" s="60">
        <f t="shared" si="19"/>
        <v>5000</v>
      </c>
      <c r="Z54" s="57"/>
      <c r="AA54" s="57"/>
      <c r="AB54" s="57"/>
      <c r="AC54" s="57"/>
      <c r="AD54" s="57">
        <v>5000</v>
      </c>
      <c r="AE54" s="57"/>
      <c r="AF54" s="57"/>
      <c r="AG54" s="93">
        <f>P54-U54-Y54</f>
        <v>24816</v>
      </c>
      <c r="AH54" s="95">
        <f>'Chu dau tu'!L107-'Chu dau tu'!U107-Y54</f>
        <v>-12</v>
      </c>
    </row>
    <row r="55" spans="1:34" ht="75">
      <c r="A55" s="89">
        <v>5</v>
      </c>
      <c r="B55" s="54" t="s">
        <v>240</v>
      </c>
      <c r="C55" s="54" t="s">
        <v>338</v>
      </c>
      <c r="D55" s="89" t="s">
        <v>29</v>
      </c>
      <c r="E55" s="89" t="s">
        <v>181</v>
      </c>
      <c r="F55" s="89" t="s">
        <v>3</v>
      </c>
      <c r="G55" s="91">
        <v>7537986</v>
      </c>
      <c r="H55" s="89">
        <v>463</v>
      </c>
      <c r="I55" s="89" t="s">
        <v>63</v>
      </c>
      <c r="J55" s="89" t="s">
        <v>242</v>
      </c>
      <c r="K55" s="89" t="s">
        <v>241</v>
      </c>
      <c r="L55" s="60">
        <f>M55+O55+N55</f>
        <v>5645</v>
      </c>
      <c r="M55" s="61"/>
      <c r="N55" s="61"/>
      <c r="O55" s="61">
        <v>5645</v>
      </c>
      <c r="P55" s="61">
        <v>5362.75</v>
      </c>
      <c r="Q55" s="60">
        <f t="shared" si="17"/>
        <v>3027</v>
      </c>
      <c r="R55" s="61"/>
      <c r="S55" s="61"/>
      <c r="T55" s="61">
        <f>2651+326+50</f>
        <v>3027</v>
      </c>
      <c r="U55" s="60">
        <f t="shared" si="18"/>
        <v>4001</v>
      </c>
      <c r="V55" s="61"/>
      <c r="W55" s="61"/>
      <c r="X55" s="61">
        <f>2651+1300+50</f>
        <v>4001</v>
      </c>
      <c r="Y55" s="60">
        <f t="shared" si="19"/>
        <v>1000</v>
      </c>
      <c r="Z55" s="57"/>
      <c r="AA55" s="57"/>
      <c r="AB55" s="57">
        <v>1000</v>
      </c>
      <c r="AC55" s="57"/>
      <c r="AD55" s="57"/>
      <c r="AE55" s="57"/>
      <c r="AF55" s="57"/>
      <c r="AH55" s="95" t="e">
        <f>#REF!-#REF!-Y55</f>
        <v>#REF!</v>
      </c>
    </row>
    <row r="56" spans="1:34" ht="45">
      <c r="A56" s="89">
        <v>6</v>
      </c>
      <c r="B56" s="54" t="s">
        <v>143</v>
      </c>
      <c r="C56" s="54" t="s">
        <v>338</v>
      </c>
      <c r="D56" s="89" t="s">
        <v>64</v>
      </c>
      <c r="E56" s="89" t="s">
        <v>181</v>
      </c>
      <c r="F56" s="89" t="s">
        <v>2</v>
      </c>
      <c r="G56" s="91">
        <v>7595352</v>
      </c>
      <c r="H56" s="72">
        <v>132</v>
      </c>
      <c r="I56" s="89" t="s">
        <v>96</v>
      </c>
      <c r="J56" s="89" t="s">
        <v>22</v>
      </c>
      <c r="K56" s="89" t="s">
        <v>230</v>
      </c>
      <c r="L56" s="60">
        <f>SUM(M56:O56)</f>
        <v>68846.498000000007</v>
      </c>
      <c r="M56" s="61"/>
      <c r="N56" s="61"/>
      <c r="O56" s="61">
        <v>68846.498000000007</v>
      </c>
      <c r="P56" s="61">
        <v>62000</v>
      </c>
      <c r="Q56" s="60">
        <f t="shared" si="17"/>
        <v>17150</v>
      </c>
      <c r="R56" s="61"/>
      <c r="S56" s="61"/>
      <c r="T56" s="61">
        <f>150+9000+15000-7000</f>
        <v>17150</v>
      </c>
      <c r="U56" s="60">
        <f t="shared" si="18"/>
        <v>17150</v>
      </c>
      <c r="V56" s="61"/>
      <c r="W56" s="61"/>
      <c r="X56" s="61">
        <f>150+9000+15000-7000</f>
        <v>17150</v>
      </c>
      <c r="Y56" s="60">
        <f t="shared" si="19"/>
        <v>5000</v>
      </c>
      <c r="Z56" s="57"/>
      <c r="AA56" s="57"/>
      <c r="AB56" s="57"/>
      <c r="AC56" s="57"/>
      <c r="AD56" s="57">
        <v>5000</v>
      </c>
      <c r="AE56" s="57"/>
      <c r="AF56" s="57"/>
      <c r="AG56" s="93">
        <f>P56-U56-Y56</f>
        <v>39850</v>
      </c>
      <c r="AH56" s="95">
        <f>'Chu dau tu'!L116-'Chu dau tu'!U116-Y56</f>
        <v>1681389</v>
      </c>
    </row>
    <row r="57" spans="1:34" ht="45">
      <c r="A57" s="89">
        <v>7</v>
      </c>
      <c r="B57" s="54" t="s">
        <v>144</v>
      </c>
      <c r="C57" s="54" t="s">
        <v>338</v>
      </c>
      <c r="D57" s="89" t="s">
        <v>29</v>
      </c>
      <c r="E57" s="89" t="s">
        <v>181</v>
      </c>
      <c r="F57" s="89" t="s">
        <v>2</v>
      </c>
      <c r="G57" s="91">
        <v>7559191</v>
      </c>
      <c r="H57" s="72">
        <v>132</v>
      </c>
      <c r="I57" s="89" t="s">
        <v>145</v>
      </c>
      <c r="J57" s="89" t="s">
        <v>22</v>
      </c>
      <c r="K57" s="89" t="s">
        <v>231</v>
      </c>
      <c r="L57" s="60">
        <f>SUM(M57:O57)</f>
        <v>149783</v>
      </c>
      <c r="M57" s="61"/>
      <c r="N57" s="61"/>
      <c r="O57" s="61">
        <v>149783</v>
      </c>
      <c r="P57" s="61">
        <v>146942</v>
      </c>
      <c r="Q57" s="60">
        <f t="shared" si="17"/>
        <v>35250</v>
      </c>
      <c r="R57" s="61"/>
      <c r="S57" s="61"/>
      <c r="T57" s="61">
        <f>250+5000+30000</f>
        <v>35250</v>
      </c>
      <c r="U57" s="60">
        <f t="shared" si="18"/>
        <v>35250</v>
      </c>
      <c r="V57" s="61"/>
      <c r="W57" s="61"/>
      <c r="X57" s="61">
        <f>250+5000+30000</f>
        <v>35250</v>
      </c>
      <c r="Y57" s="60">
        <f t="shared" si="19"/>
        <v>5000</v>
      </c>
      <c r="Z57" s="57"/>
      <c r="AA57" s="57"/>
      <c r="AB57" s="57"/>
      <c r="AC57" s="57"/>
      <c r="AD57" s="57">
        <v>5000</v>
      </c>
      <c r="AE57" s="57"/>
      <c r="AF57" s="57"/>
      <c r="AG57" s="93">
        <f>P57-U57-Y57</f>
        <v>106692</v>
      </c>
      <c r="AH57" s="95">
        <f>L56-U56-Y57</f>
        <v>46696.498000000007</v>
      </c>
    </row>
    <row r="58" spans="1:34" ht="45">
      <c r="A58" s="89">
        <v>8</v>
      </c>
      <c r="B58" s="54" t="s">
        <v>146</v>
      </c>
      <c r="C58" s="54" t="s">
        <v>338</v>
      </c>
      <c r="D58" s="89" t="s">
        <v>29</v>
      </c>
      <c r="E58" s="89" t="s">
        <v>181</v>
      </c>
      <c r="F58" s="89" t="s">
        <v>3</v>
      </c>
      <c r="G58" s="91">
        <v>7551347</v>
      </c>
      <c r="H58" s="89">
        <v>139</v>
      </c>
      <c r="I58" s="89" t="s">
        <v>63</v>
      </c>
      <c r="J58" s="89" t="s">
        <v>25</v>
      </c>
      <c r="K58" s="89" t="s">
        <v>232</v>
      </c>
      <c r="L58" s="60">
        <f>SUM(M58:O58)</f>
        <v>41481.345000000001</v>
      </c>
      <c r="M58" s="61"/>
      <c r="N58" s="61"/>
      <c r="O58" s="61">
        <v>41481.345000000001</v>
      </c>
      <c r="P58" s="61">
        <v>39695</v>
      </c>
      <c r="Q58" s="60">
        <f t="shared" si="17"/>
        <v>24151</v>
      </c>
      <c r="R58" s="61"/>
      <c r="S58" s="61"/>
      <c r="T58" s="61">
        <f>150+10000-1500+15501</f>
        <v>24151</v>
      </c>
      <c r="U58" s="60">
        <f t="shared" si="18"/>
        <v>24151</v>
      </c>
      <c r="V58" s="61"/>
      <c r="W58" s="61"/>
      <c r="X58" s="61">
        <f>150+10000-1500+15501</f>
        <v>24151</v>
      </c>
      <c r="Y58" s="60">
        <f t="shared" si="19"/>
        <v>12849</v>
      </c>
      <c r="Z58" s="57"/>
      <c r="AA58" s="57"/>
      <c r="AB58" s="57"/>
      <c r="AC58" s="57"/>
      <c r="AD58" s="57">
        <v>12849</v>
      </c>
      <c r="AE58" s="57"/>
      <c r="AF58" s="57"/>
      <c r="AG58" s="93">
        <f>P58-U58-Y58</f>
        <v>2695</v>
      </c>
      <c r="AH58" s="95">
        <f>L57-U57-Y58</f>
        <v>101684</v>
      </c>
    </row>
    <row r="59" spans="1:34" ht="90">
      <c r="A59" s="89">
        <v>9</v>
      </c>
      <c r="B59" s="54" t="s">
        <v>90</v>
      </c>
      <c r="C59" s="54" t="s">
        <v>338</v>
      </c>
      <c r="D59" s="89" t="s">
        <v>29</v>
      </c>
      <c r="E59" s="89" t="s">
        <v>181</v>
      </c>
      <c r="F59" s="89" t="s">
        <v>3</v>
      </c>
      <c r="G59" s="91">
        <v>7613999</v>
      </c>
      <c r="H59" s="89">
        <v>223</v>
      </c>
      <c r="I59" s="89" t="s">
        <v>85</v>
      </c>
      <c r="J59" s="89" t="s">
        <v>34</v>
      </c>
      <c r="K59" s="89" t="s">
        <v>91</v>
      </c>
      <c r="L59" s="60">
        <f>SUM(M59:O59)</f>
        <v>10143</v>
      </c>
      <c r="M59" s="61">
        <v>0</v>
      </c>
      <c r="N59" s="61"/>
      <c r="O59" s="61">
        <v>10143</v>
      </c>
      <c r="P59" s="61">
        <f>9600+46</f>
        <v>9646</v>
      </c>
      <c r="Q59" s="60">
        <f t="shared" si="17"/>
        <v>5150</v>
      </c>
      <c r="R59" s="61"/>
      <c r="S59" s="61"/>
      <c r="T59" s="61">
        <f>150+5000</f>
        <v>5150</v>
      </c>
      <c r="U59" s="60">
        <f t="shared" si="18"/>
        <v>5150</v>
      </c>
      <c r="V59" s="61"/>
      <c r="W59" s="61"/>
      <c r="X59" s="61">
        <f>150+5000</f>
        <v>5150</v>
      </c>
      <c r="Y59" s="60">
        <f t="shared" si="19"/>
        <v>4000</v>
      </c>
      <c r="Z59" s="57"/>
      <c r="AA59" s="57"/>
      <c r="AB59" s="57">
        <v>4000</v>
      </c>
      <c r="AC59" s="57"/>
      <c r="AD59" s="57"/>
      <c r="AE59" s="57"/>
      <c r="AF59" s="57"/>
      <c r="AG59" s="93">
        <f>P59-U59-Y59</f>
        <v>496</v>
      </c>
      <c r="AH59" s="95">
        <f>L52-U52-Y59</f>
        <v>118185</v>
      </c>
    </row>
    <row r="60" spans="1:34" s="107" customFormat="1" ht="28.5">
      <c r="A60" s="99" t="s">
        <v>33</v>
      </c>
      <c r="B60" s="100" t="s">
        <v>339</v>
      </c>
      <c r="C60" s="100"/>
      <c r="D60" s="99"/>
      <c r="E60" s="99"/>
      <c r="F60" s="99"/>
      <c r="G60" s="97"/>
      <c r="H60" s="99"/>
      <c r="I60" s="99"/>
      <c r="J60" s="99"/>
      <c r="K60" s="99"/>
      <c r="L60" s="103">
        <f t="shared" ref="L60:AD60" si="20">L61+L63+L65</f>
        <v>630165</v>
      </c>
      <c r="M60" s="103">
        <f t="shared" si="20"/>
        <v>0</v>
      </c>
      <c r="N60" s="103">
        <f t="shared" si="20"/>
        <v>0</v>
      </c>
      <c r="O60" s="103">
        <f t="shared" si="20"/>
        <v>630165</v>
      </c>
      <c r="P60" s="103">
        <f t="shared" si="20"/>
        <v>586984</v>
      </c>
      <c r="Q60" s="103">
        <f t="shared" si="20"/>
        <v>199762</v>
      </c>
      <c r="R60" s="103">
        <f t="shared" si="20"/>
        <v>0</v>
      </c>
      <c r="S60" s="103">
        <f t="shared" si="20"/>
        <v>0</v>
      </c>
      <c r="T60" s="103">
        <f t="shared" si="20"/>
        <v>199762</v>
      </c>
      <c r="U60" s="103">
        <f t="shared" si="20"/>
        <v>194380</v>
      </c>
      <c r="V60" s="103">
        <f t="shared" si="20"/>
        <v>0</v>
      </c>
      <c r="W60" s="103">
        <f t="shared" si="20"/>
        <v>0</v>
      </c>
      <c r="X60" s="103">
        <f t="shared" si="20"/>
        <v>194380</v>
      </c>
      <c r="Y60" s="103">
        <f t="shared" si="20"/>
        <v>103774</v>
      </c>
      <c r="Z60" s="103">
        <f t="shared" si="20"/>
        <v>0</v>
      </c>
      <c r="AA60" s="103">
        <f t="shared" si="20"/>
        <v>0</v>
      </c>
      <c r="AB60" s="103">
        <f t="shared" si="20"/>
        <v>101774</v>
      </c>
      <c r="AC60" s="103">
        <f t="shared" si="20"/>
        <v>2000</v>
      </c>
      <c r="AD60" s="103">
        <f t="shared" si="20"/>
        <v>0</v>
      </c>
      <c r="AE60" s="103">
        <f>AE61+AE63+AE65</f>
        <v>0</v>
      </c>
      <c r="AF60" s="104"/>
      <c r="AG60" s="105"/>
      <c r="AH60" s="106"/>
    </row>
    <row r="61" spans="1:34" s="48" customFormat="1" ht="42.75">
      <c r="A61" s="92" t="s">
        <v>73</v>
      </c>
      <c r="B61" s="55" t="s">
        <v>190</v>
      </c>
      <c r="C61" s="55"/>
      <c r="D61" s="92"/>
      <c r="E61" s="92"/>
      <c r="F61" s="92"/>
      <c r="G61" s="90"/>
      <c r="H61" s="92"/>
      <c r="I61" s="92"/>
      <c r="J61" s="92"/>
      <c r="K61" s="92"/>
      <c r="L61" s="60">
        <f t="shared" ref="L61:AE61" si="21">L62</f>
        <v>40134</v>
      </c>
      <c r="M61" s="60">
        <f t="shared" si="21"/>
        <v>0</v>
      </c>
      <c r="N61" s="60">
        <f t="shared" si="21"/>
        <v>0</v>
      </c>
      <c r="O61" s="60">
        <f t="shared" si="21"/>
        <v>40134</v>
      </c>
      <c r="P61" s="60">
        <f t="shared" si="21"/>
        <v>28743</v>
      </c>
      <c r="Q61" s="60">
        <f t="shared" si="21"/>
        <v>24662</v>
      </c>
      <c r="R61" s="60">
        <f t="shared" si="21"/>
        <v>0</v>
      </c>
      <c r="S61" s="60">
        <f t="shared" si="21"/>
        <v>0</v>
      </c>
      <c r="T61" s="60">
        <f t="shared" si="21"/>
        <v>24662</v>
      </c>
      <c r="U61" s="60">
        <f t="shared" si="21"/>
        <v>24662</v>
      </c>
      <c r="V61" s="60">
        <f t="shared" si="21"/>
        <v>0</v>
      </c>
      <c r="W61" s="60">
        <f t="shared" si="21"/>
        <v>0</v>
      </c>
      <c r="X61" s="60">
        <f t="shared" si="21"/>
        <v>24662</v>
      </c>
      <c r="Y61" s="60">
        <f t="shared" si="21"/>
        <v>2000</v>
      </c>
      <c r="Z61" s="60">
        <f t="shared" si="21"/>
        <v>0</v>
      </c>
      <c r="AA61" s="60">
        <f t="shared" si="21"/>
        <v>0</v>
      </c>
      <c r="AB61" s="60">
        <f t="shared" si="21"/>
        <v>0</v>
      </c>
      <c r="AC61" s="60">
        <f t="shared" si="21"/>
        <v>2000</v>
      </c>
      <c r="AD61" s="60">
        <f t="shared" si="21"/>
        <v>0</v>
      </c>
      <c r="AE61" s="60">
        <f t="shared" si="21"/>
        <v>0</v>
      </c>
      <c r="AF61" s="56"/>
      <c r="AG61" s="50">
        <f>P61-U61-Y61</f>
        <v>2081</v>
      </c>
      <c r="AH61" s="95" t="e">
        <f>#REF!-#REF!-Y61</f>
        <v>#REF!</v>
      </c>
    </row>
    <row r="62" spans="1:34" s="78" customFormat="1" ht="45">
      <c r="A62" s="72">
        <v>1</v>
      </c>
      <c r="B62" s="73" t="s">
        <v>325</v>
      </c>
      <c r="C62" s="73" t="s">
        <v>339</v>
      </c>
      <c r="D62" s="89" t="s">
        <v>29</v>
      </c>
      <c r="E62" s="89" t="s">
        <v>181</v>
      </c>
      <c r="F62" s="72"/>
      <c r="G62" s="72">
        <v>7411744</v>
      </c>
      <c r="H62" s="101">
        <v>312</v>
      </c>
      <c r="I62" s="72" t="s">
        <v>330</v>
      </c>
      <c r="J62" s="72"/>
      <c r="K62" s="72" t="s">
        <v>326</v>
      </c>
      <c r="L62" s="71">
        <f>SUM(M62:O62)</f>
        <v>40134</v>
      </c>
      <c r="M62" s="75"/>
      <c r="N62" s="75"/>
      <c r="O62" s="75">
        <v>40134</v>
      </c>
      <c r="P62" s="75">
        <v>28743</v>
      </c>
      <c r="Q62" s="71">
        <f>SUM(R62:T62)</f>
        <v>24662</v>
      </c>
      <c r="R62" s="75"/>
      <c r="S62" s="75"/>
      <c r="T62" s="75">
        <f>9662+15000</f>
        <v>24662</v>
      </c>
      <c r="U62" s="71">
        <f>SUM(V62:X62)</f>
        <v>24662</v>
      </c>
      <c r="V62" s="75"/>
      <c r="W62" s="75"/>
      <c r="X62" s="75">
        <f>9662+15000</f>
        <v>24662</v>
      </c>
      <c r="Y62" s="60">
        <f>SUM(Z62:AD62)</f>
        <v>2000</v>
      </c>
      <c r="Z62" s="76"/>
      <c r="AA62" s="76"/>
      <c r="AB62" s="76"/>
      <c r="AC62" s="76">
        <v>2000</v>
      </c>
      <c r="AD62" s="76"/>
      <c r="AE62" s="76"/>
      <c r="AF62" s="76"/>
      <c r="AG62" s="77"/>
      <c r="AH62" s="95">
        <f>L61-U61-Y62</f>
        <v>13472</v>
      </c>
    </row>
    <row r="63" spans="1:34" s="48" customFormat="1">
      <c r="A63" s="92" t="s">
        <v>60</v>
      </c>
      <c r="B63" s="55" t="s">
        <v>61</v>
      </c>
      <c r="C63" s="55"/>
      <c r="D63" s="92"/>
      <c r="E63" s="92"/>
      <c r="F63" s="92"/>
      <c r="G63" s="90"/>
      <c r="H63" s="89"/>
      <c r="I63" s="92"/>
      <c r="J63" s="92"/>
      <c r="K63" s="92"/>
      <c r="L63" s="60">
        <f>L64</f>
        <v>353531</v>
      </c>
      <c r="M63" s="60">
        <f t="shared" ref="M63:AE63" si="22">M64</f>
        <v>0</v>
      </c>
      <c r="N63" s="60">
        <f t="shared" si="22"/>
        <v>0</v>
      </c>
      <c r="O63" s="60">
        <f t="shared" si="22"/>
        <v>353531</v>
      </c>
      <c r="P63" s="60">
        <f t="shared" si="22"/>
        <v>423149</v>
      </c>
      <c r="Q63" s="60">
        <f t="shared" si="22"/>
        <v>175000</v>
      </c>
      <c r="R63" s="60">
        <f t="shared" si="22"/>
        <v>0</v>
      </c>
      <c r="S63" s="60">
        <f t="shared" si="22"/>
        <v>0</v>
      </c>
      <c r="T63" s="60">
        <f t="shared" si="22"/>
        <v>175000</v>
      </c>
      <c r="U63" s="60">
        <f t="shared" si="22"/>
        <v>169618</v>
      </c>
      <c r="V63" s="60">
        <f t="shared" si="22"/>
        <v>0</v>
      </c>
      <c r="W63" s="60">
        <f t="shared" si="22"/>
        <v>0</v>
      </c>
      <c r="X63" s="60">
        <f t="shared" si="22"/>
        <v>169618</v>
      </c>
      <c r="Y63" s="60">
        <f t="shared" si="22"/>
        <v>46274</v>
      </c>
      <c r="Z63" s="60">
        <f t="shared" si="22"/>
        <v>0</v>
      </c>
      <c r="AA63" s="60">
        <f t="shared" si="22"/>
        <v>0</v>
      </c>
      <c r="AB63" s="60">
        <f t="shared" si="22"/>
        <v>46274</v>
      </c>
      <c r="AC63" s="60">
        <f t="shared" si="22"/>
        <v>0</v>
      </c>
      <c r="AD63" s="60">
        <f t="shared" si="22"/>
        <v>0</v>
      </c>
      <c r="AE63" s="60">
        <f t="shared" si="22"/>
        <v>0</v>
      </c>
      <c r="AF63" s="56"/>
      <c r="AG63" s="50">
        <f>P63-U63-Y63</f>
        <v>207257</v>
      </c>
      <c r="AH63" s="95">
        <f>'Chu dau tu'!L61-'Chu dau tu'!U61-Y63</f>
        <v>-30802</v>
      </c>
    </row>
    <row r="64" spans="1:34" s="78" customFormat="1" ht="60">
      <c r="A64" s="72">
        <v>1</v>
      </c>
      <c r="B64" s="73" t="s">
        <v>328</v>
      </c>
      <c r="C64" s="73" t="s">
        <v>339</v>
      </c>
      <c r="D64" s="72" t="s">
        <v>17</v>
      </c>
      <c r="E64" s="72" t="s">
        <v>181</v>
      </c>
      <c r="F64" s="72" t="s">
        <v>2</v>
      </c>
      <c r="G64" s="74">
        <v>7620393</v>
      </c>
      <c r="H64" s="79" t="s">
        <v>329</v>
      </c>
      <c r="I64" s="72" t="s">
        <v>105</v>
      </c>
      <c r="J64" s="72" t="s">
        <v>18</v>
      </c>
      <c r="K64" s="72" t="s">
        <v>247</v>
      </c>
      <c r="L64" s="71">
        <f>SUM(M64:O64)</f>
        <v>353531</v>
      </c>
      <c r="M64" s="75"/>
      <c r="N64" s="75"/>
      <c r="O64" s="75">
        <v>353531</v>
      </c>
      <c r="P64" s="75">
        <v>423149</v>
      </c>
      <c r="Q64" s="71">
        <f>SUM(R64:T64)</f>
        <v>175000</v>
      </c>
      <c r="R64" s="75"/>
      <c r="S64" s="75"/>
      <c r="T64" s="75">
        <v>175000</v>
      </c>
      <c r="U64" s="71">
        <f>SUM(V64:X64)</f>
        <v>169618</v>
      </c>
      <c r="V64" s="75"/>
      <c r="W64" s="75"/>
      <c r="X64" s="75">
        <f>100000+69618</f>
        <v>169618</v>
      </c>
      <c r="Y64" s="71">
        <f>SUM(Z64:AD64)</f>
        <v>46274</v>
      </c>
      <c r="Z64" s="76"/>
      <c r="AA64" s="76"/>
      <c r="AB64" s="76">
        <f>50000+22274-30000+4000</f>
        <v>46274</v>
      </c>
      <c r="AC64" s="76"/>
      <c r="AD64" s="76"/>
      <c r="AE64" s="76"/>
      <c r="AF64" s="76"/>
      <c r="AG64" s="77"/>
      <c r="AH64" s="95">
        <f>L142-U142-Y64</f>
        <v>-565</v>
      </c>
    </row>
    <row r="65" spans="1:34" s="48" customFormat="1" ht="14.25">
      <c r="A65" s="92" t="s">
        <v>67</v>
      </c>
      <c r="B65" s="55" t="s">
        <v>68</v>
      </c>
      <c r="C65" s="55"/>
      <c r="D65" s="92"/>
      <c r="E65" s="92"/>
      <c r="F65" s="92"/>
      <c r="G65" s="90"/>
      <c r="H65" s="92"/>
      <c r="I65" s="92"/>
      <c r="J65" s="92"/>
      <c r="K65" s="92"/>
      <c r="L65" s="60">
        <f>SUM(L66:L67)</f>
        <v>236500</v>
      </c>
      <c r="M65" s="60">
        <f t="shared" ref="M65:AE65" si="23">SUM(M66:M67)</f>
        <v>0</v>
      </c>
      <c r="N65" s="60">
        <f t="shared" si="23"/>
        <v>0</v>
      </c>
      <c r="O65" s="60">
        <f t="shared" si="23"/>
        <v>236500</v>
      </c>
      <c r="P65" s="60">
        <f t="shared" si="23"/>
        <v>135092</v>
      </c>
      <c r="Q65" s="60">
        <f t="shared" si="23"/>
        <v>100</v>
      </c>
      <c r="R65" s="60">
        <f t="shared" si="23"/>
        <v>0</v>
      </c>
      <c r="S65" s="60">
        <f t="shared" si="23"/>
        <v>0</v>
      </c>
      <c r="T65" s="60">
        <f t="shared" si="23"/>
        <v>100</v>
      </c>
      <c r="U65" s="60">
        <f t="shared" si="23"/>
        <v>100</v>
      </c>
      <c r="V65" s="60">
        <f t="shared" si="23"/>
        <v>0</v>
      </c>
      <c r="W65" s="60">
        <f t="shared" si="23"/>
        <v>0</v>
      </c>
      <c r="X65" s="60">
        <f t="shared" si="23"/>
        <v>100</v>
      </c>
      <c r="Y65" s="60">
        <f t="shared" si="23"/>
        <v>55500</v>
      </c>
      <c r="Z65" s="60">
        <f t="shared" si="23"/>
        <v>0</v>
      </c>
      <c r="AA65" s="60">
        <f t="shared" si="23"/>
        <v>0</v>
      </c>
      <c r="AB65" s="60">
        <f t="shared" si="23"/>
        <v>55500</v>
      </c>
      <c r="AC65" s="60">
        <f t="shared" si="23"/>
        <v>0</v>
      </c>
      <c r="AD65" s="60">
        <f t="shared" si="23"/>
        <v>0</v>
      </c>
      <c r="AE65" s="60">
        <f t="shared" si="23"/>
        <v>0</v>
      </c>
      <c r="AF65" s="56"/>
      <c r="AG65" s="50">
        <f>P65-U65-Y65</f>
        <v>79492</v>
      </c>
      <c r="AH65" s="95">
        <f>'Chu dau tu'!L50-'Chu dau tu'!U50-Y65</f>
        <v>325745.84299999999</v>
      </c>
    </row>
    <row r="66" spans="1:34" s="78" customFormat="1" ht="45">
      <c r="A66" s="72">
        <v>1</v>
      </c>
      <c r="B66" s="73" t="s">
        <v>220</v>
      </c>
      <c r="C66" s="73" t="s">
        <v>339</v>
      </c>
      <c r="D66" s="72" t="s">
        <v>14</v>
      </c>
      <c r="E66" s="72" t="s">
        <v>181</v>
      </c>
      <c r="F66" s="72" t="s">
        <v>2</v>
      </c>
      <c r="G66" s="74"/>
      <c r="H66" s="72">
        <v>338</v>
      </c>
      <c r="I66" s="72" t="s">
        <v>105</v>
      </c>
      <c r="J66" s="72" t="s">
        <v>219</v>
      </c>
      <c r="K66" s="72" t="s">
        <v>327</v>
      </c>
      <c r="L66" s="71">
        <f>SUM(M66:O66)</f>
        <v>230248</v>
      </c>
      <c r="M66" s="75"/>
      <c r="N66" s="75"/>
      <c r="O66" s="75">
        <v>230248</v>
      </c>
      <c r="P66" s="75">
        <v>128960</v>
      </c>
      <c r="Q66" s="71">
        <f>SUM(R66:T66)</f>
        <v>0</v>
      </c>
      <c r="R66" s="75"/>
      <c r="S66" s="75"/>
      <c r="T66" s="75"/>
      <c r="U66" s="71">
        <f>SUM(V66:X66)</f>
        <v>0</v>
      </c>
      <c r="V66" s="75"/>
      <c r="W66" s="75"/>
      <c r="X66" s="75"/>
      <c r="Y66" s="71">
        <f>SUM(Z66:AD66)</f>
        <v>50000</v>
      </c>
      <c r="Z66" s="76"/>
      <c r="AA66" s="76"/>
      <c r="AB66" s="76">
        <v>50000</v>
      </c>
      <c r="AC66" s="76"/>
      <c r="AD66" s="76"/>
      <c r="AE66" s="76"/>
      <c r="AF66" s="76"/>
      <c r="AG66" s="77">
        <f>P66-U66-Y66</f>
        <v>78960</v>
      </c>
      <c r="AH66" s="95" t="e">
        <f>#REF!-#REF!-Y66</f>
        <v>#REF!</v>
      </c>
    </row>
    <row r="67" spans="1:34" ht="45">
      <c r="A67" s="89">
        <v>2</v>
      </c>
      <c r="B67" s="54" t="s">
        <v>221</v>
      </c>
      <c r="C67" s="54" t="s">
        <v>339</v>
      </c>
      <c r="D67" s="89" t="s">
        <v>29</v>
      </c>
      <c r="E67" s="89" t="s">
        <v>181</v>
      </c>
      <c r="F67" s="89" t="s">
        <v>3</v>
      </c>
      <c r="G67" s="91">
        <v>7572546</v>
      </c>
      <c r="H67" s="89">
        <v>292</v>
      </c>
      <c r="I67" s="89" t="s">
        <v>85</v>
      </c>
      <c r="J67" s="89" t="s">
        <v>18</v>
      </c>
      <c r="K67" s="89" t="s">
        <v>324</v>
      </c>
      <c r="L67" s="60">
        <f>SUM(M67:O67)</f>
        <v>6252</v>
      </c>
      <c r="M67" s="61"/>
      <c r="N67" s="61"/>
      <c r="O67" s="61">
        <v>6252</v>
      </c>
      <c r="P67" s="61">
        <v>6132</v>
      </c>
      <c r="Q67" s="60">
        <f>SUM(R67:T67)</f>
        <v>100</v>
      </c>
      <c r="R67" s="61"/>
      <c r="S67" s="61"/>
      <c r="T67" s="61">
        <v>100</v>
      </c>
      <c r="U67" s="60">
        <f>SUM(V67:X67)</f>
        <v>100</v>
      </c>
      <c r="V67" s="61"/>
      <c r="W67" s="61"/>
      <c r="X67" s="61">
        <v>100</v>
      </c>
      <c r="Y67" s="60">
        <f>SUM(Z67:AD67)</f>
        <v>5500</v>
      </c>
      <c r="Z67" s="57"/>
      <c r="AA67" s="57"/>
      <c r="AB67" s="57">
        <v>5500</v>
      </c>
      <c r="AC67" s="57"/>
      <c r="AD67" s="57"/>
      <c r="AE67" s="57"/>
      <c r="AF67" s="57"/>
      <c r="AG67" s="93">
        <f>P67-U67-Y67</f>
        <v>532</v>
      </c>
      <c r="AH67" s="95" t="e">
        <f>#REF!-#REF!-Y67</f>
        <v>#REF!</v>
      </c>
    </row>
    <row r="68" spans="1:34" s="107" customFormat="1" ht="14.25">
      <c r="A68" s="99" t="s">
        <v>174</v>
      </c>
      <c r="B68" s="100" t="s">
        <v>340</v>
      </c>
      <c r="C68" s="100"/>
      <c r="D68" s="99"/>
      <c r="E68" s="99"/>
      <c r="F68" s="99"/>
      <c r="G68" s="97"/>
      <c r="H68" s="99"/>
      <c r="I68" s="99"/>
      <c r="J68" s="99"/>
      <c r="K68" s="99"/>
      <c r="L68" s="103">
        <f>L69</f>
        <v>557534</v>
      </c>
      <c r="M68" s="103">
        <f t="shared" ref="M68:AE69" si="24">M69</f>
        <v>0</v>
      </c>
      <c r="N68" s="103">
        <f t="shared" si="24"/>
        <v>473904</v>
      </c>
      <c r="O68" s="103">
        <f t="shared" si="24"/>
        <v>83630</v>
      </c>
      <c r="P68" s="103">
        <f t="shared" si="24"/>
        <v>52823</v>
      </c>
      <c r="Q68" s="103">
        <f t="shared" si="24"/>
        <v>18250</v>
      </c>
      <c r="R68" s="103">
        <f t="shared" si="24"/>
        <v>0</v>
      </c>
      <c r="S68" s="103">
        <f t="shared" si="24"/>
        <v>13000</v>
      </c>
      <c r="T68" s="103">
        <f t="shared" si="24"/>
        <v>5250</v>
      </c>
      <c r="U68" s="103">
        <f t="shared" si="24"/>
        <v>31823</v>
      </c>
      <c r="V68" s="103">
        <f t="shared" si="24"/>
        <v>0</v>
      </c>
      <c r="W68" s="103">
        <f t="shared" si="24"/>
        <v>23000</v>
      </c>
      <c r="X68" s="103">
        <f t="shared" si="24"/>
        <v>8823</v>
      </c>
      <c r="Y68" s="103">
        <f t="shared" si="24"/>
        <v>5000</v>
      </c>
      <c r="Z68" s="103">
        <f t="shared" si="24"/>
        <v>0</v>
      </c>
      <c r="AA68" s="103">
        <f t="shared" si="24"/>
        <v>0</v>
      </c>
      <c r="AB68" s="103">
        <f t="shared" si="24"/>
        <v>5000</v>
      </c>
      <c r="AC68" s="103">
        <f t="shared" si="24"/>
        <v>0</v>
      </c>
      <c r="AD68" s="103">
        <f t="shared" si="24"/>
        <v>0</v>
      </c>
      <c r="AE68" s="103">
        <f t="shared" si="24"/>
        <v>0</v>
      </c>
      <c r="AF68" s="104"/>
      <c r="AG68" s="105"/>
      <c r="AH68" s="106"/>
    </row>
    <row r="69" spans="1:34" s="48" customFormat="1">
      <c r="A69" s="92" t="s">
        <v>60</v>
      </c>
      <c r="B69" s="55" t="s">
        <v>61</v>
      </c>
      <c r="C69" s="55"/>
      <c r="D69" s="92"/>
      <c r="E69" s="92"/>
      <c r="F69" s="92"/>
      <c r="G69" s="90"/>
      <c r="H69" s="89"/>
      <c r="I69" s="92"/>
      <c r="J69" s="92"/>
      <c r="K69" s="92"/>
      <c r="L69" s="60">
        <f>L70</f>
        <v>557534</v>
      </c>
      <c r="M69" s="60">
        <f t="shared" si="24"/>
        <v>0</v>
      </c>
      <c r="N69" s="60">
        <f t="shared" si="24"/>
        <v>473904</v>
      </c>
      <c r="O69" s="60">
        <f t="shared" si="24"/>
        <v>83630</v>
      </c>
      <c r="P69" s="60">
        <f t="shared" si="24"/>
        <v>52823</v>
      </c>
      <c r="Q69" s="60">
        <f t="shared" si="24"/>
        <v>18250</v>
      </c>
      <c r="R69" s="60">
        <f t="shared" si="24"/>
        <v>0</v>
      </c>
      <c r="S69" s="60">
        <f t="shared" si="24"/>
        <v>13000</v>
      </c>
      <c r="T69" s="60">
        <f t="shared" si="24"/>
        <v>5250</v>
      </c>
      <c r="U69" s="60">
        <f t="shared" si="24"/>
        <v>31823</v>
      </c>
      <c r="V69" s="60">
        <f t="shared" si="24"/>
        <v>0</v>
      </c>
      <c r="W69" s="60">
        <f t="shared" si="24"/>
        <v>23000</v>
      </c>
      <c r="X69" s="60">
        <f t="shared" si="24"/>
        <v>8823</v>
      </c>
      <c r="Y69" s="60">
        <f t="shared" si="24"/>
        <v>5000</v>
      </c>
      <c r="Z69" s="60">
        <f t="shared" si="24"/>
        <v>0</v>
      </c>
      <c r="AA69" s="60">
        <f t="shared" si="24"/>
        <v>0</v>
      </c>
      <c r="AB69" s="60">
        <f t="shared" si="24"/>
        <v>5000</v>
      </c>
      <c r="AC69" s="60">
        <f t="shared" si="24"/>
        <v>0</v>
      </c>
      <c r="AD69" s="60">
        <f t="shared" si="24"/>
        <v>0</v>
      </c>
      <c r="AE69" s="60">
        <f t="shared" si="24"/>
        <v>0</v>
      </c>
      <c r="AF69" s="56"/>
      <c r="AG69" s="50">
        <f>P69-U69-Y69</f>
        <v>16000</v>
      </c>
      <c r="AH69" s="95">
        <f>'Chu dau tu'!L67-'Chu dau tu'!U67-Y69</f>
        <v>1152</v>
      </c>
    </row>
    <row r="70" spans="1:34" ht="75">
      <c r="A70" s="89">
        <v>1</v>
      </c>
      <c r="B70" s="54" t="s">
        <v>21</v>
      </c>
      <c r="C70" s="54" t="s">
        <v>340</v>
      </c>
      <c r="D70" s="89" t="s">
        <v>93</v>
      </c>
      <c r="E70" s="89" t="s">
        <v>181</v>
      </c>
      <c r="F70" s="89" t="s">
        <v>2</v>
      </c>
      <c r="G70" s="91">
        <v>7517127</v>
      </c>
      <c r="H70" s="89">
        <v>302</v>
      </c>
      <c r="I70" s="89"/>
      <c r="J70" s="89" t="s">
        <v>22</v>
      </c>
      <c r="K70" s="89" t="s">
        <v>23</v>
      </c>
      <c r="L70" s="60">
        <f>SUM(M70:O70)</f>
        <v>557534</v>
      </c>
      <c r="M70" s="61"/>
      <c r="N70" s="61">
        <v>473904</v>
      </c>
      <c r="O70" s="61">
        <v>83630</v>
      </c>
      <c r="P70" s="61">
        <v>52823</v>
      </c>
      <c r="Q70" s="60">
        <f>SUM(R70:T70)</f>
        <v>18250</v>
      </c>
      <c r="R70" s="61"/>
      <c r="S70" s="61">
        <f>10000+3000</f>
        <v>13000</v>
      </c>
      <c r="T70" s="61">
        <f>1000+2250+2000</f>
        <v>5250</v>
      </c>
      <c r="U70" s="60">
        <f>SUM(V70:X70)</f>
        <v>31823</v>
      </c>
      <c r="V70" s="61"/>
      <c r="W70" s="61">
        <f>10000+13000</f>
        <v>23000</v>
      </c>
      <c r="X70" s="61">
        <f>1000+2250+2000+3573</f>
        <v>8823</v>
      </c>
      <c r="Y70" s="60">
        <f>SUM(Z70:AD70)</f>
        <v>5000</v>
      </c>
      <c r="Z70" s="57"/>
      <c r="AA70" s="57"/>
      <c r="AB70" s="57">
        <v>5000</v>
      </c>
      <c r="AC70" s="57"/>
      <c r="AD70" s="57"/>
      <c r="AE70" s="57"/>
      <c r="AF70" s="57"/>
      <c r="AG70" s="93">
        <f>P70-U70-Y70</f>
        <v>16000</v>
      </c>
      <c r="AH70" s="95" t="e">
        <f>#REF!-#REF!-Y70</f>
        <v>#REF!</v>
      </c>
    </row>
    <row r="71" spans="1:34" s="107" customFormat="1" ht="14.25">
      <c r="A71" s="99" t="s">
        <v>366</v>
      </c>
      <c r="B71" s="100" t="s">
        <v>341</v>
      </c>
      <c r="C71" s="100"/>
      <c r="D71" s="99"/>
      <c r="E71" s="99"/>
      <c r="F71" s="99"/>
      <c r="G71" s="97"/>
      <c r="H71" s="99"/>
      <c r="I71" s="99"/>
      <c r="J71" s="99"/>
      <c r="K71" s="99"/>
      <c r="L71" s="103">
        <f>L72</f>
        <v>23850</v>
      </c>
      <c r="M71" s="103">
        <f t="shared" ref="M71:AE72" si="25">M72</f>
        <v>0</v>
      </c>
      <c r="N71" s="103">
        <f t="shared" si="25"/>
        <v>0</v>
      </c>
      <c r="O71" s="103">
        <f t="shared" si="25"/>
        <v>23850</v>
      </c>
      <c r="P71" s="103">
        <f t="shared" si="25"/>
        <v>23700</v>
      </c>
      <c r="Q71" s="103">
        <f t="shared" si="25"/>
        <v>14600</v>
      </c>
      <c r="R71" s="103">
        <f t="shared" si="25"/>
        <v>0</v>
      </c>
      <c r="S71" s="103">
        <f t="shared" si="25"/>
        <v>0</v>
      </c>
      <c r="T71" s="103">
        <f t="shared" si="25"/>
        <v>14600</v>
      </c>
      <c r="U71" s="103">
        <f t="shared" si="25"/>
        <v>14600</v>
      </c>
      <c r="V71" s="103">
        <f t="shared" si="25"/>
        <v>0</v>
      </c>
      <c r="W71" s="103">
        <f t="shared" si="25"/>
        <v>0</v>
      </c>
      <c r="X71" s="103">
        <f t="shared" si="25"/>
        <v>14600</v>
      </c>
      <c r="Y71" s="103">
        <f t="shared" si="25"/>
        <v>8000</v>
      </c>
      <c r="Z71" s="103">
        <f t="shared" si="25"/>
        <v>0</v>
      </c>
      <c r="AA71" s="103">
        <f t="shared" si="25"/>
        <v>0</v>
      </c>
      <c r="AB71" s="103">
        <f t="shared" si="25"/>
        <v>8000</v>
      </c>
      <c r="AC71" s="103">
        <f t="shared" si="25"/>
        <v>0</v>
      </c>
      <c r="AD71" s="103">
        <f t="shared" si="25"/>
        <v>0</v>
      </c>
      <c r="AE71" s="103">
        <f t="shared" si="25"/>
        <v>0</v>
      </c>
      <c r="AF71" s="104"/>
      <c r="AG71" s="105"/>
      <c r="AH71" s="106"/>
    </row>
    <row r="72" spans="1:34" s="48" customFormat="1">
      <c r="A72" s="92" t="s">
        <v>60</v>
      </c>
      <c r="B72" s="55" t="s">
        <v>61</v>
      </c>
      <c r="C72" s="55"/>
      <c r="D72" s="92"/>
      <c r="E72" s="92"/>
      <c r="F72" s="92"/>
      <c r="G72" s="90"/>
      <c r="H72" s="89"/>
      <c r="I72" s="92"/>
      <c r="J72" s="92"/>
      <c r="K72" s="92"/>
      <c r="L72" s="60">
        <f>L73</f>
        <v>23850</v>
      </c>
      <c r="M72" s="60">
        <f t="shared" si="25"/>
        <v>0</v>
      </c>
      <c r="N72" s="60">
        <f t="shared" si="25"/>
        <v>0</v>
      </c>
      <c r="O72" s="60">
        <f t="shared" si="25"/>
        <v>23850</v>
      </c>
      <c r="P72" s="60">
        <f t="shared" si="25"/>
        <v>23700</v>
      </c>
      <c r="Q72" s="60">
        <f t="shared" si="25"/>
        <v>14600</v>
      </c>
      <c r="R72" s="60">
        <f t="shared" si="25"/>
        <v>0</v>
      </c>
      <c r="S72" s="60">
        <f t="shared" si="25"/>
        <v>0</v>
      </c>
      <c r="T72" s="60">
        <f t="shared" si="25"/>
        <v>14600</v>
      </c>
      <c r="U72" s="60">
        <f t="shared" si="25"/>
        <v>14600</v>
      </c>
      <c r="V72" s="60">
        <f t="shared" si="25"/>
        <v>0</v>
      </c>
      <c r="W72" s="60">
        <f t="shared" si="25"/>
        <v>0</v>
      </c>
      <c r="X72" s="60">
        <f t="shared" si="25"/>
        <v>14600</v>
      </c>
      <c r="Y72" s="60">
        <f t="shared" si="25"/>
        <v>8000</v>
      </c>
      <c r="Z72" s="60">
        <f t="shared" si="25"/>
        <v>0</v>
      </c>
      <c r="AA72" s="60">
        <f t="shared" si="25"/>
        <v>0</v>
      </c>
      <c r="AB72" s="60">
        <f t="shared" si="25"/>
        <v>8000</v>
      </c>
      <c r="AC72" s="60">
        <f t="shared" si="25"/>
        <v>0</v>
      </c>
      <c r="AD72" s="60">
        <f t="shared" si="25"/>
        <v>0</v>
      </c>
      <c r="AE72" s="60">
        <f t="shared" si="25"/>
        <v>0</v>
      </c>
      <c r="AF72" s="56"/>
      <c r="AG72" s="50">
        <f>P72-U72-Y72</f>
        <v>1100</v>
      </c>
      <c r="AH72" s="95">
        <f>'Chu dau tu'!L70-'Chu dau tu'!U70-Y72</f>
        <v>517711</v>
      </c>
    </row>
    <row r="73" spans="1:34" ht="90">
      <c r="A73" s="89">
        <v>1</v>
      </c>
      <c r="B73" s="54" t="s">
        <v>95</v>
      </c>
      <c r="C73" s="54" t="s">
        <v>341</v>
      </c>
      <c r="D73" s="89" t="s">
        <v>29</v>
      </c>
      <c r="E73" s="89" t="s">
        <v>181</v>
      </c>
      <c r="F73" s="89" t="s">
        <v>3</v>
      </c>
      <c r="G73" s="91">
        <v>7560268</v>
      </c>
      <c r="H73" s="89">
        <v>351</v>
      </c>
      <c r="I73" s="89" t="s">
        <v>96</v>
      </c>
      <c r="J73" s="89" t="s">
        <v>34</v>
      </c>
      <c r="K73" s="89" t="s">
        <v>97</v>
      </c>
      <c r="L73" s="60">
        <f>SUM(M73:O73)</f>
        <v>23850</v>
      </c>
      <c r="M73" s="61"/>
      <c r="N73" s="61"/>
      <c r="O73" s="61">
        <v>23850</v>
      </c>
      <c r="P73" s="61">
        <v>23700</v>
      </c>
      <c r="Q73" s="60">
        <f>SUM(R73:T73)</f>
        <v>14600</v>
      </c>
      <c r="R73" s="61"/>
      <c r="S73" s="61"/>
      <c r="T73" s="61">
        <f>100+6500+8000</f>
        <v>14600</v>
      </c>
      <c r="U73" s="60">
        <f>SUM(V73:X73)</f>
        <v>14600</v>
      </c>
      <c r="V73" s="61"/>
      <c r="W73" s="61"/>
      <c r="X73" s="61">
        <f>100+6500+8000</f>
        <v>14600</v>
      </c>
      <c r="Y73" s="60">
        <f>SUM(Z73:AD73)</f>
        <v>8000</v>
      </c>
      <c r="Z73" s="57"/>
      <c r="AA73" s="57"/>
      <c r="AB73" s="57">
        <v>8000</v>
      </c>
      <c r="AC73" s="57"/>
      <c r="AD73" s="57"/>
      <c r="AE73" s="57"/>
      <c r="AF73" s="57"/>
      <c r="AG73" s="93">
        <f>P73-U73-Y73</f>
        <v>1100</v>
      </c>
      <c r="AH73" s="95">
        <f>'Chu dau tu'!L75-'Chu dau tu'!U75-Y73</f>
        <v>9636</v>
      </c>
    </row>
    <row r="74" spans="1:34" s="107" customFormat="1" ht="14.25">
      <c r="A74" s="99" t="s">
        <v>182</v>
      </c>
      <c r="B74" s="100" t="s">
        <v>342</v>
      </c>
      <c r="C74" s="100"/>
      <c r="D74" s="99"/>
      <c r="E74" s="99"/>
      <c r="F74" s="99"/>
      <c r="G74" s="97"/>
      <c r="H74" s="99"/>
      <c r="I74" s="99"/>
      <c r="J74" s="99"/>
      <c r="K74" s="99"/>
      <c r="L74" s="103">
        <f>L75</f>
        <v>26136</v>
      </c>
      <c r="M74" s="103">
        <f t="shared" ref="M74:AE74" si="26">M75</f>
        <v>0</v>
      </c>
      <c r="N74" s="103">
        <f t="shared" si="26"/>
        <v>0</v>
      </c>
      <c r="O74" s="103">
        <f t="shared" si="26"/>
        <v>26136</v>
      </c>
      <c r="P74" s="103">
        <f t="shared" si="26"/>
        <v>26056</v>
      </c>
      <c r="Q74" s="103">
        <f t="shared" si="26"/>
        <v>8500</v>
      </c>
      <c r="R74" s="103">
        <f t="shared" si="26"/>
        <v>0</v>
      </c>
      <c r="S74" s="103">
        <f t="shared" si="26"/>
        <v>0</v>
      </c>
      <c r="T74" s="103">
        <f t="shared" si="26"/>
        <v>8500</v>
      </c>
      <c r="U74" s="103">
        <f t="shared" si="26"/>
        <v>8500</v>
      </c>
      <c r="V74" s="103">
        <f t="shared" si="26"/>
        <v>0</v>
      </c>
      <c r="W74" s="103">
        <f t="shared" si="26"/>
        <v>0</v>
      </c>
      <c r="X74" s="103">
        <f t="shared" si="26"/>
        <v>8500</v>
      </c>
      <c r="Y74" s="103">
        <f t="shared" si="26"/>
        <v>14400</v>
      </c>
      <c r="Z74" s="103">
        <f t="shared" si="26"/>
        <v>0</v>
      </c>
      <c r="AA74" s="103">
        <f t="shared" si="26"/>
        <v>0</v>
      </c>
      <c r="AB74" s="103">
        <f t="shared" si="26"/>
        <v>14400</v>
      </c>
      <c r="AC74" s="103">
        <f t="shared" si="26"/>
        <v>0</v>
      </c>
      <c r="AD74" s="103">
        <f t="shared" si="26"/>
        <v>0</v>
      </c>
      <c r="AE74" s="103">
        <f t="shared" si="26"/>
        <v>0</v>
      </c>
      <c r="AF74" s="104"/>
      <c r="AG74" s="105"/>
      <c r="AH74" s="106"/>
    </row>
    <row r="75" spans="1:34" s="48" customFormat="1" ht="14.25">
      <c r="A75" s="92" t="s">
        <v>60</v>
      </c>
      <c r="B75" s="55" t="s">
        <v>61</v>
      </c>
      <c r="C75" s="55"/>
      <c r="D75" s="92"/>
      <c r="E75" s="92"/>
      <c r="F75" s="92"/>
      <c r="G75" s="90"/>
      <c r="H75" s="92"/>
      <c r="I75" s="92"/>
      <c r="J75" s="92"/>
      <c r="K75" s="92"/>
      <c r="L75" s="60">
        <f>SUM(L76:L77)</f>
        <v>26136</v>
      </c>
      <c r="M75" s="60">
        <f t="shared" ref="M75:AE75" si="27">SUM(M76:M77)</f>
        <v>0</v>
      </c>
      <c r="N75" s="60">
        <f t="shared" si="27"/>
        <v>0</v>
      </c>
      <c r="O75" s="60">
        <f t="shared" si="27"/>
        <v>26136</v>
      </c>
      <c r="P75" s="60">
        <f t="shared" si="27"/>
        <v>26056</v>
      </c>
      <c r="Q75" s="60">
        <f t="shared" si="27"/>
        <v>8500</v>
      </c>
      <c r="R75" s="60">
        <f t="shared" si="27"/>
        <v>0</v>
      </c>
      <c r="S75" s="60">
        <f t="shared" si="27"/>
        <v>0</v>
      </c>
      <c r="T75" s="60">
        <f t="shared" si="27"/>
        <v>8500</v>
      </c>
      <c r="U75" s="60">
        <f t="shared" si="27"/>
        <v>8500</v>
      </c>
      <c r="V75" s="60">
        <f t="shared" si="27"/>
        <v>0</v>
      </c>
      <c r="W75" s="60">
        <f t="shared" si="27"/>
        <v>0</v>
      </c>
      <c r="X75" s="60">
        <f t="shared" si="27"/>
        <v>8500</v>
      </c>
      <c r="Y75" s="60">
        <f t="shared" si="27"/>
        <v>14400</v>
      </c>
      <c r="Z75" s="60">
        <f t="shared" si="27"/>
        <v>0</v>
      </c>
      <c r="AA75" s="60">
        <f t="shared" si="27"/>
        <v>0</v>
      </c>
      <c r="AB75" s="60">
        <f t="shared" si="27"/>
        <v>14400</v>
      </c>
      <c r="AC75" s="60">
        <f t="shared" si="27"/>
        <v>0</v>
      </c>
      <c r="AD75" s="60">
        <f t="shared" si="27"/>
        <v>0</v>
      </c>
      <c r="AE75" s="60">
        <f t="shared" si="27"/>
        <v>0</v>
      </c>
      <c r="AF75" s="56"/>
      <c r="AG75" s="50">
        <f>P75-U75-Y75</f>
        <v>3156</v>
      </c>
      <c r="AH75" s="95" t="e">
        <f>#REF!-#REF!-Y75</f>
        <v>#REF!</v>
      </c>
    </row>
    <row r="76" spans="1:34" ht="75">
      <c r="A76" s="89">
        <v>1</v>
      </c>
      <c r="B76" s="54" t="s">
        <v>98</v>
      </c>
      <c r="C76" s="54" t="s">
        <v>342</v>
      </c>
      <c r="D76" s="89" t="s">
        <v>29</v>
      </c>
      <c r="E76" s="89" t="s">
        <v>181</v>
      </c>
      <c r="F76" s="89" t="s">
        <v>3</v>
      </c>
      <c r="G76" s="91">
        <v>7578437</v>
      </c>
      <c r="H76" s="89">
        <v>341</v>
      </c>
      <c r="I76" s="89" t="s">
        <v>96</v>
      </c>
      <c r="J76" s="89" t="s">
        <v>25</v>
      </c>
      <c r="K76" s="89" t="s">
        <v>99</v>
      </c>
      <c r="L76" s="60">
        <f>SUM(M76:O76)</f>
        <v>4480</v>
      </c>
      <c r="M76" s="61"/>
      <c r="N76" s="61"/>
      <c r="O76" s="61">
        <v>4480</v>
      </c>
      <c r="P76" s="61">
        <v>4450</v>
      </c>
      <c r="Q76" s="60">
        <f>SUM(R76:T76)</f>
        <v>2450</v>
      </c>
      <c r="R76" s="61"/>
      <c r="S76" s="61"/>
      <c r="T76" s="61">
        <f>30+120+2300</f>
        <v>2450</v>
      </c>
      <c r="U76" s="60">
        <f>SUM(V76:X76)</f>
        <v>2450</v>
      </c>
      <c r="V76" s="61"/>
      <c r="W76" s="61"/>
      <c r="X76" s="61">
        <f>30+120+2300</f>
        <v>2450</v>
      </c>
      <c r="Y76" s="60">
        <f>SUM(Z76:AD76)</f>
        <v>1400</v>
      </c>
      <c r="Z76" s="57"/>
      <c r="AA76" s="57"/>
      <c r="AB76" s="57">
        <v>1400</v>
      </c>
      <c r="AC76" s="57"/>
      <c r="AD76" s="57"/>
      <c r="AE76" s="57"/>
      <c r="AF76" s="57"/>
      <c r="AG76" s="93">
        <f>P76-U76-Y76</f>
        <v>600</v>
      </c>
      <c r="AH76" s="95">
        <f>'Chu dau tu'!L73-'Chu dau tu'!U73-Y76</f>
        <v>7850</v>
      </c>
    </row>
    <row r="77" spans="1:34" ht="60">
      <c r="A77" s="89">
        <v>2</v>
      </c>
      <c r="B77" s="54" t="s">
        <v>102</v>
      </c>
      <c r="C77" s="54" t="s">
        <v>342</v>
      </c>
      <c r="D77" s="89" t="s">
        <v>38</v>
      </c>
      <c r="E77" s="89" t="s">
        <v>181</v>
      </c>
      <c r="F77" s="89" t="s">
        <v>3</v>
      </c>
      <c r="G77" s="91">
        <v>7578439</v>
      </c>
      <c r="H77" s="89">
        <v>191</v>
      </c>
      <c r="I77" s="89" t="s">
        <v>96</v>
      </c>
      <c r="J77" s="89" t="s">
        <v>25</v>
      </c>
      <c r="K77" s="89" t="s">
        <v>103</v>
      </c>
      <c r="L77" s="60">
        <f>SUM(M77:O77)</f>
        <v>21656</v>
      </c>
      <c r="M77" s="61"/>
      <c r="N77" s="61"/>
      <c r="O77" s="61">
        <v>21656</v>
      </c>
      <c r="P77" s="61">
        <v>21606</v>
      </c>
      <c r="Q77" s="60">
        <f>SUM(R77:T77)</f>
        <v>6050</v>
      </c>
      <c r="R77" s="61"/>
      <c r="S77" s="61"/>
      <c r="T77" s="61">
        <f>50+6000</f>
        <v>6050</v>
      </c>
      <c r="U77" s="60">
        <f>SUM(V77:X77)</f>
        <v>6050</v>
      </c>
      <c r="V77" s="61"/>
      <c r="W77" s="61"/>
      <c r="X77" s="61">
        <f>50+6000</f>
        <v>6050</v>
      </c>
      <c r="Y77" s="60">
        <f>SUM(Z77:AD77)</f>
        <v>13000</v>
      </c>
      <c r="Z77" s="57"/>
      <c r="AA77" s="57"/>
      <c r="AB77" s="57">
        <v>13000</v>
      </c>
      <c r="AC77" s="57"/>
      <c r="AD77" s="57"/>
      <c r="AE77" s="57"/>
      <c r="AF77" s="57"/>
      <c r="AG77" s="93">
        <f>P77-U77-Y77</f>
        <v>2556</v>
      </c>
      <c r="AH77" s="95" t="e">
        <f>#REF!-#REF!-Y77</f>
        <v>#REF!</v>
      </c>
    </row>
    <row r="78" spans="1:34" s="107" customFormat="1" ht="14.25">
      <c r="A78" s="99" t="s">
        <v>183</v>
      </c>
      <c r="B78" s="100" t="s">
        <v>343</v>
      </c>
      <c r="C78" s="100"/>
      <c r="D78" s="99"/>
      <c r="E78" s="99"/>
      <c r="F78" s="99"/>
      <c r="G78" s="97"/>
      <c r="H78" s="99"/>
      <c r="I78" s="99"/>
      <c r="J78" s="99"/>
      <c r="K78" s="99"/>
      <c r="L78" s="103">
        <f>L79</f>
        <v>3075</v>
      </c>
      <c r="M78" s="103">
        <f t="shared" ref="M78:AE79" si="28">M79</f>
        <v>0</v>
      </c>
      <c r="N78" s="103">
        <f t="shared" si="28"/>
        <v>0</v>
      </c>
      <c r="O78" s="103">
        <f t="shared" si="28"/>
        <v>3075</v>
      </c>
      <c r="P78" s="103">
        <f t="shared" si="28"/>
        <v>2750</v>
      </c>
      <c r="Q78" s="103">
        <f t="shared" si="28"/>
        <v>130</v>
      </c>
      <c r="R78" s="103">
        <f t="shared" si="28"/>
        <v>0</v>
      </c>
      <c r="S78" s="103">
        <f t="shared" si="28"/>
        <v>0</v>
      </c>
      <c r="T78" s="103">
        <f t="shared" si="28"/>
        <v>130</v>
      </c>
      <c r="U78" s="103">
        <f t="shared" si="28"/>
        <v>130</v>
      </c>
      <c r="V78" s="103">
        <f t="shared" si="28"/>
        <v>0</v>
      </c>
      <c r="W78" s="103">
        <f t="shared" si="28"/>
        <v>0</v>
      </c>
      <c r="X78" s="103">
        <f t="shared" si="28"/>
        <v>130</v>
      </c>
      <c r="Y78" s="103">
        <f t="shared" si="28"/>
        <v>2500</v>
      </c>
      <c r="Z78" s="103">
        <f t="shared" si="28"/>
        <v>0</v>
      </c>
      <c r="AA78" s="103">
        <f t="shared" si="28"/>
        <v>0</v>
      </c>
      <c r="AB78" s="103">
        <f t="shared" si="28"/>
        <v>2500</v>
      </c>
      <c r="AC78" s="103">
        <f t="shared" si="28"/>
        <v>0</v>
      </c>
      <c r="AD78" s="103">
        <f t="shared" si="28"/>
        <v>0</v>
      </c>
      <c r="AE78" s="103">
        <f t="shared" si="28"/>
        <v>0</v>
      </c>
      <c r="AF78" s="104"/>
      <c r="AG78" s="105"/>
      <c r="AH78" s="106"/>
    </row>
    <row r="79" spans="1:34" s="48" customFormat="1" ht="14.25">
      <c r="A79" s="92" t="s">
        <v>67</v>
      </c>
      <c r="B79" s="55" t="s">
        <v>68</v>
      </c>
      <c r="C79" s="55"/>
      <c r="D79" s="92"/>
      <c r="E79" s="92"/>
      <c r="F79" s="92"/>
      <c r="G79" s="90"/>
      <c r="H79" s="92"/>
      <c r="I79" s="92"/>
      <c r="J79" s="92"/>
      <c r="K79" s="92"/>
      <c r="L79" s="60">
        <f>L80</f>
        <v>3075</v>
      </c>
      <c r="M79" s="60">
        <f t="shared" si="28"/>
        <v>0</v>
      </c>
      <c r="N79" s="60">
        <f t="shared" si="28"/>
        <v>0</v>
      </c>
      <c r="O79" s="60">
        <f t="shared" si="28"/>
        <v>3075</v>
      </c>
      <c r="P79" s="60">
        <f t="shared" si="28"/>
        <v>2750</v>
      </c>
      <c r="Q79" s="60">
        <f t="shared" si="28"/>
        <v>130</v>
      </c>
      <c r="R79" s="60">
        <f t="shared" si="28"/>
        <v>0</v>
      </c>
      <c r="S79" s="60">
        <f t="shared" si="28"/>
        <v>0</v>
      </c>
      <c r="T79" s="60">
        <f t="shared" si="28"/>
        <v>130</v>
      </c>
      <c r="U79" s="60">
        <f t="shared" si="28"/>
        <v>130</v>
      </c>
      <c r="V79" s="60">
        <f t="shared" si="28"/>
        <v>0</v>
      </c>
      <c r="W79" s="60">
        <f t="shared" si="28"/>
        <v>0</v>
      </c>
      <c r="X79" s="60">
        <f t="shared" si="28"/>
        <v>130</v>
      </c>
      <c r="Y79" s="60">
        <f t="shared" si="28"/>
        <v>2500</v>
      </c>
      <c r="Z79" s="60">
        <f t="shared" si="28"/>
        <v>0</v>
      </c>
      <c r="AA79" s="60">
        <f t="shared" si="28"/>
        <v>0</v>
      </c>
      <c r="AB79" s="60">
        <f t="shared" si="28"/>
        <v>2500</v>
      </c>
      <c r="AC79" s="60">
        <f t="shared" si="28"/>
        <v>0</v>
      </c>
      <c r="AD79" s="60">
        <f t="shared" si="28"/>
        <v>0</v>
      </c>
      <c r="AE79" s="60">
        <f t="shared" si="28"/>
        <v>0</v>
      </c>
      <c r="AF79" s="56"/>
      <c r="AG79" s="50">
        <f>P79-U79-Y79</f>
        <v>120</v>
      </c>
      <c r="AH79" s="95">
        <f>'Chu dau tu'!L68-'Chu dau tu'!U68-Y79</f>
        <v>523211</v>
      </c>
    </row>
    <row r="80" spans="1:34" ht="45">
      <c r="A80" s="89">
        <v>1</v>
      </c>
      <c r="B80" s="54" t="s">
        <v>214</v>
      </c>
      <c r="C80" s="54" t="s">
        <v>343</v>
      </c>
      <c r="D80" s="89" t="s">
        <v>29</v>
      </c>
      <c r="E80" s="89" t="s">
        <v>181</v>
      </c>
      <c r="F80" s="89" t="s">
        <v>3</v>
      </c>
      <c r="G80" s="91">
        <v>7678430</v>
      </c>
      <c r="H80" s="89">
        <v>201</v>
      </c>
      <c r="I80" s="89" t="s">
        <v>96</v>
      </c>
      <c r="J80" s="89" t="s">
        <v>18</v>
      </c>
      <c r="K80" s="89" t="s">
        <v>256</v>
      </c>
      <c r="L80" s="60">
        <f>SUM(M80:O80)</f>
        <v>3075</v>
      </c>
      <c r="M80" s="61"/>
      <c r="N80" s="61"/>
      <c r="O80" s="61">
        <v>3075</v>
      </c>
      <c r="P80" s="61">
        <v>2750</v>
      </c>
      <c r="Q80" s="60">
        <f>SUM(R80:T80)</f>
        <v>130</v>
      </c>
      <c r="R80" s="61"/>
      <c r="S80" s="61"/>
      <c r="T80" s="61">
        <v>130</v>
      </c>
      <c r="U80" s="60">
        <f>SUM(V80:X80)</f>
        <v>130</v>
      </c>
      <c r="V80" s="61"/>
      <c r="W80" s="61"/>
      <c r="X80" s="61">
        <v>130</v>
      </c>
      <c r="Y80" s="60">
        <f>SUM(Z80:AD80)</f>
        <v>2500</v>
      </c>
      <c r="Z80" s="57"/>
      <c r="AA80" s="57"/>
      <c r="AB80" s="57">
        <v>2500</v>
      </c>
      <c r="AC80" s="57"/>
      <c r="AD80" s="57"/>
      <c r="AE80" s="57"/>
      <c r="AF80" s="57"/>
      <c r="AG80" s="93">
        <f>P80-U80-Y80</f>
        <v>120</v>
      </c>
      <c r="AH80" s="95" t="e">
        <f>#REF!-#REF!-Y80</f>
        <v>#REF!</v>
      </c>
    </row>
    <row r="81" spans="1:34" s="107" customFormat="1" ht="28.5">
      <c r="A81" s="99" t="s">
        <v>184</v>
      </c>
      <c r="B81" s="100" t="s">
        <v>344</v>
      </c>
      <c r="C81" s="100"/>
      <c r="D81" s="99"/>
      <c r="E81" s="99"/>
      <c r="F81" s="99"/>
      <c r="G81" s="97"/>
      <c r="H81" s="99"/>
      <c r="I81" s="99"/>
      <c r="J81" s="99"/>
      <c r="K81" s="99"/>
      <c r="L81" s="103">
        <f>L82+L89</f>
        <v>165486</v>
      </c>
      <c r="M81" s="103">
        <f t="shared" ref="M81:AE81" si="29">M82+M89</f>
        <v>0</v>
      </c>
      <c r="N81" s="103">
        <f t="shared" si="29"/>
        <v>0</v>
      </c>
      <c r="O81" s="103">
        <f t="shared" si="29"/>
        <v>165486</v>
      </c>
      <c r="P81" s="103">
        <f t="shared" si="29"/>
        <v>151939</v>
      </c>
      <c r="Q81" s="103">
        <f t="shared" si="29"/>
        <v>117519</v>
      </c>
      <c r="R81" s="103">
        <f t="shared" si="29"/>
        <v>0</v>
      </c>
      <c r="S81" s="103">
        <f t="shared" si="29"/>
        <v>0</v>
      </c>
      <c r="T81" s="103">
        <f t="shared" si="29"/>
        <v>117519</v>
      </c>
      <c r="U81" s="103">
        <f t="shared" si="29"/>
        <v>108138</v>
      </c>
      <c r="V81" s="103">
        <f t="shared" si="29"/>
        <v>0</v>
      </c>
      <c r="W81" s="103">
        <f t="shared" si="29"/>
        <v>0</v>
      </c>
      <c r="X81" s="103">
        <f t="shared" si="29"/>
        <v>108138</v>
      </c>
      <c r="Y81" s="103">
        <f t="shared" si="29"/>
        <v>30781</v>
      </c>
      <c r="Z81" s="103">
        <f t="shared" si="29"/>
        <v>0</v>
      </c>
      <c r="AA81" s="103">
        <f t="shared" si="29"/>
        <v>0</v>
      </c>
      <c r="AB81" s="103">
        <f t="shared" si="29"/>
        <v>30781</v>
      </c>
      <c r="AC81" s="103">
        <f t="shared" si="29"/>
        <v>0</v>
      </c>
      <c r="AD81" s="103">
        <f t="shared" si="29"/>
        <v>0</v>
      </c>
      <c r="AE81" s="103">
        <f t="shared" si="29"/>
        <v>0</v>
      </c>
      <c r="AF81" s="104"/>
      <c r="AG81" s="105"/>
      <c r="AH81" s="106"/>
    </row>
    <row r="82" spans="1:34" s="48" customFormat="1" ht="42.75">
      <c r="A82" s="92" t="s">
        <v>73</v>
      </c>
      <c r="B82" s="55" t="s">
        <v>190</v>
      </c>
      <c r="C82" s="55"/>
      <c r="D82" s="92"/>
      <c r="E82" s="92"/>
      <c r="F82" s="92"/>
      <c r="G82" s="90"/>
      <c r="H82" s="92"/>
      <c r="I82" s="92"/>
      <c r="J82" s="92"/>
      <c r="K82" s="92"/>
      <c r="L82" s="60">
        <f>SUM(L83:L88)</f>
        <v>92151</v>
      </c>
      <c r="M82" s="60">
        <f t="shared" ref="M82:AE82" si="30">SUM(M83:M88)</f>
        <v>0</v>
      </c>
      <c r="N82" s="60">
        <f t="shared" si="30"/>
        <v>0</v>
      </c>
      <c r="O82" s="60">
        <f t="shared" si="30"/>
        <v>92151</v>
      </c>
      <c r="P82" s="60">
        <f t="shared" si="30"/>
        <v>85939</v>
      </c>
      <c r="Q82" s="60">
        <f t="shared" si="30"/>
        <v>89319</v>
      </c>
      <c r="R82" s="60">
        <f t="shared" si="30"/>
        <v>0</v>
      </c>
      <c r="S82" s="60">
        <f t="shared" si="30"/>
        <v>0</v>
      </c>
      <c r="T82" s="60">
        <f t="shared" si="30"/>
        <v>89319</v>
      </c>
      <c r="U82" s="60">
        <f t="shared" si="30"/>
        <v>79938</v>
      </c>
      <c r="V82" s="60">
        <f t="shared" si="30"/>
        <v>0</v>
      </c>
      <c r="W82" s="60">
        <f t="shared" si="30"/>
        <v>0</v>
      </c>
      <c r="X82" s="60">
        <f t="shared" si="30"/>
        <v>79938</v>
      </c>
      <c r="Y82" s="60">
        <f t="shared" si="30"/>
        <v>10781</v>
      </c>
      <c r="Z82" s="60">
        <f t="shared" si="30"/>
        <v>0</v>
      </c>
      <c r="AA82" s="60">
        <f t="shared" si="30"/>
        <v>0</v>
      </c>
      <c r="AB82" s="60">
        <f t="shared" si="30"/>
        <v>10781</v>
      </c>
      <c r="AC82" s="60">
        <f t="shared" si="30"/>
        <v>0</v>
      </c>
      <c r="AD82" s="60">
        <f t="shared" si="30"/>
        <v>0</v>
      </c>
      <c r="AE82" s="60">
        <f t="shared" si="30"/>
        <v>0</v>
      </c>
      <c r="AF82" s="56"/>
      <c r="AG82" s="50">
        <f>P82-U82-Y82</f>
        <v>-4780</v>
      </c>
      <c r="AH82" s="95">
        <f>L80-U80-Y82</f>
        <v>-7836</v>
      </c>
    </row>
    <row r="83" spans="1:34" ht="45">
      <c r="A83" s="89">
        <v>1</v>
      </c>
      <c r="B83" s="54" t="s">
        <v>106</v>
      </c>
      <c r="C83" s="54" t="s">
        <v>344</v>
      </c>
      <c r="D83" s="89" t="s">
        <v>107</v>
      </c>
      <c r="E83" s="89" t="s">
        <v>181</v>
      </c>
      <c r="F83" s="89" t="s">
        <v>3</v>
      </c>
      <c r="G83" s="91">
        <v>7608269</v>
      </c>
      <c r="H83" s="89">
        <v>161</v>
      </c>
      <c r="I83" s="89" t="s">
        <v>108</v>
      </c>
      <c r="J83" s="89" t="s">
        <v>18</v>
      </c>
      <c r="K83" s="89" t="s">
        <v>109</v>
      </c>
      <c r="L83" s="60">
        <f t="shared" ref="L83:L88" si="31">SUM(M83:O83)</f>
        <v>7346</v>
      </c>
      <c r="M83" s="61"/>
      <c r="N83" s="61"/>
      <c r="O83" s="61">
        <v>7346</v>
      </c>
      <c r="P83" s="61">
        <v>6900</v>
      </c>
      <c r="Q83" s="60">
        <f t="shared" ref="Q83:Q88" si="32">SUM(R83:T83)</f>
        <v>5100</v>
      </c>
      <c r="R83" s="61"/>
      <c r="S83" s="61"/>
      <c r="T83" s="61">
        <f>100+5000</f>
        <v>5100</v>
      </c>
      <c r="U83" s="60">
        <f t="shared" ref="U83:U88" si="33">SUM(V83:X83)</f>
        <v>5100</v>
      </c>
      <c r="V83" s="61"/>
      <c r="W83" s="61"/>
      <c r="X83" s="61">
        <f>100+5000</f>
        <v>5100</v>
      </c>
      <c r="Y83" s="60">
        <f t="shared" ref="Y83:Y88" si="34">SUM(Z83:AD83)</f>
        <v>1500</v>
      </c>
      <c r="Z83" s="57"/>
      <c r="AA83" s="57"/>
      <c r="AB83" s="57">
        <v>1500</v>
      </c>
      <c r="AC83" s="57"/>
      <c r="AD83" s="57"/>
      <c r="AE83" s="57"/>
      <c r="AF83" s="57"/>
      <c r="AG83" s="93">
        <f>P83-U83-Y83</f>
        <v>300</v>
      </c>
      <c r="AH83" s="95" t="e">
        <f>#REF!-#REF!-Y83</f>
        <v>#REF!</v>
      </c>
    </row>
    <row r="84" spans="1:34" ht="60">
      <c r="A84" s="89">
        <v>2</v>
      </c>
      <c r="B84" s="54" t="s">
        <v>310</v>
      </c>
      <c r="C84" s="54" t="s">
        <v>344</v>
      </c>
      <c r="D84" s="89" t="s">
        <v>32</v>
      </c>
      <c r="E84" s="89" t="s">
        <v>181</v>
      </c>
      <c r="F84" s="89" t="s">
        <v>3</v>
      </c>
      <c r="G84" s="91">
        <v>7506001</v>
      </c>
      <c r="H84" s="89">
        <v>161</v>
      </c>
      <c r="I84" s="89" t="s">
        <v>309</v>
      </c>
      <c r="J84" s="89" t="s">
        <v>307</v>
      </c>
      <c r="K84" s="89" t="s">
        <v>308</v>
      </c>
      <c r="L84" s="60">
        <f t="shared" si="31"/>
        <v>27258</v>
      </c>
      <c r="M84" s="61"/>
      <c r="N84" s="61"/>
      <c r="O84" s="61">
        <v>27258</v>
      </c>
      <c r="P84" s="61">
        <v>26822</v>
      </c>
      <c r="Q84" s="60">
        <f t="shared" si="32"/>
        <v>26922</v>
      </c>
      <c r="R84" s="61"/>
      <c r="S84" s="61"/>
      <c r="T84" s="61">
        <f>22587+4335</f>
        <v>26922</v>
      </c>
      <c r="U84" s="60">
        <f t="shared" si="33"/>
        <v>22587</v>
      </c>
      <c r="V84" s="61"/>
      <c r="W84" s="61"/>
      <c r="X84" s="61">
        <v>22587</v>
      </c>
      <c r="Y84" s="60">
        <f t="shared" si="34"/>
        <v>4335</v>
      </c>
      <c r="Z84" s="57"/>
      <c r="AA84" s="57"/>
      <c r="AB84" s="57">
        <v>4335</v>
      </c>
      <c r="AC84" s="57"/>
      <c r="AD84" s="57"/>
      <c r="AE84" s="57"/>
      <c r="AF84" s="57"/>
      <c r="AH84" s="95">
        <f t="shared" ref="AH84:AH90" si="35">L83-U83-Y84</f>
        <v>-2089</v>
      </c>
    </row>
    <row r="85" spans="1:34" ht="60">
      <c r="A85" s="89">
        <v>3</v>
      </c>
      <c r="B85" s="54" t="s">
        <v>311</v>
      </c>
      <c r="C85" s="54" t="s">
        <v>344</v>
      </c>
      <c r="D85" s="89" t="s">
        <v>312</v>
      </c>
      <c r="E85" s="89" t="s">
        <v>181</v>
      </c>
      <c r="F85" s="89" t="s">
        <v>3</v>
      </c>
      <c r="G85" s="91">
        <v>7530648</v>
      </c>
      <c r="H85" s="89">
        <v>161</v>
      </c>
      <c r="I85" s="89" t="s">
        <v>309</v>
      </c>
      <c r="J85" s="89" t="s">
        <v>307</v>
      </c>
      <c r="K85" s="89" t="s">
        <v>313</v>
      </c>
      <c r="L85" s="60">
        <f t="shared" si="31"/>
        <v>36321</v>
      </c>
      <c r="M85" s="61"/>
      <c r="N85" s="61"/>
      <c r="O85" s="61">
        <v>36321</v>
      </c>
      <c r="P85" s="61">
        <v>35963</v>
      </c>
      <c r="Q85" s="60">
        <f t="shared" si="32"/>
        <v>36154</v>
      </c>
      <c r="R85" s="61"/>
      <c r="S85" s="61"/>
      <c r="T85" s="61">
        <f>200+28954+4000+3000</f>
        <v>36154</v>
      </c>
      <c r="U85" s="60">
        <f t="shared" si="33"/>
        <v>33154</v>
      </c>
      <c r="V85" s="61"/>
      <c r="W85" s="61"/>
      <c r="X85" s="61">
        <f>200+28954+4000</f>
        <v>33154</v>
      </c>
      <c r="Y85" s="60">
        <f t="shared" si="34"/>
        <v>3000</v>
      </c>
      <c r="Z85" s="57"/>
      <c r="AA85" s="57"/>
      <c r="AB85" s="57">
        <v>3000</v>
      </c>
      <c r="AC85" s="57"/>
      <c r="AD85" s="57"/>
      <c r="AE85" s="57"/>
      <c r="AF85" s="57"/>
      <c r="AH85" s="95">
        <f t="shared" si="35"/>
        <v>1671</v>
      </c>
    </row>
    <row r="86" spans="1:34" ht="60">
      <c r="A86" s="89">
        <v>4</v>
      </c>
      <c r="B86" s="54" t="s">
        <v>314</v>
      </c>
      <c r="C86" s="54" t="s">
        <v>344</v>
      </c>
      <c r="D86" s="89" t="s">
        <v>64</v>
      </c>
      <c r="E86" s="89" t="s">
        <v>181</v>
      </c>
      <c r="F86" s="89" t="s">
        <v>3</v>
      </c>
      <c r="G86" s="91">
        <v>7462036</v>
      </c>
      <c r="H86" s="89">
        <v>161</v>
      </c>
      <c r="I86" s="89" t="s">
        <v>309</v>
      </c>
      <c r="J86" s="89" t="s">
        <v>315</v>
      </c>
      <c r="K86" s="89" t="s">
        <v>316</v>
      </c>
      <c r="L86" s="60">
        <f t="shared" si="31"/>
        <v>6723</v>
      </c>
      <c r="M86" s="61"/>
      <c r="N86" s="61"/>
      <c r="O86" s="61">
        <v>6723</v>
      </c>
      <c r="P86" s="61">
        <v>1857</v>
      </c>
      <c r="Q86" s="60">
        <f t="shared" si="32"/>
        <v>6957</v>
      </c>
      <c r="R86" s="61"/>
      <c r="S86" s="61"/>
      <c r="T86" s="61">
        <f>5000+100+1147+710</f>
        <v>6957</v>
      </c>
      <c r="U86" s="60">
        <f t="shared" si="33"/>
        <v>6247</v>
      </c>
      <c r="V86" s="61"/>
      <c r="W86" s="61"/>
      <c r="X86" s="61">
        <f>5000+100+1147</f>
        <v>6247</v>
      </c>
      <c r="Y86" s="60">
        <f t="shared" si="34"/>
        <v>710</v>
      </c>
      <c r="Z86" s="57"/>
      <c r="AA86" s="57"/>
      <c r="AB86" s="57">
        <v>710</v>
      </c>
      <c r="AC86" s="57"/>
      <c r="AD86" s="57"/>
      <c r="AE86" s="57"/>
      <c r="AF86" s="57"/>
      <c r="AH86" s="95">
        <f t="shared" si="35"/>
        <v>2457</v>
      </c>
    </row>
    <row r="87" spans="1:34" ht="60">
      <c r="A87" s="89">
        <v>5</v>
      </c>
      <c r="B87" s="54" t="s">
        <v>317</v>
      </c>
      <c r="C87" s="54" t="s">
        <v>344</v>
      </c>
      <c r="D87" s="89" t="s">
        <v>14</v>
      </c>
      <c r="E87" s="89" t="s">
        <v>181</v>
      </c>
      <c r="F87" s="89" t="s">
        <v>3</v>
      </c>
      <c r="G87" s="91">
        <v>7591539</v>
      </c>
      <c r="H87" s="89">
        <v>161</v>
      </c>
      <c r="I87" s="89" t="s">
        <v>309</v>
      </c>
      <c r="J87" s="89" t="s">
        <v>86</v>
      </c>
      <c r="K87" s="89" t="s">
        <v>318</v>
      </c>
      <c r="L87" s="60">
        <f t="shared" si="31"/>
        <v>4273</v>
      </c>
      <c r="M87" s="61"/>
      <c r="N87" s="61"/>
      <c r="O87" s="61">
        <v>4273</v>
      </c>
      <c r="P87" s="61">
        <v>4186</v>
      </c>
      <c r="Q87" s="60">
        <f t="shared" si="32"/>
        <v>3786</v>
      </c>
      <c r="R87" s="61"/>
      <c r="S87" s="61"/>
      <c r="T87" s="61">
        <f>3550+236</f>
        <v>3786</v>
      </c>
      <c r="U87" s="60">
        <f t="shared" si="33"/>
        <v>3550</v>
      </c>
      <c r="V87" s="61"/>
      <c r="W87" s="61"/>
      <c r="X87" s="61">
        <v>3550</v>
      </c>
      <c r="Y87" s="60">
        <f t="shared" si="34"/>
        <v>236</v>
      </c>
      <c r="Z87" s="57"/>
      <c r="AA87" s="57"/>
      <c r="AB87" s="57">
        <v>236</v>
      </c>
      <c r="AC87" s="57"/>
      <c r="AD87" s="57"/>
      <c r="AE87" s="57"/>
      <c r="AF87" s="57"/>
      <c r="AH87" s="95">
        <f t="shared" si="35"/>
        <v>240</v>
      </c>
    </row>
    <row r="88" spans="1:34" ht="60">
      <c r="A88" s="89">
        <v>6</v>
      </c>
      <c r="B88" s="54" t="s">
        <v>320</v>
      </c>
      <c r="C88" s="54" t="s">
        <v>344</v>
      </c>
      <c r="D88" s="89" t="s">
        <v>64</v>
      </c>
      <c r="E88" s="89" t="s">
        <v>181</v>
      </c>
      <c r="F88" s="89" t="s">
        <v>3</v>
      </c>
      <c r="G88" s="91">
        <v>7545417</v>
      </c>
      <c r="H88" s="89">
        <v>221</v>
      </c>
      <c r="I88" s="89" t="s">
        <v>309</v>
      </c>
      <c r="J88" s="89" t="s">
        <v>315</v>
      </c>
      <c r="K88" s="89" t="s">
        <v>321</v>
      </c>
      <c r="L88" s="60">
        <f t="shared" si="31"/>
        <v>10230</v>
      </c>
      <c r="M88" s="61"/>
      <c r="N88" s="61"/>
      <c r="O88" s="61">
        <v>10230</v>
      </c>
      <c r="P88" s="61">
        <v>10211</v>
      </c>
      <c r="Q88" s="60">
        <f t="shared" si="32"/>
        <v>10400</v>
      </c>
      <c r="R88" s="61"/>
      <c r="S88" s="61"/>
      <c r="T88" s="61">
        <f>100+9200+1100</f>
        <v>10400</v>
      </c>
      <c r="U88" s="60">
        <f t="shared" si="33"/>
        <v>9300</v>
      </c>
      <c r="V88" s="61"/>
      <c r="W88" s="61"/>
      <c r="X88" s="61">
        <f>100+9200</f>
        <v>9300</v>
      </c>
      <c r="Y88" s="60">
        <f t="shared" si="34"/>
        <v>1000</v>
      </c>
      <c r="Z88" s="57"/>
      <c r="AA88" s="57"/>
      <c r="AB88" s="57">
        <v>1000</v>
      </c>
      <c r="AC88" s="57"/>
      <c r="AD88" s="57"/>
      <c r="AE88" s="57"/>
      <c r="AF88" s="57"/>
      <c r="AH88" s="95">
        <f t="shared" si="35"/>
        <v>-277</v>
      </c>
    </row>
    <row r="89" spans="1:34" s="48" customFormat="1" ht="14.25">
      <c r="A89" s="92" t="s">
        <v>67</v>
      </c>
      <c r="B89" s="55" t="s">
        <v>61</v>
      </c>
      <c r="C89" s="55"/>
      <c r="D89" s="92"/>
      <c r="E89" s="92"/>
      <c r="F89" s="92"/>
      <c r="G89" s="90"/>
      <c r="H89" s="92"/>
      <c r="I89" s="92"/>
      <c r="J89" s="92"/>
      <c r="K89" s="92"/>
      <c r="L89" s="60">
        <f t="shared" ref="L89:AE89" si="36">SUM(L90:L90)</f>
        <v>73335</v>
      </c>
      <c r="M89" s="60">
        <f t="shared" si="36"/>
        <v>0</v>
      </c>
      <c r="N89" s="60">
        <f t="shared" si="36"/>
        <v>0</v>
      </c>
      <c r="O89" s="60">
        <f t="shared" si="36"/>
        <v>73335</v>
      </c>
      <c r="P89" s="60">
        <f t="shared" si="36"/>
        <v>66000</v>
      </c>
      <c r="Q89" s="60">
        <f t="shared" si="36"/>
        <v>28200</v>
      </c>
      <c r="R89" s="60">
        <f t="shared" si="36"/>
        <v>0</v>
      </c>
      <c r="S89" s="60">
        <f t="shared" si="36"/>
        <v>0</v>
      </c>
      <c r="T89" s="60">
        <f t="shared" si="36"/>
        <v>28200</v>
      </c>
      <c r="U89" s="60">
        <f t="shared" si="36"/>
        <v>28200</v>
      </c>
      <c r="V89" s="60">
        <f t="shared" si="36"/>
        <v>0</v>
      </c>
      <c r="W89" s="60">
        <f t="shared" si="36"/>
        <v>0</v>
      </c>
      <c r="X89" s="60">
        <f t="shared" si="36"/>
        <v>28200</v>
      </c>
      <c r="Y89" s="60">
        <f t="shared" si="36"/>
        <v>20000</v>
      </c>
      <c r="Z89" s="60">
        <f t="shared" si="36"/>
        <v>0</v>
      </c>
      <c r="AA89" s="60">
        <f t="shared" si="36"/>
        <v>0</v>
      </c>
      <c r="AB89" s="60">
        <f t="shared" si="36"/>
        <v>20000</v>
      </c>
      <c r="AC89" s="60">
        <f t="shared" si="36"/>
        <v>0</v>
      </c>
      <c r="AD89" s="60">
        <f t="shared" si="36"/>
        <v>0</v>
      </c>
      <c r="AE89" s="60">
        <f t="shared" si="36"/>
        <v>0</v>
      </c>
      <c r="AF89" s="56"/>
      <c r="AG89" s="50">
        <f>P89-U89-Y89</f>
        <v>17800</v>
      </c>
      <c r="AH89" s="95">
        <f t="shared" si="35"/>
        <v>-19070</v>
      </c>
    </row>
    <row r="90" spans="1:34" ht="60">
      <c r="A90" s="89">
        <v>1</v>
      </c>
      <c r="B90" s="54" t="s">
        <v>110</v>
      </c>
      <c r="C90" s="54" t="s">
        <v>344</v>
      </c>
      <c r="D90" s="89" t="s">
        <v>13</v>
      </c>
      <c r="E90" s="89" t="s">
        <v>181</v>
      </c>
      <c r="F90" s="89" t="s">
        <v>3</v>
      </c>
      <c r="G90" s="91">
        <v>7608266</v>
      </c>
      <c r="H90" s="89">
        <v>161</v>
      </c>
      <c r="I90" s="89" t="s">
        <v>63</v>
      </c>
      <c r="J90" s="89" t="s">
        <v>18</v>
      </c>
      <c r="K90" s="89" t="s">
        <v>111</v>
      </c>
      <c r="L90" s="60">
        <f>SUM(M90:O90)</f>
        <v>73335</v>
      </c>
      <c r="M90" s="61"/>
      <c r="N90" s="61"/>
      <c r="O90" s="61">
        <v>73335</v>
      </c>
      <c r="P90" s="61">
        <v>66000</v>
      </c>
      <c r="Q90" s="60">
        <f>SUM(R90:T90)</f>
        <v>28200</v>
      </c>
      <c r="R90" s="61"/>
      <c r="S90" s="61"/>
      <c r="T90" s="61">
        <f>200+28000</f>
        <v>28200</v>
      </c>
      <c r="U90" s="60">
        <f>SUM(V90:X90)</f>
        <v>28200</v>
      </c>
      <c r="V90" s="61"/>
      <c r="W90" s="61"/>
      <c r="X90" s="61">
        <f>200+28000</f>
        <v>28200</v>
      </c>
      <c r="Y90" s="60">
        <f>SUM(Z90:AD90)</f>
        <v>20000</v>
      </c>
      <c r="Z90" s="57"/>
      <c r="AA90" s="57"/>
      <c r="AB90" s="57">
        <v>20000</v>
      </c>
      <c r="AC90" s="57"/>
      <c r="AD90" s="57"/>
      <c r="AE90" s="57"/>
      <c r="AF90" s="57"/>
      <c r="AG90" s="93">
        <f>P90-U90-Y90</f>
        <v>17800</v>
      </c>
      <c r="AH90" s="95">
        <f t="shared" si="35"/>
        <v>25135</v>
      </c>
    </row>
    <row r="91" spans="1:34" s="107" customFormat="1" ht="14.25">
      <c r="A91" s="99" t="s">
        <v>185</v>
      </c>
      <c r="B91" s="100" t="s">
        <v>345</v>
      </c>
      <c r="C91" s="100"/>
      <c r="D91" s="99"/>
      <c r="E91" s="99"/>
      <c r="F91" s="99"/>
      <c r="G91" s="97"/>
      <c r="H91" s="99"/>
      <c r="I91" s="99"/>
      <c r="J91" s="99"/>
      <c r="K91" s="99"/>
      <c r="L91" s="103">
        <f>L92+L94</f>
        <v>219258</v>
      </c>
      <c r="M91" s="103">
        <f t="shared" ref="M91:AE91" si="37">M92+M94</f>
        <v>0</v>
      </c>
      <c r="N91" s="103">
        <f t="shared" si="37"/>
        <v>0</v>
      </c>
      <c r="O91" s="103">
        <f t="shared" si="37"/>
        <v>219258</v>
      </c>
      <c r="P91" s="103">
        <f t="shared" si="37"/>
        <v>164697</v>
      </c>
      <c r="Q91" s="103">
        <f t="shared" si="37"/>
        <v>67923</v>
      </c>
      <c r="R91" s="103">
        <f t="shared" si="37"/>
        <v>0</v>
      </c>
      <c r="S91" s="103">
        <f t="shared" si="37"/>
        <v>0</v>
      </c>
      <c r="T91" s="103">
        <f t="shared" si="37"/>
        <v>94902</v>
      </c>
      <c r="U91" s="103">
        <f t="shared" si="37"/>
        <v>94902</v>
      </c>
      <c r="V91" s="103">
        <f t="shared" si="37"/>
        <v>0</v>
      </c>
      <c r="W91" s="103">
        <f t="shared" si="37"/>
        <v>0</v>
      </c>
      <c r="X91" s="103">
        <f t="shared" si="37"/>
        <v>94902</v>
      </c>
      <c r="Y91" s="103">
        <f t="shared" si="37"/>
        <v>30297</v>
      </c>
      <c r="Z91" s="103">
        <f t="shared" si="37"/>
        <v>0</v>
      </c>
      <c r="AA91" s="103">
        <f t="shared" si="37"/>
        <v>0</v>
      </c>
      <c r="AB91" s="103">
        <f t="shared" si="37"/>
        <v>1297</v>
      </c>
      <c r="AC91" s="103">
        <f t="shared" si="37"/>
        <v>0</v>
      </c>
      <c r="AD91" s="103">
        <f t="shared" si="37"/>
        <v>29000</v>
      </c>
      <c r="AE91" s="103">
        <f t="shared" si="37"/>
        <v>0</v>
      </c>
      <c r="AF91" s="104"/>
      <c r="AG91" s="105"/>
      <c r="AH91" s="106"/>
    </row>
    <row r="92" spans="1:34" s="48" customFormat="1" ht="42.75">
      <c r="A92" s="92" t="s">
        <v>73</v>
      </c>
      <c r="B92" s="55" t="s">
        <v>190</v>
      </c>
      <c r="C92" s="55"/>
      <c r="D92" s="92"/>
      <c r="E92" s="92"/>
      <c r="F92" s="92"/>
      <c r="G92" s="90"/>
      <c r="H92" s="92"/>
      <c r="I92" s="92"/>
      <c r="J92" s="92"/>
      <c r="K92" s="92"/>
      <c r="L92" s="60">
        <f>L93</f>
        <v>29585</v>
      </c>
      <c r="M92" s="60">
        <f t="shared" ref="M92:AE92" si="38">M93</f>
        <v>0</v>
      </c>
      <c r="N92" s="60">
        <f t="shared" si="38"/>
        <v>0</v>
      </c>
      <c r="O92" s="60">
        <f t="shared" si="38"/>
        <v>29585</v>
      </c>
      <c r="P92" s="60">
        <f t="shared" si="38"/>
        <v>1297</v>
      </c>
      <c r="Q92" s="60">
        <f t="shared" si="38"/>
        <v>0</v>
      </c>
      <c r="R92" s="60">
        <f t="shared" si="38"/>
        <v>0</v>
      </c>
      <c r="S92" s="60">
        <f t="shared" si="38"/>
        <v>0</v>
      </c>
      <c r="T92" s="60">
        <f t="shared" si="38"/>
        <v>26979</v>
      </c>
      <c r="U92" s="60">
        <f t="shared" si="38"/>
        <v>26979</v>
      </c>
      <c r="V92" s="60">
        <f t="shared" si="38"/>
        <v>0</v>
      </c>
      <c r="W92" s="60">
        <f t="shared" si="38"/>
        <v>0</v>
      </c>
      <c r="X92" s="60">
        <f t="shared" si="38"/>
        <v>26979</v>
      </c>
      <c r="Y92" s="60">
        <f t="shared" si="38"/>
        <v>1297</v>
      </c>
      <c r="Z92" s="60">
        <f t="shared" si="38"/>
        <v>0</v>
      </c>
      <c r="AA92" s="60">
        <f t="shared" si="38"/>
        <v>0</v>
      </c>
      <c r="AB92" s="60">
        <f t="shared" si="38"/>
        <v>1297</v>
      </c>
      <c r="AC92" s="60">
        <f t="shared" si="38"/>
        <v>0</v>
      </c>
      <c r="AD92" s="60">
        <f t="shared" si="38"/>
        <v>0</v>
      </c>
      <c r="AE92" s="60">
        <f t="shared" si="38"/>
        <v>0</v>
      </c>
      <c r="AF92" s="56"/>
      <c r="AG92" s="50">
        <f>P92-U92-Y92</f>
        <v>-26979</v>
      </c>
      <c r="AH92" s="95" t="e">
        <f>#REF!-#REF!-Y92</f>
        <v>#REF!</v>
      </c>
    </row>
    <row r="93" spans="1:34" ht="45">
      <c r="A93" s="89">
        <v>1</v>
      </c>
      <c r="B93" s="54" t="s">
        <v>322</v>
      </c>
      <c r="C93" s="54" t="s">
        <v>345</v>
      </c>
      <c r="D93" s="89" t="s">
        <v>17</v>
      </c>
      <c r="E93" s="89" t="s">
        <v>181</v>
      </c>
      <c r="F93" s="89" t="s">
        <v>2</v>
      </c>
      <c r="G93" s="91">
        <v>7045428</v>
      </c>
      <c r="H93" s="70">
        <v>494</v>
      </c>
      <c r="I93" s="89" t="s">
        <v>63</v>
      </c>
      <c r="J93" s="89" t="s">
        <v>323</v>
      </c>
      <c r="K93" s="89" t="s">
        <v>236</v>
      </c>
      <c r="L93" s="60">
        <f>SUM(M93:O93)</f>
        <v>29585</v>
      </c>
      <c r="M93" s="61"/>
      <c r="N93" s="61"/>
      <c r="O93" s="61">
        <v>29585</v>
      </c>
      <c r="P93" s="61">
        <v>1297</v>
      </c>
      <c r="Q93" s="60"/>
      <c r="R93" s="61"/>
      <c r="S93" s="61"/>
      <c r="T93" s="61">
        <v>26979</v>
      </c>
      <c r="U93" s="60">
        <f>SUM(V93:X93)</f>
        <v>26979</v>
      </c>
      <c r="V93" s="61"/>
      <c r="W93" s="61"/>
      <c r="X93" s="61">
        <v>26979</v>
      </c>
      <c r="Y93" s="60">
        <f>SUM(Z93:AD93)</f>
        <v>1297</v>
      </c>
      <c r="Z93" s="57"/>
      <c r="AA93" s="57"/>
      <c r="AB93" s="57">
        <v>1297</v>
      </c>
      <c r="AC93" s="57"/>
      <c r="AD93" s="57"/>
      <c r="AE93" s="57"/>
      <c r="AF93" s="57"/>
      <c r="AH93" s="95">
        <f>L92-U92-Y93</f>
        <v>1309</v>
      </c>
    </row>
    <row r="94" spans="1:34" s="48" customFormat="1" ht="14.25">
      <c r="A94" s="92" t="s">
        <v>67</v>
      </c>
      <c r="B94" s="55" t="s">
        <v>61</v>
      </c>
      <c r="C94" s="55"/>
      <c r="D94" s="92"/>
      <c r="E94" s="92"/>
      <c r="F94" s="92"/>
      <c r="G94" s="90"/>
      <c r="H94" s="92"/>
      <c r="I94" s="92"/>
      <c r="J94" s="92"/>
      <c r="K94" s="92"/>
      <c r="L94" s="60">
        <f>SUM(L95:L101)</f>
        <v>189673</v>
      </c>
      <c r="M94" s="60">
        <f t="shared" ref="M94:AE94" si="39">SUM(M95:M101)</f>
        <v>0</v>
      </c>
      <c r="N94" s="60">
        <f t="shared" si="39"/>
        <v>0</v>
      </c>
      <c r="O94" s="60">
        <f t="shared" si="39"/>
        <v>189673</v>
      </c>
      <c r="P94" s="60">
        <f t="shared" si="39"/>
        <v>163400</v>
      </c>
      <c r="Q94" s="60">
        <f t="shared" si="39"/>
        <v>67923</v>
      </c>
      <c r="R94" s="60">
        <f t="shared" si="39"/>
        <v>0</v>
      </c>
      <c r="S94" s="60">
        <f t="shared" si="39"/>
        <v>0</v>
      </c>
      <c r="T94" s="60">
        <f t="shared" si="39"/>
        <v>67923</v>
      </c>
      <c r="U94" s="60">
        <f t="shared" si="39"/>
        <v>67923</v>
      </c>
      <c r="V94" s="60">
        <f t="shared" si="39"/>
        <v>0</v>
      </c>
      <c r="W94" s="60">
        <f t="shared" si="39"/>
        <v>0</v>
      </c>
      <c r="X94" s="60">
        <f t="shared" si="39"/>
        <v>67923</v>
      </c>
      <c r="Y94" s="60">
        <f t="shared" si="39"/>
        <v>29000</v>
      </c>
      <c r="Z94" s="60">
        <f t="shared" si="39"/>
        <v>0</v>
      </c>
      <c r="AA94" s="60">
        <f t="shared" si="39"/>
        <v>0</v>
      </c>
      <c r="AB94" s="60">
        <f t="shared" si="39"/>
        <v>0</v>
      </c>
      <c r="AC94" s="60">
        <f t="shared" si="39"/>
        <v>0</v>
      </c>
      <c r="AD94" s="60">
        <f t="shared" si="39"/>
        <v>29000</v>
      </c>
      <c r="AE94" s="60">
        <f t="shared" si="39"/>
        <v>0</v>
      </c>
      <c r="AF94" s="56"/>
      <c r="AG94" s="50">
        <f t="shared" ref="AG94:AG101" si="40">P94-U94-Y94</f>
        <v>66477</v>
      </c>
      <c r="AH94" s="95">
        <f>L93-U93-Y94</f>
        <v>-26394</v>
      </c>
    </row>
    <row r="95" spans="1:34" ht="45">
      <c r="A95" s="89">
        <v>1</v>
      </c>
      <c r="B95" s="54" t="s">
        <v>123</v>
      </c>
      <c r="C95" s="54" t="s">
        <v>345</v>
      </c>
      <c r="D95" s="89" t="s">
        <v>124</v>
      </c>
      <c r="E95" s="89" t="s">
        <v>181</v>
      </c>
      <c r="F95" s="89" t="s">
        <v>3</v>
      </c>
      <c r="G95" s="91">
        <v>7577734</v>
      </c>
      <c r="H95" s="70" t="s">
        <v>365</v>
      </c>
      <c r="I95" s="89" t="s">
        <v>63</v>
      </c>
      <c r="J95" s="89" t="s">
        <v>25</v>
      </c>
      <c r="K95" s="89" t="s">
        <v>125</v>
      </c>
      <c r="L95" s="60">
        <f t="shared" ref="L95:L101" si="41">SUM(M95:O95)</f>
        <v>24950</v>
      </c>
      <c r="M95" s="61"/>
      <c r="N95" s="61"/>
      <c r="O95" s="61">
        <v>24950</v>
      </c>
      <c r="P95" s="61">
        <v>22100</v>
      </c>
      <c r="Q95" s="60">
        <f t="shared" ref="Q95:Q101" si="42">SUM(R95:T95)</f>
        <v>21100</v>
      </c>
      <c r="R95" s="61"/>
      <c r="S95" s="61"/>
      <c r="T95" s="61">
        <f>100+6000+15000</f>
        <v>21100</v>
      </c>
      <c r="U95" s="60">
        <f t="shared" ref="U95:U101" si="43">SUM(V95:X95)</f>
        <v>21100</v>
      </c>
      <c r="V95" s="61"/>
      <c r="W95" s="61"/>
      <c r="X95" s="61">
        <f>100+6000+15000</f>
        <v>21100</v>
      </c>
      <c r="Y95" s="60">
        <f t="shared" ref="Y95:Y101" si="44">SUM(Z95:AD95)</f>
        <v>1000</v>
      </c>
      <c r="Z95" s="57"/>
      <c r="AA95" s="57"/>
      <c r="AB95" s="57"/>
      <c r="AC95" s="57"/>
      <c r="AD95" s="57">
        <v>1000</v>
      </c>
      <c r="AE95" s="57"/>
      <c r="AF95" s="57"/>
      <c r="AG95" s="93">
        <f t="shared" si="40"/>
        <v>0</v>
      </c>
      <c r="AH95" s="95">
        <f>'Chu dau tu'!L54-'Chu dau tu'!U54-Y95</f>
        <v>37466</v>
      </c>
    </row>
    <row r="96" spans="1:34" ht="45">
      <c r="A96" s="89">
        <v>2</v>
      </c>
      <c r="B96" s="54" t="s">
        <v>126</v>
      </c>
      <c r="C96" s="54" t="s">
        <v>345</v>
      </c>
      <c r="D96" s="89" t="s">
        <v>17</v>
      </c>
      <c r="E96" s="89" t="s">
        <v>181</v>
      </c>
      <c r="F96" s="89" t="s">
        <v>3</v>
      </c>
      <c r="G96" s="91">
        <v>7570153</v>
      </c>
      <c r="H96" s="70" t="s">
        <v>365</v>
      </c>
      <c r="I96" s="89" t="s">
        <v>63</v>
      </c>
      <c r="J96" s="89" t="s">
        <v>25</v>
      </c>
      <c r="K96" s="89" t="s">
        <v>127</v>
      </c>
      <c r="L96" s="60">
        <f t="shared" si="41"/>
        <v>27764</v>
      </c>
      <c r="M96" s="61"/>
      <c r="N96" s="61"/>
      <c r="O96" s="61">
        <v>27764</v>
      </c>
      <c r="P96" s="61">
        <v>22600</v>
      </c>
      <c r="Q96" s="60">
        <f t="shared" si="42"/>
        <v>20100</v>
      </c>
      <c r="R96" s="61"/>
      <c r="S96" s="61"/>
      <c r="T96" s="61">
        <f>100+7000+1000+12000</f>
        <v>20100</v>
      </c>
      <c r="U96" s="60">
        <f t="shared" si="43"/>
        <v>20100</v>
      </c>
      <c r="V96" s="61"/>
      <c r="W96" s="61"/>
      <c r="X96" s="61">
        <f>100+7000+1000+12000</f>
        <v>20100</v>
      </c>
      <c r="Y96" s="60">
        <f t="shared" si="44"/>
        <v>2000</v>
      </c>
      <c r="Z96" s="57"/>
      <c r="AA96" s="57"/>
      <c r="AB96" s="57"/>
      <c r="AC96" s="57"/>
      <c r="AD96" s="57">
        <v>2000</v>
      </c>
      <c r="AE96" s="57"/>
      <c r="AF96" s="57"/>
      <c r="AG96" s="93">
        <f t="shared" si="40"/>
        <v>500</v>
      </c>
      <c r="AH96" s="95">
        <f t="shared" ref="AH96:AH101" si="45">L95-U95-Y96</f>
        <v>1850</v>
      </c>
    </row>
    <row r="97" spans="1:34" ht="45">
      <c r="A97" s="89">
        <v>3</v>
      </c>
      <c r="B97" s="54" t="s">
        <v>128</v>
      </c>
      <c r="C97" s="54" t="s">
        <v>345</v>
      </c>
      <c r="D97" s="89" t="s">
        <v>62</v>
      </c>
      <c r="E97" s="89" t="s">
        <v>181</v>
      </c>
      <c r="F97" s="89" t="s">
        <v>3</v>
      </c>
      <c r="G97" s="91">
        <v>7577064</v>
      </c>
      <c r="H97" s="70" t="s">
        <v>365</v>
      </c>
      <c r="I97" s="89" t="s">
        <v>63</v>
      </c>
      <c r="J97" s="89" t="s">
        <v>25</v>
      </c>
      <c r="K97" s="89" t="s">
        <v>129</v>
      </c>
      <c r="L97" s="60">
        <f t="shared" si="41"/>
        <v>18902</v>
      </c>
      <c r="M97" s="61"/>
      <c r="N97" s="61"/>
      <c r="O97" s="61">
        <v>18902</v>
      </c>
      <c r="P97" s="61">
        <v>15300</v>
      </c>
      <c r="Q97" s="60">
        <f t="shared" si="42"/>
        <v>9600</v>
      </c>
      <c r="R97" s="61"/>
      <c r="S97" s="61"/>
      <c r="T97" s="61">
        <f>100+4000-2500+8000</f>
        <v>9600</v>
      </c>
      <c r="U97" s="60">
        <f t="shared" si="43"/>
        <v>9600</v>
      </c>
      <c r="V97" s="61"/>
      <c r="W97" s="61"/>
      <c r="X97" s="61">
        <f>100+4000-2500+8000</f>
        <v>9600</v>
      </c>
      <c r="Y97" s="60">
        <f t="shared" si="44"/>
        <v>5000</v>
      </c>
      <c r="Z97" s="57"/>
      <c r="AA97" s="57"/>
      <c r="AB97" s="57"/>
      <c r="AC97" s="57"/>
      <c r="AD97" s="57">
        <v>5000</v>
      </c>
      <c r="AE97" s="57"/>
      <c r="AF97" s="57"/>
      <c r="AG97" s="93">
        <f t="shared" si="40"/>
        <v>700</v>
      </c>
      <c r="AH97" s="95">
        <f t="shared" si="45"/>
        <v>2664</v>
      </c>
    </row>
    <row r="98" spans="1:34" ht="45">
      <c r="A98" s="89">
        <v>4</v>
      </c>
      <c r="B98" s="54" t="s">
        <v>130</v>
      </c>
      <c r="C98" s="54" t="s">
        <v>345</v>
      </c>
      <c r="D98" s="89" t="s">
        <v>13</v>
      </c>
      <c r="E98" s="89" t="s">
        <v>181</v>
      </c>
      <c r="F98" s="89" t="s">
        <v>3</v>
      </c>
      <c r="G98" s="91">
        <v>7577058</v>
      </c>
      <c r="H98" s="70" t="s">
        <v>365</v>
      </c>
      <c r="I98" s="89" t="s">
        <v>63</v>
      </c>
      <c r="J98" s="89" t="s">
        <v>25</v>
      </c>
      <c r="K98" s="89" t="s">
        <v>127</v>
      </c>
      <c r="L98" s="60">
        <f t="shared" si="41"/>
        <v>21199</v>
      </c>
      <c r="M98" s="61"/>
      <c r="N98" s="61"/>
      <c r="O98" s="61">
        <v>21199</v>
      </c>
      <c r="P98" s="61">
        <v>19900</v>
      </c>
      <c r="Q98" s="60">
        <f t="shared" si="42"/>
        <v>10600</v>
      </c>
      <c r="R98" s="61"/>
      <c r="S98" s="61"/>
      <c r="T98" s="61">
        <f>100+3000-500+8000</f>
        <v>10600</v>
      </c>
      <c r="U98" s="60">
        <f t="shared" si="43"/>
        <v>10600</v>
      </c>
      <c r="V98" s="61"/>
      <c r="W98" s="61"/>
      <c r="X98" s="61">
        <f>100+3000-500+8000</f>
        <v>10600</v>
      </c>
      <c r="Y98" s="60">
        <f t="shared" si="44"/>
        <v>9000</v>
      </c>
      <c r="Z98" s="57"/>
      <c r="AA98" s="57"/>
      <c r="AB98" s="57"/>
      <c r="AC98" s="57"/>
      <c r="AD98" s="57">
        <v>9000</v>
      </c>
      <c r="AE98" s="57"/>
      <c r="AF98" s="57"/>
      <c r="AG98" s="93">
        <f t="shared" si="40"/>
        <v>300</v>
      </c>
      <c r="AH98" s="95">
        <f t="shared" si="45"/>
        <v>302</v>
      </c>
    </row>
    <row r="99" spans="1:34" ht="45">
      <c r="A99" s="89">
        <v>5</v>
      </c>
      <c r="B99" s="54" t="s">
        <v>131</v>
      </c>
      <c r="C99" s="54" t="s">
        <v>345</v>
      </c>
      <c r="D99" s="89" t="s">
        <v>13</v>
      </c>
      <c r="E99" s="89" t="s">
        <v>181</v>
      </c>
      <c r="F99" s="89" t="s">
        <v>3</v>
      </c>
      <c r="G99" s="91">
        <v>7586410</v>
      </c>
      <c r="H99" s="70" t="s">
        <v>365</v>
      </c>
      <c r="I99" s="89" t="s">
        <v>63</v>
      </c>
      <c r="J99" s="89" t="s">
        <v>18</v>
      </c>
      <c r="K99" s="89" t="s">
        <v>132</v>
      </c>
      <c r="L99" s="60">
        <f t="shared" si="41"/>
        <v>42954</v>
      </c>
      <c r="M99" s="61"/>
      <c r="N99" s="61"/>
      <c r="O99" s="61">
        <v>42954</v>
      </c>
      <c r="P99" s="61">
        <v>38500</v>
      </c>
      <c r="Q99" s="60">
        <f t="shared" si="42"/>
        <v>1350</v>
      </c>
      <c r="R99" s="61"/>
      <c r="S99" s="61"/>
      <c r="T99" s="61">
        <f>150+1200</f>
        <v>1350</v>
      </c>
      <c r="U99" s="60">
        <f t="shared" si="43"/>
        <v>1350</v>
      </c>
      <c r="V99" s="61"/>
      <c r="W99" s="61"/>
      <c r="X99" s="61">
        <f>150+1200</f>
        <v>1350</v>
      </c>
      <c r="Y99" s="60">
        <f t="shared" si="44"/>
        <v>5000</v>
      </c>
      <c r="Z99" s="57"/>
      <c r="AA99" s="57"/>
      <c r="AB99" s="57"/>
      <c r="AC99" s="57"/>
      <c r="AD99" s="57">
        <v>5000</v>
      </c>
      <c r="AE99" s="57"/>
      <c r="AF99" s="57"/>
      <c r="AG99" s="93">
        <f t="shared" si="40"/>
        <v>32150</v>
      </c>
      <c r="AH99" s="95">
        <f t="shared" si="45"/>
        <v>5599</v>
      </c>
    </row>
    <row r="100" spans="1:34" ht="45">
      <c r="A100" s="89">
        <v>6</v>
      </c>
      <c r="B100" s="54" t="s">
        <v>133</v>
      </c>
      <c r="C100" s="54" t="s">
        <v>345</v>
      </c>
      <c r="D100" s="89" t="s">
        <v>62</v>
      </c>
      <c r="E100" s="89" t="s">
        <v>181</v>
      </c>
      <c r="F100" s="89" t="s">
        <v>3</v>
      </c>
      <c r="G100" s="91">
        <v>7602083</v>
      </c>
      <c r="H100" s="70" t="s">
        <v>365</v>
      </c>
      <c r="I100" s="89" t="s">
        <v>63</v>
      </c>
      <c r="J100" s="89" t="s">
        <v>18</v>
      </c>
      <c r="K100" s="89" t="s">
        <v>134</v>
      </c>
      <c r="L100" s="60">
        <f t="shared" si="41"/>
        <v>7499</v>
      </c>
      <c r="M100" s="61"/>
      <c r="N100" s="61"/>
      <c r="O100" s="61">
        <v>7499</v>
      </c>
      <c r="P100" s="61">
        <v>6000</v>
      </c>
      <c r="Q100" s="60">
        <f t="shared" si="42"/>
        <v>3773</v>
      </c>
      <c r="R100" s="61"/>
      <c r="S100" s="61"/>
      <c r="T100" s="61">
        <v>3773</v>
      </c>
      <c r="U100" s="60">
        <f t="shared" si="43"/>
        <v>3773</v>
      </c>
      <c r="V100" s="61"/>
      <c r="W100" s="61"/>
      <c r="X100" s="61">
        <f>70+3703</f>
        <v>3773</v>
      </c>
      <c r="Y100" s="60">
        <f t="shared" si="44"/>
        <v>2000</v>
      </c>
      <c r="Z100" s="57"/>
      <c r="AA100" s="57"/>
      <c r="AB100" s="57"/>
      <c r="AC100" s="57"/>
      <c r="AD100" s="57">
        <v>2000</v>
      </c>
      <c r="AE100" s="57"/>
      <c r="AF100" s="57"/>
      <c r="AG100" s="93">
        <f t="shared" si="40"/>
        <v>227</v>
      </c>
      <c r="AH100" s="95">
        <f t="shared" si="45"/>
        <v>39604</v>
      </c>
    </row>
    <row r="101" spans="1:34" ht="45">
      <c r="A101" s="89">
        <v>7</v>
      </c>
      <c r="B101" s="54" t="s">
        <v>135</v>
      </c>
      <c r="C101" s="54" t="s">
        <v>345</v>
      </c>
      <c r="D101" s="89" t="s">
        <v>32</v>
      </c>
      <c r="E101" s="89" t="s">
        <v>181</v>
      </c>
      <c r="F101" s="89" t="s">
        <v>2</v>
      </c>
      <c r="G101" s="91">
        <v>7623911</v>
      </c>
      <c r="H101" s="70" t="s">
        <v>365</v>
      </c>
      <c r="I101" s="89" t="s">
        <v>63</v>
      </c>
      <c r="J101" s="89" t="s">
        <v>18</v>
      </c>
      <c r="K101" s="89" t="s">
        <v>136</v>
      </c>
      <c r="L101" s="60">
        <f t="shared" si="41"/>
        <v>46405</v>
      </c>
      <c r="M101" s="61"/>
      <c r="N101" s="61"/>
      <c r="O101" s="61">
        <v>46405</v>
      </c>
      <c r="P101" s="61">
        <v>39000</v>
      </c>
      <c r="Q101" s="60">
        <f t="shared" si="42"/>
        <v>1400</v>
      </c>
      <c r="R101" s="61"/>
      <c r="S101" s="61"/>
      <c r="T101" s="61">
        <f>200+1200</f>
        <v>1400</v>
      </c>
      <c r="U101" s="60">
        <f t="shared" si="43"/>
        <v>1400</v>
      </c>
      <c r="V101" s="61"/>
      <c r="W101" s="61"/>
      <c r="X101" s="61">
        <f>200+1200</f>
        <v>1400</v>
      </c>
      <c r="Y101" s="60">
        <f t="shared" si="44"/>
        <v>5000</v>
      </c>
      <c r="Z101" s="57"/>
      <c r="AA101" s="57"/>
      <c r="AB101" s="57"/>
      <c r="AC101" s="57"/>
      <c r="AD101" s="57">
        <v>5000</v>
      </c>
      <c r="AE101" s="57"/>
      <c r="AF101" s="57"/>
      <c r="AG101" s="93">
        <f t="shared" si="40"/>
        <v>32600</v>
      </c>
      <c r="AH101" s="95">
        <f t="shared" si="45"/>
        <v>-1274</v>
      </c>
    </row>
    <row r="102" spans="1:34" s="107" customFormat="1" ht="28.5">
      <c r="A102" s="99" t="s">
        <v>367</v>
      </c>
      <c r="B102" s="100" t="s">
        <v>346</v>
      </c>
      <c r="C102" s="100"/>
      <c r="D102" s="99"/>
      <c r="E102" s="99"/>
      <c r="F102" s="99"/>
      <c r="G102" s="97"/>
      <c r="H102" s="99"/>
      <c r="I102" s="99"/>
      <c r="J102" s="99"/>
      <c r="K102" s="99"/>
      <c r="L102" s="103">
        <f>L103</f>
        <v>89757</v>
      </c>
      <c r="M102" s="103">
        <f t="shared" ref="M102:AE103" si="46">M103</f>
        <v>0</v>
      </c>
      <c r="N102" s="103">
        <f t="shared" si="46"/>
        <v>0</v>
      </c>
      <c r="O102" s="103">
        <f t="shared" si="46"/>
        <v>89757</v>
      </c>
      <c r="P102" s="103">
        <f t="shared" si="46"/>
        <v>75102</v>
      </c>
      <c r="Q102" s="103">
        <f t="shared" si="46"/>
        <v>50202</v>
      </c>
      <c r="R102" s="103">
        <f t="shared" si="46"/>
        <v>0</v>
      </c>
      <c r="S102" s="103">
        <f t="shared" si="46"/>
        <v>0</v>
      </c>
      <c r="T102" s="103">
        <f t="shared" si="46"/>
        <v>50202</v>
      </c>
      <c r="U102" s="103">
        <f t="shared" si="46"/>
        <v>50202</v>
      </c>
      <c r="V102" s="103">
        <f t="shared" si="46"/>
        <v>0</v>
      </c>
      <c r="W102" s="103">
        <f t="shared" si="46"/>
        <v>0</v>
      </c>
      <c r="X102" s="103">
        <f t="shared" si="46"/>
        <v>50202</v>
      </c>
      <c r="Y102" s="103">
        <f t="shared" si="46"/>
        <v>5000</v>
      </c>
      <c r="Z102" s="103">
        <f t="shared" si="46"/>
        <v>0</v>
      </c>
      <c r="AA102" s="103">
        <f t="shared" si="46"/>
        <v>0</v>
      </c>
      <c r="AB102" s="103">
        <f t="shared" si="46"/>
        <v>0</v>
      </c>
      <c r="AC102" s="103">
        <f t="shared" si="46"/>
        <v>0</v>
      </c>
      <c r="AD102" s="103">
        <f t="shared" si="46"/>
        <v>5000</v>
      </c>
      <c r="AE102" s="103">
        <f t="shared" si="46"/>
        <v>0</v>
      </c>
      <c r="AF102" s="104"/>
      <c r="AG102" s="105"/>
      <c r="AH102" s="106"/>
    </row>
    <row r="103" spans="1:34" s="48" customFormat="1" ht="14.25">
      <c r="A103" s="92" t="s">
        <v>67</v>
      </c>
      <c r="B103" s="55" t="s">
        <v>61</v>
      </c>
      <c r="C103" s="55"/>
      <c r="D103" s="92"/>
      <c r="E103" s="92"/>
      <c r="F103" s="92"/>
      <c r="G103" s="90"/>
      <c r="H103" s="92"/>
      <c r="I103" s="92"/>
      <c r="J103" s="92"/>
      <c r="K103" s="92"/>
      <c r="L103" s="60">
        <f>L104</f>
        <v>89757</v>
      </c>
      <c r="M103" s="60">
        <f t="shared" si="46"/>
        <v>0</v>
      </c>
      <c r="N103" s="60">
        <f t="shared" si="46"/>
        <v>0</v>
      </c>
      <c r="O103" s="60">
        <f t="shared" si="46"/>
        <v>89757</v>
      </c>
      <c r="P103" s="60">
        <f t="shared" si="46"/>
        <v>75102</v>
      </c>
      <c r="Q103" s="60">
        <f t="shared" si="46"/>
        <v>50202</v>
      </c>
      <c r="R103" s="60">
        <f t="shared" si="46"/>
        <v>0</v>
      </c>
      <c r="S103" s="60">
        <f t="shared" si="46"/>
        <v>0</v>
      </c>
      <c r="T103" s="60">
        <f t="shared" si="46"/>
        <v>50202</v>
      </c>
      <c r="U103" s="60">
        <f t="shared" si="46"/>
        <v>50202</v>
      </c>
      <c r="V103" s="60">
        <f t="shared" si="46"/>
        <v>0</v>
      </c>
      <c r="W103" s="60">
        <f t="shared" si="46"/>
        <v>0</v>
      </c>
      <c r="X103" s="60">
        <f t="shared" si="46"/>
        <v>50202</v>
      </c>
      <c r="Y103" s="60">
        <f t="shared" si="46"/>
        <v>5000</v>
      </c>
      <c r="Z103" s="60">
        <f t="shared" si="46"/>
        <v>0</v>
      </c>
      <c r="AA103" s="60">
        <f t="shared" si="46"/>
        <v>0</v>
      </c>
      <c r="AB103" s="60">
        <f t="shared" si="46"/>
        <v>0</v>
      </c>
      <c r="AC103" s="60">
        <f t="shared" si="46"/>
        <v>0</v>
      </c>
      <c r="AD103" s="60">
        <f t="shared" si="46"/>
        <v>5000</v>
      </c>
      <c r="AE103" s="60">
        <f t="shared" si="46"/>
        <v>0</v>
      </c>
      <c r="AF103" s="56"/>
      <c r="AG103" s="50">
        <f>P103-U103-Y103</f>
        <v>19900</v>
      </c>
      <c r="AH103" s="95">
        <f>L102-U102-Y103</f>
        <v>34555</v>
      </c>
    </row>
    <row r="104" spans="1:34" ht="60">
      <c r="A104" s="89">
        <v>1</v>
      </c>
      <c r="B104" s="54" t="s">
        <v>119</v>
      </c>
      <c r="C104" s="54" t="s">
        <v>346</v>
      </c>
      <c r="D104" s="89" t="s">
        <v>29</v>
      </c>
      <c r="E104" s="89" t="s">
        <v>181</v>
      </c>
      <c r="F104" s="89" t="s">
        <v>3</v>
      </c>
      <c r="G104" s="91">
        <v>7538013</v>
      </c>
      <c r="H104" s="70" t="s">
        <v>227</v>
      </c>
      <c r="I104" s="89" t="s">
        <v>63</v>
      </c>
      <c r="J104" s="89" t="s">
        <v>22</v>
      </c>
      <c r="K104" s="89" t="s">
        <v>120</v>
      </c>
      <c r="L104" s="60">
        <f>SUM(M104:O104)</f>
        <v>89757</v>
      </c>
      <c r="M104" s="61"/>
      <c r="N104" s="61"/>
      <c r="O104" s="61">
        <v>89757</v>
      </c>
      <c r="P104" s="61">
        <v>75102</v>
      </c>
      <c r="Q104" s="60">
        <f>SUM(R104:T104)</f>
        <v>50202</v>
      </c>
      <c r="R104" s="61"/>
      <c r="S104" s="61"/>
      <c r="T104" s="61">
        <f>100+22800+4000+23302</f>
        <v>50202</v>
      </c>
      <c r="U104" s="60">
        <f>SUM(V104:X104)</f>
        <v>50202</v>
      </c>
      <c r="V104" s="61"/>
      <c r="W104" s="61"/>
      <c r="X104" s="61">
        <f>100+22800+4000+23302</f>
        <v>50202</v>
      </c>
      <c r="Y104" s="60">
        <f>SUM(Z104:AD104)</f>
        <v>5000</v>
      </c>
      <c r="Z104" s="57"/>
      <c r="AA104" s="57"/>
      <c r="AB104" s="57"/>
      <c r="AC104" s="57"/>
      <c r="AD104" s="57">
        <v>5000</v>
      </c>
      <c r="AE104" s="57"/>
      <c r="AF104" s="57"/>
      <c r="AG104" s="93">
        <f>P104-U104-Y104</f>
        <v>19900</v>
      </c>
      <c r="AH104" s="95" t="e">
        <f>#REF!-#REF!-Y104</f>
        <v>#REF!</v>
      </c>
    </row>
    <row r="105" spans="1:34" s="107" customFormat="1" ht="14.25">
      <c r="A105" s="99" t="s">
        <v>368</v>
      </c>
      <c r="B105" s="100" t="s">
        <v>245</v>
      </c>
      <c r="C105" s="100"/>
      <c r="D105" s="99"/>
      <c r="E105" s="99"/>
      <c r="F105" s="99"/>
      <c r="G105" s="97"/>
      <c r="H105" s="99"/>
      <c r="I105" s="99"/>
      <c r="J105" s="99"/>
      <c r="K105" s="99"/>
      <c r="L105" s="103">
        <f>L106+L108</f>
        <v>68009</v>
      </c>
      <c r="M105" s="103">
        <f t="shared" ref="M105:AE105" si="47">M106+M108</f>
        <v>0</v>
      </c>
      <c r="N105" s="103">
        <f t="shared" si="47"/>
        <v>0</v>
      </c>
      <c r="O105" s="103">
        <f t="shared" si="47"/>
        <v>68009</v>
      </c>
      <c r="P105" s="103">
        <f t="shared" si="47"/>
        <v>66600</v>
      </c>
      <c r="Q105" s="103">
        <f t="shared" si="47"/>
        <v>50800</v>
      </c>
      <c r="R105" s="103">
        <f t="shared" si="47"/>
        <v>0</v>
      </c>
      <c r="S105" s="103">
        <f t="shared" si="47"/>
        <v>0</v>
      </c>
      <c r="T105" s="103">
        <f t="shared" si="47"/>
        <v>50800</v>
      </c>
      <c r="U105" s="103">
        <f t="shared" si="47"/>
        <v>50800</v>
      </c>
      <c r="V105" s="103">
        <f t="shared" si="47"/>
        <v>0</v>
      </c>
      <c r="W105" s="103">
        <f t="shared" si="47"/>
        <v>0</v>
      </c>
      <c r="X105" s="103">
        <f t="shared" si="47"/>
        <v>50800</v>
      </c>
      <c r="Y105" s="103">
        <f t="shared" si="47"/>
        <v>13000</v>
      </c>
      <c r="Z105" s="103">
        <f t="shared" si="47"/>
        <v>0</v>
      </c>
      <c r="AA105" s="103">
        <f t="shared" si="47"/>
        <v>0</v>
      </c>
      <c r="AB105" s="103">
        <f t="shared" si="47"/>
        <v>0</v>
      </c>
      <c r="AC105" s="103">
        <f t="shared" si="47"/>
        <v>0</v>
      </c>
      <c r="AD105" s="103">
        <f t="shared" si="47"/>
        <v>13000</v>
      </c>
      <c r="AE105" s="103">
        <f t="shared" si="47"/>
        <v>0</v>
      </c>
      <c r="AF105" s="104"/>
      <c r="AG105" s="105"/>
      <c r="AH105" s="106"/>
    </row>
    <row r="106" spans="1:34" s="48" customFormat="1" ht="14.25">
      <c r="A106" s="92" t="s">
        <v>67</v>
      </c>
      <c r="B106" s="55" t="s">
        <v>61</v>
      </c>
      <c r="C106" s="55"/>
      <c r="D106" s="92"/>
      <c r="E106" s="92"/>
      <c r="F106" s="92"/>
      <c r="G106" s="90"/>
      <c r="H106" s="92"/>
      <c r="I106" s="92"/>
      <c r="J106" s="92"/>
      <c r="K106" s="92"/>
      <c r="L106" s="60">
        <f>L107</f>
        <v>55488</v>
      </c>
      <c r="M106" s="60">
        <f t="shared" ref="M106:AE106" si="48">M107</f>
        <v>0</v>
      </c>
      <c r="N106" s="60">
        <f t="shared" si="48"/>
        <v>0</v>
      </c>
      <c r="O106" s="60">
        <f t="shared" si="48"/>
        <v>55488</v>
      </c>
      <c r="P106" s="60">
        <f t="shared" si="48"/>
        <v>54600</v>
      </c>
      <c r="Q106" s="60">
        <f t="shared" si="48"/>
        <v>50500</v>
      </c>
      <c r="R106" s="60">
        <f t="shared" si="48"/>
        <v>0</v>
      </c>
      <c r="S106" s="60">
        <f t="shared" si="48"/>
        <v>0</v>
      </c>
      <c r="T106" s="60">
        <f t="shared" si="48"/>
        <v>50500</v>
      </c>
      <c r="U106" s="60">
        <f t="shared" si="48"/>
        <v>50500</v>
      </c>
      <c r="V106" s="60">
        <f t="shared" si="48"/>
        <v>0</v>
      </c>
      <c r="W106" s="60">
        <f t="shared" si="48"/>
        <v>0</v>
      </c>
      <c r="X106" s="60">
        <f t="shared" si="48"/>
        <v>50500</v>
      </c>
      <c r="Y106" s="60">
        <f t="shared" si="48"/>
        <v>3000</v>
      </c>
      <c r="Z106" s="60">
        <f t="shared" si="48"/>
        <v>0</v>
      </c>
      <c r="AA106" s="60">
        <f t="shared" si="48"/>
        <v>0</v>
      </c>
      <c r="AB106" s="60">
        <f t="shared" si="48"/>
        <v>0</v>
      </c>
      <c r="AC106" s="60">
        <f t="shared" si="48"/>
        <v>0</v>
      </c>
      <c r="AD106" s="60">
        <f t="shared" si="48"/>
        <v>3000</v>
      </c>
      <c r="AE106" s="60">
        <f t="shared" si="48"/>
        <v>0</v>
      </c>
      <c r="AF106" s="56"/>
      <c r="AG106" s="50">
        <f>P106-U106-Y106</f>
        <v>1100</v>
      </c>
      <c r="AH106" s="95">
        <f>L105-U105-Y106</f>
        <v>14209</v>
      </c>
    </row>
    <row r="107" spans="1:34" ht="75">
      <c r="A107" s="89">
        <v>1</v>
      </c>
      <c r="B107" s="54" t="s">
        <v>243</v>
      </c>
      <c r="C107" s="54" t="s">
        <v>245</v>
      </c>
      <c r="D107" s="89" t="s">
        <v>29</v>
      </c>
      <c r="E107" s="89" t="s">
        <v>181</v>
      </c>
      <c r="F107" s="89" t="s">
        <v>3</v>
      </c>
      <c r="G107" s="91">
        <v>7469485</v>
      </c>
      <c r="H107" s="89" t="s">
        <v>227</v>
      </c>
      <c r="I107" s="89" t="s">
        <v>63</v>
      </c>
      <c r="J107" s="89" t="s">
        <v>22</v>
      </c>
      <c r="K107" s="89" t="s">
        <v>244</v>
      </c>
      <c r="L107" s="60">
        <f>SUM(M107:O107)</f>
        <v>55488</v>
      </c>
      <c r="M107" s="61"/>
      <c r="N107" s="61"/>
      <c r="O107" s="61">
        <v>55488</v>
      </c>
      <c r="P107" s="61">
        <v>54600</v>
      </c>
      <c r="Q107" s="60">
        <f>SUM(R107:T107)</f>
        <v>50500</v>
      </c>
      <c r="R107" s="61"/>
      <c r="S107" s="61"/>
      <c r="T107" s="61">
        <v>50500</v>
      </c>
      <c r="U107" s="60">
        <f>SUM(V107:X107)</f>
        <v>50500</v>
      </c>
      <c r="V107" s="61"/>
      <c r="W107" s="61"/>
      <c r="X107" s="61">
        <v>50500</v>
      </c>
      <c r="Y107" s="60">
        <f>SUM(Z107:AD107)</f>
        <v>3000</v>
      </c>
      <c r="Z107" s="57"/>
      <c r="AA107" s="57"/>
      <c r="AB107" s="57"/>
      <c r="AC107" s="57"/>
      <c r="AD107" s="57">
        <v>3000</v>
      </c>
      <c r="AE107" s="57"/>
      <c r="AF107" s="57"/>
      <c r="AH107" s="95">
        <f>'Chu dau tu'!L104-'Chu dau tu'!U104-Y107</f>
        <v>36555</v>
      </c>
    </row>
    <row r="108" spans="1:34" s="48" customFormat="1" ht="14.25">
      <c r="A108" s="92" t="s">
        <v>67</v>
      </c>
      <c r="B108" s="55" t="s">
        <v>101</v>
      </c>
      <c r="C108" s="55"/>
      <c r="D108" s="92"/>
      <c r="E108" s="92"/>
      <c r="F108" s="92"/>
      <c r="G108" s="90"/>
      <c r="H108" s="92"/>
      <c r="I108" s="92"/>
      <c r="J108" s="92"/>
      <c r="K108" s="92"/>
      <c r="L108" s="56">
        <f>L109</f>
        <v>12521</v>
      </c>
      <c r="M108" s="56">
        <f t="shared" ref="M108:AE108" si="49">M109</f>
        <v>0</v>
      </c>
      <c r="N108" s="56">
        <f t="shared" si="49"/>
        <v>0</v>
      </c>
      <c r="O108" s="56">
        <f t="shared" si="49"/>
        <v>12521</v>
      </c>
      <c r="P108" s="56">
        <f t="shared" si="49"/>
        <v>12000</v>
      </c>
      <c r="Q108" s="56">
        <f t="shared" si="49"/>
        <v>300</v>
      </c>
      <c r="R108" s="56">
        <f t="shared" si="49"/>
        <v>0</v>
      </c>
      <c r="S108" s="56">
        <f t="shared" si="49"/>
        <v>0</v>
      </c>
      <c r="T108" s="56">
        <f t="shared" si="49"/>
        <v>300</v>
      </c>
      <c r="U108" s="56">
        <f t="shared" si="49"/>
        <v>300</v>
      </c>
      <c r="V108" s="56">
        <f t="shared" si="49"/>
        <v>0</v>
      </c>
      <c r="W108" s="56">
        <f t="shared" si="49"/>
        <v>0</v>
      </c>
      <c r="X108" s="56">
        <f t="shared" si="49"/>
        <v>300</v>
      </c>
      <c r="Y108" s="56">
        <f t="shared" si="49"/>
        <v>10000</v>
      </c>
      <c r="Z108" s="56">
        <f t="shared" si="49"/>
        <v>0</v>
      </c>
      <c r="AA108" s="56">
        <f t="shared" si="49"/>
        <v>0</v>
      </c>
      <c r="AB108" s="56">
        <f t="shared" si="49"/>
        <v>0</v>
      </c>
      <c r="AC108" s="56">
        <f t="shared" si="49"/>
        <v>0</v>
      </c>
      <c r="AD108" s="56">
        <f t="shared" si="49"/>
        <v>10000</v>
      </c>
      <c r="AE108" s="56">
        <f t="shared" si="49"/>
        <v>0</v>
      </c>
      <c r="AF108" s="56"/>
      <c r="AG108" s="50">
        <f>P108-U108-Y108</f>
        <v>1700</v>
      </c>
      <c r="AH108" s="95">
        <f>'Chu dau tu'!L101-'Chu dau tu'!U101-Y108</f>
        <v>35005</v>
      </c>
    </row>
    <row r="109" spans="1:34" ht="75">
      <c r="A109" s="89">
        <v>1</v>
      </c>
      <c r="B109" s="54" t="s">
        <v>229</v>
      </c>
      <c r="C109" s="54" t="s">
        <v>245</v>
      </c>
      <c r="D109" s="89" t="s">
        <v>17</v>
      </c>
      <c r="E109" s="89" t="s">
        <v>181</v>
      </c>
      <c r="F109" s="89" t="s">
        <v>3</v>
      </c>
      <c r="G109" s="91">
        <v>7662833</v>
      </c>
      <c r="H109" s="89" t="s">
        <v>227</v>
      </c>
      <c r="I109" s="89" t="s">
        <v>224</v>
      </c>
      <c r="J109" s="89" t="s">
        <v>34</v>
      </c>
      <c r="K109" s="89" t="s">
        <v>228</v>
      </c>
      <c r="L109" s="60">
        <f>SUM(M109:O109)</f>
        <v>12521</v>
      </c>
      <c r="M109" s="61"/>
      <c r="N109" s="61"/>
      <c r="O109" s="61">
        <v>12521</v>
      </c>
      <c r="P109" s="61">
        <v>12000</v>
      </c>
      <c r="Q109" s="60">
        <f>SUM(R109:T109)</f>
        <v>300</v>
      </c>
      <c r="R109" s="61"/>
      <c r="S109" s="61"/>
      <c r="T109" s="61">
        <v>300</v>
      </c>
      <c r="U109" s="60">
        <f>SUM(V109:X109)</f>
        <v>300</v>
      </c>
      <c r="V109" s="61"/>
      <c r="W109" s="61"/>
      <c r="X109" s="61">
        <v>300</v>
      </c>
      <c r="Y109" s="60">
        <f>SUM(Z109:AD109)</f>
        <v>10000</v>
      </c>
      <c r="Z109" s="57"/>
      <c r="AA109" s="57"/>
      <c r="AB109" s="57"/>
      <c r="AC109" s="57"/>
      <c r="AD109" s="57">
        <v>10000</v>
      </c>
      <c r="AE109" s="57"/>
      <c r="AF109" s="57"/>
      <c r="AH109" s="95">
        <f>L108-U108-Y109</f>
        <v>2221</v>
      </c>
    </row>
    <row r="110" spans="1:34" s="107" customFormat="1" ht="14.25">
      <c r="A110" s="99" t="s">
        <v>369</v>
      </c>
      <c r="B110" s="100" t="s">
        <v>347</v>
      </c>
      <c r="C110" s="100"/>
      <c r="D110" s="99"/>
      <c r="E110" s="99"/>
      <c r="F110" s="99"/>
      <c r="G110" s="97"/>
      <c r="H110" s="99"/>
      <c r="I110" s="99"/>
      <c r="J110" s="99"/>
      <c r="K110" s="99"/>
      <c r="L110" s="103">
        <f t="shared" ref="L110:AD110" si="50">L111+L113</f>
        <v>2946059</v>
      </c>
      <c r="M110" s="103">
        <f t="shared" si="50"/>
        <v>1695350</v>
      </c>
      <c r="N110" s="103">
        <f t="shared" si="50"/>
        <v>0</v>
      </c>
      <c r="O110" s="103">
        <f t="shared" si="50"/>
        <v>1250709</v>
      </c>
      <c r="P110" s="103">
        <f t="shared" si="50"/>
        <v>1057000</v>
      </c>
      <c r="Q110" s="103">
        <f t="shared" si="50"/>
        <v>930865</v>
      </c>
      <c r="R110" s="103">
        <f t="shared" si="50"/>
        <v>0</v>
      </c>
      <c r="S110" s="103">
        <f t="shared" si="50"/>
        <v>300000</v>
      </c>
      <c r="T110" s="103">
        <f t="shared" si="50"/>
        <v>630865</v>
      </c>
      <c r="U110" s="103">
        <f t="shared" si="50"/>
        <v>827963</v>
      </c>
      <c r="V110" s="103">
        <f t="shared" si="50"/>
        <v>0</v>
      </c>
      <c r="W110" s="103">
        <f t="shared" si="50"/>
        <v>125020</v>
      </c>
      <c r="X110" s="103">
        <f t="shared" si="50"/>
        <v>702943</v>
      </c>
      <c r="Y110" s="103">
        <f t="shared" si="50"/>
        <v>215000</v>
      </c>
      <c r="Z110" s="103">
        <f t="shared" si="50"/>
        <v>0</v>
      </c>
      <c r="AA110" s="103">
        <f t="shared" si="50"/>
        <v>0</v>
      </c>
      <c r="AB110" s="103">
        <f t="shared" si="50"/>
        <v>0</v>
      </c>
      <c r="AC110" s="103">
        <f t="shared" si="50"/>
        <v>0</v>
      </c>
      <c r="AD110" s="103">
        <f t="shared" si="50"/>
        <v>215000</v>
      </c>
      <c r="AE110" s="103">
        <f>AE111+AE113</f>
        <v>0</v>
      </c>
      <c r="AF110" s="104"/>
      <c r="AG110" s="105"/>
      <c r="AH110" s="106"/>
    </row>
    <row r="111" spans="1:34" s="48" customFormat="1" ht="42.75">
      <c r="A111" s="92" t="s">
        <v>73</v>
      </c>
      <c r="B111" s="55" t="s">
        <v>190</v>
      </c>
      <c r="C111" s="55"/>
      <c r="D111" s="92"/>
      <c r="E111" s="92"/>
      <c r="F111" s="92"/>
      <c r="G111" s="90"/>
      <c r="H111" s="92"/>
      <c r="I111" s="92"/>
      <c r="J111" s="92"/>
      <c r="K111" s="92"/>
      <c r="L111" s="60">
        <f>SUM(L112:L112)</f>
        <v>861397</v>
      </c>
      <c r="M111" s="60">
        <f t="shared" ref="M111:AE111" si="51">SUM(M112:M112)</f>
        <v>300000</v>
      </c>
      <c r="N111" s="60">
        <f t="shared" si="51"/>
        <v>0</v>
      </c>
      <c r="O111" s="60">
        <f t="shared" si="51"/>
        <v>561397</v>
      </c>
      <c r="P111" s="60">
        <f t="shared" si="51"/>
        <v>436000</v>
      </c>
      <c r="Q111" s="60">
        <f t="shared" si="51"/>
        <v>830985</v>
      </c>
      <c r="R111" s="60">
        <f t="shared" si="51"/>
        <v>0</v>
      </c>
      <c r="S111" s="60">
        <f t="shared" si="51"/>
        <v>300000</v>
      </c>
      <c r="T111" s="60">
        <f t="shared" si="51"/>
        <v>530985</v>
      </c>
      <c r="U111" s="60">
        <f t="shared" si="51"/>
        <v>663362</v>
      </c>
      <c r="V111" s="60">
        <f t="shared" si="51"/>
        <v>0</v>
      </c>
      <c r="W111" s="60">
        <f t="shared" si="51"/>
        <v>125020</v>
      </c>
      <c r="X111" s="60">
        <f t="shared" si="51"/>
        <v>538342</v>
      </c>
      <c r="Y111" s="60">
        <f t="shared" si="51"/>
        <v>5000</v>
      </c>
      <c r="Z111" s="60">
        <f t="shared" si="51"/>
        <v>0</v>
      </c>
      <c r="AA111" s="60">
        <f t="shared" si="51"/>
        <v>0</v>
      </c>
      <c r="AB111" s="60">
        <f t="shared" si="51"/>
        <v>0</v>
      </c>
      <c r="AC111" s="60">
        <f t="shared" si="51"/>
        <v>0</v>
      </c>
      <c r="AD111" s="60">
        <f t="shared" si="51"/>
        <v>5000</v>
      </c>
      <c r="AE111" s="60">
        <f t="shared" si="51"/>
        <v>0</v>
      </c>
      <c r="AF111" s="56"/>
      <c r="AG111" s="50">
        <f>P111-U111-Y111</f>
        <v>-232362</v>
      </c>
      <c r="AH111" s="95" t="e">
        <f>#REF!-#REF!-Y111</f>
        <v>#REF!</v>
      </c>
    </row>
    <row r="112" spans="1:34" ht="60">
      <c r="A112" s="89">
        <v>1</v>
      </c>
      <c r="B112" s="54" t="s">
        <v>333</v>
      </c>
      <c r="C112" s="54" t="s">
        <v>347</v>
      </c>
      <c r="D112" s="89" t="s">
        <v>29</v>
      </c>
      <c r="E112" s="89" t="s">
        <v>181</v>
      </c>
      <c r="F112" s="89" t="s">
        <v>1</v>
      </c>
      <c r="G112" s="91">
        <v>7054527</v>
      </c>
      <c r="H112" s="89">
        <v>132</v>
      </c>
      <c r="I112" s="89" t="s">
        <v>36</v>
      </c>
      <c r="J112" s="89" t="s">
        <v>334</v>
      </c>
      <c r="K112" s="89" t="s">
        <v>332</v>
      </c>
      <c r="L112" s="60">
        <f>M112+O112+N112</f>
        <v>861397</v>
      </c>
      <c r="M112" s="61">
        <v>300000</v>
      </c>
      <c r="N112" s="61"/>
      <c r="O112" s="61">
        <v>561397</v>
      </c>
      <c r="P112" s="61">
        <v>436000</v>
      </c>
      <c r="Q112" s="71">
        <f>SUM(R112:T112)</f>
        <v>830985</v>
      </c>
      <c r="R112" s="61"/>
      <c r="S112" s="61">
        <v>300000</v>
      </c>
      <c r="T112" s="61">
        <f>830985-S112</f>
        <v>530985</v>
      </c>
      <c r="U112" s="71">
        <f>SUM(V112:X112)</f>
        <v>663362</v>
      </c>
      <c r="V112" s="61"/>
      <c r="W112" s="61">
        <f>98000+27020</f>
        <v>125020</v>
      </c>
      <c r="X112" s="61">
        <f>538342</f>
        <v>538342</v>
      </c>
      <c r="Y112" s="71">
        <f>SUM(Z112:AD112)</f>
        <v>5000</v>
      </c>
      <c r="Z112" s="57"/>
      <c r="AA112" s="57"/>
      <c r="AB112" s="57"/>
      <c r="AC112" s="57"/>
      <c r="AD112" s="57">
        <v>5000</v>
      </c>
      <c r="AE112" s="57"/>
      <c r="AF112" s="57"/>
      <c r="AH112" s="95">
        <f>L111-U111-Y112</f>
        <v>193035</v>
      </c>
    </row>
    <row r="113" spans="1:34" s="48" customFormat="1" ht="14.25">
      <c r="A113" s="92" t="s">
        <v>60</v>
      </c>
      <c r="B113" s="55" t="s">
        <v>61</v>
      </c>
      <c r="C113" s="55"/>
      <c r="D113" s="92"/>
      <c r="E113" s="92"/>
      <c r="F113" s="92"/>
      <c r="G113" s="90"/>
      <c r="H113" s="92"/>
      <c r="I113" s="92"/>
      <c r="J113" s="92"/>
      <c r="K113" s="92"/>
      <c r="L113" s="60">
        <f>SUM(L114:L116)</f>
        <v>2084662</v>
      </c>
      <c r="M113" s="60">
        <f t="shared" ref="M113:AE113" si="52">SUM(M114:M116)</f>
        <v>1395350</v>
      </c>
      <c r="N113" s="60">
        <f t="shared" si="52"/>
        <v>0</v>
      </c>
      <c r="O113" s="60">
        <f t="shared" si="52"/>
        <v>689312</v>
      </c>
      <c r="P113" s="60">
        <f t="shared" si="52"/>
        <v>621000</v>
      </c>
      <c r="Q113" s="60">
        <f t="shared" si="52"/>
        <v>99880</v>
      </c>
      <c r="R113" s="60">
        <f t="shared" si="52"/>
        <v>0</v>
      </c>
      <c r="S113" s="60">
        <f t="shared" si="52"/>
        <v>0</v>
      </c>
      <c r="T113" s="60">
        <f t="shared" si="52"/>
        <v>99880</v>
      </c>
      <c r="U113" s="60">
        <f t="shared" si="52"/>
        <v>164601</v>
      </c>
      <c r="V113" s="60">
        <f t="shared" si="52"/>
        <v>0</v>
      </c>
      <c r="W113" s="60">
        <f t="shared" si="52"/>
        <v>0</v>
      </c>
      <c r="X113" s="60">
        <f t="shared" si="52"/>
        <v>164601</v>
      </c>
      <c r="Y113" s="60">
        <f t="shared" si="52"/>
        <v>210000</v>
      </c>
      <c r="Z113" s="60">
        <f t="shared" si="52"/>
        <v>0</v>
      </c>
      <c r="AA113" s="60">
        <f t="shared" si="52"/>
        <v>0</v>
      </c>
      <c r="AB113" s="60">
        <f t="shared" si="52"/>
        <v>0</v>
      </c>
      <c r="AC113" s="60">
        <f t="shared" si="52"/>
        <v>0</v>
      </c>
      <c r="AD113" s="60">
        <f t="shared" si="52"/>
        <v>210000</v>
      </c>
      <c r="AE113" s="60">
        <f t="shared" si="52"/>
        <v>0</v>
      </c>
      <c r="AF113" s="56"/>
      <c r="AG113" s="50">
        <f>P113-U113-Y113</f>
        <v>246399</v>
      </c>
      <c r="AH113" s="95">
        <f>L112-U112-Y113</f>
        <v>-11965</v>
      </c>
    </row>
    <row r="114" spans="1:34" s="78" customFormat="1" ht="45">
      <c r="A114" s="72">
        <v>1</v>
      </c>
      <c r="B114" s="73" t="s">
        <v>138</v>
      </c>
      <c r="C114" s="54" t="s">
        <v>347</v>
      </c>
      <c r="D114" s="72" t="s">
        <v>64</v>
      </c>
      <c r="E114" s="72" t="s">
        <v>181</v>
      </c>
      <c r="F114" s="72" t="s">
        <v>2</v>
      </c>
      <c r="G114" s="74">
        <v>7565460</v>
      </c>
      <c r="H114" s="72">
        <v>132</v>
      </c>
      <c r="I114" s="72" t="s">
        <v>96</v>
      </c>
      <c r="J114" s="72" t="s">
        <v>22</v>
      </c>
      <c r="K114" s="72" t="s">
        <v>139</v>
      </c>
      <c r="L114" s="71">
        <f>SUM(M114:O114)</f>
        <v>71064</v>
      </c>
      <c r="M114" s="75"/>
      <c r="N114" s="75"/>
      <c r="O114" s="75">
        <v>71064</v>
      </c>
      <c r="P114" s="75">
        <v>64000</v>
      </c>
      <c r="Q114" s="71">
        <f>SUM(R114:T114)</f>
        <v>37450</v>
      </c>
      <c r="R114" s="75"/>
      <c r="S114" s="75"/>
      <c r="T114" s="75">
        <f>3150+16300+18000</f>
        <v>37450</v>
      </c>
      <c r="U114" s="71">
        <f>SUM(V114:X114)</f>
        <v>50548</v>
      </c>
      <c r="V114" s="75"/>
      <c r="W114" s="75"/>
      <c r="X114" s="75">
        <f>3150+16300+31098</f>
        <v>50548</v>
      </c>
      <c r="Y114" s="71">
        <f>SUM(Z114:AD114)</f>
        <v>10000</v>
      </c>
      <c r="Z114" s="76"/>
      <c r="AA114" s="76"/>
      <c r="AB114" s="76"/>
      <c r="AC114" s="76"/>
      <c r="AD114" s="76">
        <v>10000</v>
      </c>
      <c r="AE114" s="76"/>
      <c r="AF114" s="76"/>
      <c r="AG114" s="77">
        <f>P114-U114-Y114</f>
        <v>3452</v>
      </c>
      <c r="AH114" s="95">
        <f>L113-U113-Y114</f>
        <v>1910061</v>
      </c>
    </row>
    <row r="115" spans="1:34" s="78" customFormat="1" ht="45">
      <c r="A115" s="72">
        <v>2</v>
      </c>
      <c r="B115" s="73" t="s">
        <v>140</v>
      </c>
      <c r="C115" s="54" t="s">
        <v>347</v>
      </c>
      <c r="D115" s="72" t="s">
        <v>29</v>
      </c>
      <c r="E115" s="72" t="s">
        <v>181</v>
      </c>
      <c r="F115" s="72" t="s">
        <v>2</v>
      </c>
      <c r="G115" s="74">
        <v>7567082</v>
      </c>
      <c r="H115" s="72">
        <v>132</v>
      </c>
      <c r="I115" s="72" t="s">
        <v>96</v>
      </c>
      <c r="J115" s="72" t="s">
        <v>22</v>
      </c>
      <c r="K115" s="72" t="s">
        <v>141</v>
      </c>
      <c r="L115" s="71">
        <f>SUM(M115:O115)</f>
        <v>285656</v>
      </c>
      <c r="M115" s="75"/>
      <c r="N115" s="75"/>
      <c r="O115" s="75">
        <v>285656</v>
      </c>
      <c r="P115" s="75">
        <v>257000</v>
      </c>
      <c r="Q115" s="71">
        <f>SUM(R115:T115)</f>
        <v>52200</v>
      </c>
      <c r="R115" s="75"/>
      <c r="S115" s="75"/>
      <c r="T115" s="75">
        <f>200+7000+45000</f>
        <v>52200</v>
      </c>
      <c r="U115" s="71">
        <f>SUM(V115:X115)</f>
        <v>72500</v>
      </c>
      <c r="V115" s="75"/>
      <c r="W115" s="75"/>
      <c r="X115" s="75">
        <f>200+7000+65300</f>
        <v>72500</v>
      </c>
      <c r="Y115" s="71">
        <f>SUM(Z115:AD115)</f>
        <v>100000</v>
      </c>
      <c r="Z115" s="76"/>
      <c r="AA115" s="76"/>
      <c r="AB115" s="76"/>
      <c r="AC115" s="76"/>
      <c r="AD115" s="76">
        <v>100000</v>
      </c>
      <c r="AE115" s="76"/>
      <c r="AF115" s="76"/>
      <c r="AG115" s="77">
        <f>P115-U115-Y115</f>
        <v>84500</v>
      </c>
      <c r="AH115" s="95">
        <f>L114-U114-Y115</f>
        <v>-79484</v>
      </c>
    </row>
    <row r="116" spans="1:34" ht="45">
      <c r="A116" s="89">
        <v>3</v>
      </c>
      <c r="B116" s="54" t="s">
        <v>142</v>
      </c>
      <c r="C116" s="54" t="s">
        <v>347</v>
      </c>
      <c r="D116" s="89" t="s">
        <v>29</v>
      </c>
      <c r="E116" s="89" t="s">
        <v>181</v>
      </c>
      <c r="F116" s="89" t="s">
        <v>1</v>
      </c>
      <c r="G116" s="91">
        <v>7526068</v>
      </c>
      <c r="H116" s="72">
        <v>132</v>
      </c>
      <c r="I116" s="89" t="s">
        <v>36</v>
      </c>
      <c r="J116" s="89" t="s">
        <v>25</v>
      </c>
      <c r="K116" s="89" t="s">
        <v>37</v>
      </c>
      <c r="L116" s="60">
        <f>SUM(M116:O116)</f>
        <v>1727942</v>
      </c>
      <c r="M116" s="61">
        <v>1395350</v>
      </c>
      <c r="N116" s="61"/>
      <c r="O116" s="61">
        <v>332592</v>
      </c>
      <c r="P116" s="61">
        <v>300000</v>
      </c>
      <c r="Q116" s="60">
        <f>SUM(R116:T116)</f>
        <v>10230</v>
      </c>
      <c r="R116" s="61"/>
      <c r="S116" s="61"/>
      <c r="T116" s="61">
        <f>6500+40000-36270</f>
        <v>10230</v>
      </c>
      <c r="U116" s="60">
        <f>SUM(V116:X116)</f>
        <v>41553</v>
      </c>
      <c r="V116" s="61"/>
      <c r="W116" s="61"/>
      <c r="X116" s="61">
        <f>6500+50000-36270+21323</f>
        <v>41553</v>
      </c>
      <c r="Y116" s="60">
        <f>SUM(Z116:AD116)</f>
        <v>100000</v>
      </c>
      <c r="Z116" s="57"/>
      <c r="AA116" s="57"/>
      <c r="AB116" s="57"/>
      <c r="AC116" s="57"/>
      <c r="AD116" s="57">
        <v>100000</v>
      </c>
      <c r="AE116" s="57"/>
      <c r="AF116" s="57"/>
      <c r="AG116" s="93">
        <f>P116-U116-Y116</f>
        <v>158447</v>
      </c>
      <c r="AH116" s="95">
        <f>L115-U115-Y116</f>
        <v>113156</v>
      </c>
    </row>
    <row r="117" spans="1:34" s="107" customFormat="1" ht="28.5">
      <c r="A117" s="99" t="s">
        <v>370</v>
      </c>
      <c r="B117" s="100" t="s">
        <v>348</v>
      </c>
      <c r="C117" s="100"/>
      <c r="D117" s="99"/>
      <c r="E117" s="99"/>
      <c r="F117" s="99"/>
      <c r="G117" s="97"/>
      <c r="H117" s="99"/>
      <c r="I117" s="99"/>
      <c r="J117" s="99"/>
      <c r="K117" s="99"/>
      <c r="L117" s="103">
        <f t="shared" ref="L117:X117" si="53">L118</f>
        <v>1170</v>
      </c>
      <c r="M117" s="103">
        <f t="shared" si="53"/>
        <v>0</v>
      </c>
      <c r="N117" s="103">
        <f t="shared" si="53"/>
        <v>0</v>
      </c>
      <c r="O117" s="103">
        <f t="shared" si="53"/>
        <v>1170</v>
      </c>
      <c r="P117" s="103">
        <f t="shared" si="53"/>
        <v>1170</v>
      </c>
      <c r="Q117" s="103">
        <f t="shared" si="53"/>
        <v>0</v>
      </c>
      <c r="R117" s="103">
        <f t="shared" si="53"/>
        <v>0</v>
      </c>
      <c r="S117" s="103">
        <f t="shared" si="53"/>
        <v>0</v>
      </c>
      <c r="T117" s="103">
        <f t="shared" si="53"/>
        <v>0</v>
      </c>
      <c r="U117" s="103">
        <f t="shared" si="53"/>
        <v>0</v>
      </c>
      <c r="V117" s="103">
        <f t="shared" si="53"/>
        <v>0</v>
      </c>
      <c r="W117" s="103">
        <f t="shared" si="53"/>
        <v>0</v>
      </c>
      <c r="X117" s="103">
        <f t="shared" si="53"/>
        <v>0</v>
      </c>
      <c r="Y117" s="103">
        <f>Y118</f>
        <v>1000</v>
      </c>
      <c r="Z117" s="103">
        <f t="shared" ref="Z117:AE117" si="54">Z118</f>
        <v>0</v>
      </c>
      <c r="AA117" s="103">
        <f t="shared" si="54"/>
        <v>0</v>
      </c>
      <c r="AB117" s="103">
        <f t="shared" si="54"/>
        <v>1000</v>
      </c>
      <c r="AC117" s="103">
        <f t="shared" si="54"/>
        <v>0</v>
      </c>
      <c r="AD117" s="103">
        <f t="shared" si="54"/>
        <v>0</v>
      </c>
      <c r="AE117" s="103">
        <f t="shared" si="54"/>
        <v>0</v>
      </c>
      <c r="AF117" s="104"/>
      <c r="AG117" s="105"/>
      <c r="AH117" s="106"/>
    </row>
    <row r="118" spans="1:34" s="48" customFormat="1" ht="14.25">
      <c r="A118" s="92" t="s">
        <v>67</v>
      </c>
      <c r="B118" s="55" t="s">
        <v>101</v>
      </c>
      <c r="C118" s="55"/>
      <c r="D118" s="92"/>
      <c r="E118" s="92"/>
      <c r="F118" s="92"/>
      <c r="G118" s="90"/>
      <c r="H118" s="92"/>
      <c r="I118" s="92"/>
      <c r="J118" s="92"/>
      <c r="K118" s="92"/>
      <c r="L118" s="60">
        <f t="shared" ref="L118:X118" si="55">SUM(L119:L119)</f>
        <v>1170</v>
      </c>
      <c r="M118" s="60">
        <f t="shared" si="55"/>
        <v>0</v>
      </c>
      <c r="N118" s="60">
        <f t="shared" si="55"/>
        <v>0</v>
      </c>
      <c r="O118" s="60">
        <f t="shared" si="55"/>
        <v>1170</v>
      </c>
      <c r="P118" s="60">
        <f t="shared" si="55"/>
        <v>1170</v>
      </c>
      <c r="Q118" s="60">
        <f t="shared" si="55"/>
        <v>0</v>
      </c>
      <c r="R118" s="60">
        <f t="shared" si="55"/>
        <v>0</v>
      </c>
      <c r="S118" s="60">
        <f t="shared" si="55"/>
        <v>0</v>
      </c>
      <c r="T118" s="60">
        <f t="shared" si="55"/>
        <v>0</v>
      </c>
      <c r="U118" s="60">
        <f t="shared" si="55"/>
        <v>0</v>
      </c>
      <c r="V118" s="60">
        <f t="shared" si="55"/>
        <v>0</v>
      </c>
      <c r="W118" s="60">
        <f t="shared" si="55"/>
        <v>0</v>
      </c>
      <c r="X118" s="60">
        <f t="shared" si="55"/>
        <v>0</v>
      </c>
      <c r="Y118" s="60">
        <f>SUM(Y119:Y119)</f>
        <v>1000</v>
      </c>
      <c r="Z118" s="60">
        <f t="shared" ref="Z118:AE118" si="56">SUM(Z119:Z119)</f>
        <v>0</v>
      </c>
      <c r="AA118" s="60">
        <f t="shared" si="56"/>
        <v>0</v>
      </c>
      <c r="AB118" s="60">
        <f t="shared" si="56"/>
        <v>1000</v>
      </c>
      <c r="AC118" s="60">
        <f t="shared" si="56"/>
        <v>0</v>
      </c>
      <c r="AD118" s="60">
        <f t="shared" si="56"/>
        <v>0</v>
      </c>
      <c r="AE118" s="60">
        <f t="shared" si="56"/>
        <v>0</v>
      </c>
      <c r="AF118" s="56"/>
      <c r="AG118" s="50">
        <f>P118-U118-Y118</f>
        <v>170</v>
      </c>
      <c r="AH118" s="95">
        <f>'Chu dau tu'!L31-'Chu dau tu'!U31-Y118</f>
        <v>573</v>
      </c>
    </row>
    <row r="119" spans="1:34" ht="30">
      <c r="A119" s="89">
        <v>1</v>
      </c>
      <c r="B119" s="54" t="s">
        <v>222</v>
      </c>
      <c r="C119" s="54" t="s">
        <v>348</v>
      </c>
      <c r="D119" s="89" t="s">
        <v>29</v>
      </c>
      <c r="E119" s="89" t="s">
        <v>181</v>
      </c>
      <c r="F119" s="89" t="s">
        <v>3</v>
      </c>
      <c r="G119" s="91"/>
      <c r="H119" s="89">
        <v>463</v>
      </c>
      <c r="I119" s="89" t="s">
        <v>224</v>
      </c>
      <c r="J119" s="89" t="s">
        <v>225</v>
      </c>
      <c r="K119" s="89" t="s">
        <v>223</v>
      </c>
      <c r="L119" s="60">
        <f>SUM(M119:O119)</f>
        <v>1170</v>
      </c>
      <c r="M119" s="61"/>
      <c r="N119" s="61"/>
      <c r="O119" s="61">
        <v>1170</v>
      </c>
      <c r="P119" s="61">
        <v>1170</v>
      </c>
      <c r="Q119" s="60">
        <f>SUM(R119:T119)</f>
        <v>0</v>
      </c>
      <c r="R119" s="61"/>
      <c r="S119" s="61"/>
      <c r="T119" s="61"/>
      <c r="U119" s="60">
        <f>SUM(V119:X119)</f>
        <v>0</v>
      </c>
      <c r="V119" s="61"/>
      <c r="W119" s="61"/>
      <c r="X119" s="61"/>
      <c r="Y119" s="60">
        <f>SUM(Z119:AD119)</f>
        <v>1000</v>
      </c>
      <c r="Z119" s="57"/>
      <c r="AA119" s="57"/>
      <c r="AB119" s="57">
        <v>1000</v>
      </c>
      <c r="AC119" s="57"/>
      <c r="AD119" s="57"/>
      <c r="AE119" s="57"/>
      <c r="AF119" s="57"/>
      <c r="AH119" s="95">
        <f>L118-U118-Y119</f>
        <v>170</v>
      </c>
    </row>
    <row r="120" spans="1:34" s="107" customFormat="1" ht="14.25">
      <c r="A120" s="99" t="s">
        <v>371</v>
      </c>
      <c r="B120" s="100" t="s">
        <v>249</v>
      </c>
      <c r="C120" s="100"/>
      <c r="D120" s="99"/>
      <c r="E120" s="99"/>
      <c r="F120" s="99"/>
      <c r="G120" s="97"/>
      <c r="H120" s="99"/>
      <c r="I120" s="99"/>
      <c r="J120" s="99"/>
      <c r="K120" s="99"/>
      <c r="L120" s="103">
        <f>L121+L124+L128</f>
        <v>107876</v>
      </c>
      <c r="M120" s="103">
        <f t="shared" ref="M120:AE120" si="57">M121+M124+M128</f>
        <v>0</v>
      </c>
      <c r="N120" s="103">
        <f t="shared" si="57"/>
        <v>39068</v>
      </c>
      <c r="O120" s="103">
        <f t="shared" si="57"/>
        <v>68808</v>
      </c>
      <c r="P120" s="103">
        <f t="shared" si="57"/>
        <v>68128</v>
      </c>
      <c r="Q120" s="103">
        <f t="shared" si="57"/>
        <v>42794</v>
      </c>
      <c r="R120" s="103">
        <f t="shared" si="57"/>
        <v>0</v>
      </c>
      <c r="S120" s="103">
        <f t="shared" si="57"/>
        <v>30539</v>
      </c>
      <c r="T120" s="103">
        <f t="shared" si="57"/>
        <v>40966</v>
      </c>
      <c r="U120" s="103">
        <f t="shared" si="57"/>
        <v>69677</v>
      </c>
      <c r="V120" s="103">
        <f t="shared" si="57"/>
        <v>0</v>
      </c>
      <c r="W120" s="103">
        <f t="shared" si="57"/>
        <v>28711</v>
      </c>
      <c r="X120" s="103">
        <f t="shared" si="57"/>
        <v>40966</v>
      </c>
      <c r="Y120" s="103">
        <f t="shared" si="57"/>
        <v>25328</v>
      </c>
      <c r="Z120" s="103">
        <f t="shared" si="57"/>
        <v>0</v>
      </c>
      <c r="AA120" s="103">
        <f t="shared" si="57"/>
        <v>0</v>
      </c>
      <c r="AB120" s="103">
        <f t="shared" si="57"/>
        <v>25328</v>
      </c>
      <c r="AC120" s="103">
        <f t="shared" si="57"/>
        <v>0</v>
      </c>
      <c r="AD120" s="103">
        <f t="shared" si="57"/>
        <v>0</v>
      </c>
      <c r="AE120" s="103">
        <f t="shared" si="57"/>
        <v>0</v>
      </c>
      <c r="AF120" s="104"/>
      <c r="AG120" s="105"/>
      <c r="AH120" s="106"/>
    </row>
    <row r="121" spans="1:34" s="48" customFormat="1" ht="42.75">
      <c r="A121" s="92" t="s">
        <v>73</v>
      </c>
      <c r="B121" s="55" t="s">
        <v>190</v>
      </c>
      <c r="C121" s="55"/>
      <c r="D121" s="92"/>
      <c r="E121" s="92"/>
      <c r="F121" s="92"/>
      <c r="G121" s="90"/>
      <c r="H121" s="92"/>
      <c r="I121" s="92"/>
      <c r="J121" s="92"/>
      <c r="K121" s="92"/>
      <c r="L121" s="60">
        <f>SUM(L122:L123)</f>
        <v>43494</v>
      </c>
      <c r="M121" s="60">
        <f t="shared" ref="M121:AE121" si="58">SUM(M122:M123)</f>
        <v>0</v>
      </c>
      <c r="N121" s="60">
        <f t="shared" si="58"/>
        <v>39068</v>
      </c>
      <c r="O121" s="60">
        <f t="shared" si="58"/>
        <v>4426</v>
      </c>
      <c r="P121" s="60">
        <f t="shared" si="58"/>
        <v>4328</v>
      </c>
      <c r="Q121" s="60">
        <f t="shared" si="58"/>
        <v>3878</v>
      </c>
      <c r="R121" s="60">
        <f t="shared" si="58"/>
        <v>0</v>
      </c>
      <c r="S121" s="60">
        <f t="shared" si="58"/>
        <v>30539</v>
      </c>
      <c r="T121" s="60">
        <f t="shared" si="58"/>
        <v>2050</v>
      </c>
      <c r="U121" s="60">
        <f t="shared" si="58"/>
        <v>30761</v>
      </c>
      <c r="V121" s="60">
        <f t="shared" si="58"/>
        <v>0</v>
      </c>
      <c r="W121" s="60">
        <f t="shared" si="58"/>
        <v>28711</v>
      </c>
      <c r="X121" s="60">
        <f t="shared" si="58"/>
        <v>2050</v>
      </c>
      <c r="Y121" s="60">
        <f t="shared" si="58"/>
        <v>2328</v>
      </c>
      <c r="Z121" s="60">
        <f t="shared" si="58"/>
        <v>0</v>
      </c>
      <c r="AA121" s="60">
        <f t="shared" si="58"/>
        <v>0</v>
      </c>
      <c r="AB121" s="60">
        <f t="shared" si="58"/>
        <v>2328</v>
      </c>
      <c r="AC121" s="60">
        <f t="shared" si="58"/>
        <v>0</v>
      </c>
      <c r="AD121" s="60">
        <f t="shared" si="58"/>
        <v>0</v>
      </c>
      <c r="AE121" s="60">
        <f t="shared" si="58"/>
        <v>0</v>
      </c>
      <c r="AF121" s="56"/>
      <c r="AG121" s="50">
        <f>P121-U121-Y121</f>
        <v>-28761</v>
      </c>
      <c r="AH121" s="95" t="e">
        <f>#REF!-#REF!-Y121</f>
        <v>#REF!</v>
      </c>
    </row>
    <row r="122" spans="1:34" ht="60">
      <c r="A122" s="89">
        <v>1</v>
      </c>
      <c r="B122" s="54" t="s">
        <v>252</v>
      </c>
      <c r="C122" s="54" t="s">
        <v>249</v>
      </c>
      <c r="D122" s="89" t="s">
        <v>14</v>
      </c>
      <c r="E122" s="89" t="s">
        <v>181</v>
      </c>
      <c r="F122" s="89" t="s">
        <v>3</v>
      </c>
      <c r="G122" s="91">
        <v>7004692</v>
      </c>
      <c r="H122" s="89" t="s">
        <v>193</v>
      </c>
      <c r="I122" s="89" t="s">
        <v>105</v>
      </c>
      <c r="J122" s="89" t="s">
        <v>153</v>
      </c>
      <c r="K122" s="89" t="s">
        <v>253</v>
      </c>
      <c r="L122" s="60">
        <f>SUM(M122:O122)</f>
        <v>2598</v>
      </c>
      <c r="M122" s="61"/>
      <c r="N122" s="61"/>
      <c r="O122" s="61">
        <v>2598</v>
      </c>
      <c r="P122" s="61">
        <v>2500</v>
      </c>
      <c r="Q122" s="60">
        <f>SUM(R122:T122)</f>
        <v>2050</v>
      </c>
      <c r="R122" s="61"/>
      <c r="S122" s="61"/>
      <c r="T122" s="61">
        <v>2050</v>
      </c>
      <c r="U122" s="60">
        <f>SUM(V122:X122)</f>
        <v>2050</v>
      </c>
      <c r="V122" s="61"/>
      <c r="W122" s="61"/>
      <c r="X122" s="61">
        <v>2050</v>
      </c>
      <c r="Y122" s="60">
        <f>SUM(Z122:AD122)</f>
        <v>500</v>
      </c>
      <c r="Z122" s="57"/>
      <c r="AA122" s="57"/>
      <c r="AB122" s="57">
        <v>500</v>
      </c>
      <c r="AC122" s="57"/>
      <c r="AD122" s="57"/>
      <c r="AE122" s="57"/>
      <c r="AF122" s="57"/>
      <c r="AH122" s="95">
        <f>L121-U121-Y122</f>
        <v>12233</v>
      </c>
    </row>
    <row r="123" spans="1:34" ht="45">
      <c r="A123" s="89">
        <v>2</v>
      </c>
      <c r="B123" s="54" t="s">
        <v>248</v>
      </c>
      <c r="C123" s="54" t="s">
        <v>249</v>
      </c>
      <c r="D123" s="89" t="s">
        <v>29</v>
      </c>
      <c r="E123" s="89" t="s">
        <v>181</v>
      </c>
      <c r="F123" s="89" t="s">
        <v>3</v>
      </c>
      <c r="G123" s="91">
        <v>7004692</v>
      </c>
      <c r="H123" s="89" t="s">
        <v>193</v>
      </c>
      <c r="I123" s="89"/>
      <c r="J123" s="89" t="s">
        <v>250</v>
      </c>
      <c r="K123" s="89" t="s">
        <v>251</v>
      </c>
      <c r="L123" s="60">
        <f>SUM(M123:O123)</f>
        <v>40896</v>
      </c>
      <c r="M123" s="61"/>
      <c r="N123" s="61">
        <f>28711+10357</f>
        <v>39068</v>
      </c>
      <c r="O123" s="61">
        <v>1828</v>
      </c>
      <c r="P123" s="61">
        <v>1828</v>
      </c>
      <c r="Q123" s="60">
        <v>1828</v>
      </c>
      <c r="R123" s="61"/>
      <c r="S123" s="61">
        <f>28711+1828</f>
        <v>30539</v>
      </c>
      <c r="T123" s="61"/>
      <c r="U123" s="60">
        <f>SUM(V123:X123)</f>
        <v>28711</v>
      </c>
      <c r="V123" s="61"/>
      <c r="W123" s="61">
        <v>28711</v>
      </c>
      <c r="X123" s="61"/>
      <c r="Y123" s="60">
        <f>SUM(Z123:AD123)</f>
        <v>1828</v>
      </c>
      <c r="Z123" s="57"/>
      <c r="AA123" s="57"/>
      <c r="AB123" s="57">
        <v>1828</v>
      </c>
      <c r="AC123" s="57"/>
      <c r="AD123" s="57"/>
      <c r="AE123" s="57"/>
      <c r="AF123" s="57"/>
      <c r="AH123" s="95">
        <f>'Chu dau tu'!L133-'Chu dau tu'!U133-Y123</f>
        <v>1081</v>
      </c>
    </row>
    <row r="124" spans="1:34" s="48" customFormat="1" ht="14.25">
      <c r="A124" s="92" t="s">
        <v>60</v>
      </c>
      <c r="B124" s="55" t="s">
        <v>61</v>
      </c>
      <c r="C124" s="55"/>
      <c r="D124" s="92"/>
      <c r="E124" s="92"/>
      <c r="F124" s="92"/>
      <c r="G124" s="90"/>
      <c r="H124" s="92"/>
      <c r="I124" s="92"/>
      <c r="J124" s="92"/>
      <c r="K124" s="92"/>
      <c r="L124" s="60">
        <f>SUM(L125:L127)</f>
        <v>50408</v>
      </c>
      <c r="M124" s="60">
        <f t="shared" ref="M124:AE124" si="59">SUM(M125:M127)</f>
        <v>0</v>
      </c>
      <c r="N124" s="60">
        <f t="shared" si="59"/>
        <v>0</v>
      </c>
      <c r="O124" s="60">
        <f t="shared" si="59"/>
        <v>50408</v>
      </c>
      <c r="P124" s="60">
        <f t="shared" si="59"/>
        <v>49939</v>
      </c>
      <c r="Q124" s="60">
        <f t="shared" si="59"/>
        <v>38816</v>
      </c>
      <c r="R124" s="60">
        <f t="shared" si="59"/>
        <v>0</v>
      </c>
      <c r="S124" s="60">
        <f t="shared" si="59"/>
        <v>0</v>
      </c>
      <c r="T124" s="60">
        <f t="shared" si="59"/>
        <v>38816</v>
      </c>
      <c r="U124" s="60">
        <f t="shared" si="59"/>
        <v>38816</v>
      </c>
      <c r="V124" s="60">
        <f t="shared" si="59"/>
        <v>0</v>
      </c>
      <c r="W124" s="60">
        <f t="shared" si="59"/>
        <v>0</v>
      </c>
      <c r="X124" s="60">
        <f t="shared" si="59"/>
        <v>38816</v>
      </c>
      <c r="Y124" s="60">
        <f t="shared" si="59"/>
        <v>10000</v>
      </c>
      <c r="Z124" s="60">
        <f t="shared" si="59"/>
        <v>0</v>
      </c>
      <c r="AA124" s="60">
        <f t="shared" si="59"/>
        <v>0</v>
      </c>
      <c r="AB124" s="60">
        <f t="shared" si="59"/>
        <v>10000</v>
      </c>
      <c r="AC124" s="60">
        <f t="shared" si="59"/>
        <v>0</v>
      </c>
      <c r="AD124" s="60">
        <f t="shared" si="59"/>
        <v>0</v>
      </c>
      <c r="AE124" s="60">
        <f t="shared" si="59"/>
        <v>0</v>
      </c>
      <c r="AF124" s="56"/>
      <c r="AG124" s="50">
        <f>P124-U124-Y124</f>
        <v>1123</v>
      </c>
      <c r="AH124" s="95">
        <f>L123-U123-Y124</f>
        <v>2185</v>
      </c>
    </row>
    <row r="125" spans="1:34" ht="60">
      <c r="A125" s="89">
        <v>1</v>
      </c>
      <c r="B125" s="54" t="s">
        <v>254</v>
      </c>
      <c r="C125" s="54" t="s">
        <v>249</v>
      </c>
      <c r="D125" s="89" t="s">
        <v>64</v>
      </c>
      <c r="E125" s="89" t="s">
        <v>181</v>
      </c>
      <c r="F125" s="89" t="s">
        <v>3</v>
      </c>
      <c r="G125" s="91">
        <v>7004686</v>
      </c>
      <c r="H125" s="89" t="s">
        <v>193</v>
      </c>
      <c r="I125" s="89" t="s">
        <v>105</v>
      </c>
      <c r="J125" s="89" t="s">
        <v>18</v>
      </c>
      <c r="K125" s="89" t="s">
        <v>159</v>
      </c>
      <c r="L125" s="60">
        <f>SUM(M125:O125)</f>
        <v>22723</v>
      </c>
      <c r="M125" s="61"/>
      <c r="N125" s="61"/>
      <c r="O125" s="61">
        <v>22723</v>
      </c>
      <c r="P125" s="61">
        <v>22669</v>
      </c>
      <c r="Q125" s="60">
        <f>SUM(R125:T125)</f>
        <v>20266</v>
      </c>
      <c r="R125" s="61"/>
      <c r="S125" s="61"/>
      <c r="T125" s="61">
        <f>4304+15962</f>
        <v>20266</v>
      </c>
      <c r="U125" s="60">
        <f>SUM(V125:X125)</f>
        <v>20266</v>
      </c>
      <c r="V125" s="61"/>
      <c r="W125" s="61"/>
      <c r="X125" s="61">
        <f>4304+15962</f>
        <v>20266</v>
      </c>
      <c r="Y125" s="60">
        <f>SUM(Z125:AD125)</f>
        <v>2000</v>
      </c>
      <c r="Z125" s="57"/>
      <c r="AA125" s="57"/>
      <c r="AB125" s="57">
        <v>2000</v>
      </c>
      <c r="AC125" s="57"/>
      <c r="AD125" s="57"/>
      <c r="AE125" s="57"/>
      <c r="AF125" s="57"/>
      <c r="AG125" s="93">
        <f>P125-U125-Y125</f>
        <v>403</v>
      </c>
      <c r="AH125" s="95">
        <f>'Chu dau tu'!L135-'Chu dau tu'!U135-Y125</f>
        <v>11249</v>
      </c>
    </row>
    <row r="126" spans="1:34" ht="45">
      <c r="A126" s="89">
        <v>1</v>
      </c>
      <c r="B126" s="54" t="s">
        <v>156</v>
      </c>
      <c r="C126" s="54" t="s">
        <v>249</v>
      </c>
      <c r="D126" s="89" t="s">
        <v>38</v>
      </c>
      <c r="E126" s="89" t="s">
        <v>181</v>
      </c>
      <c r="F126" s="89" t="s">
        <v>3</v>
      </c>
      <c r="G126" s="91">
        <v>7004692</v>
      </c>
      <c r="H126" s="89" t="s">
        <v>193</v>
      </c>
      <c r="I126" s="89" t="s">
        <v>96</v>
      </c>
      <c r="J126" s="89" t="s">
        <v>18</v>
      </c>
      <c r="K126" s="89" t="s">
        <v>157</v>
      </c>
      <c r="L126" s="60">
        <f>SUM(M126:O126)</f>
        <v>12365</v>
      </c>
      <c r="M126" s="61"/>
      <c r="N126" s="61"/>
      <c r="O126" s="61">
        <v>12365</v>
      </c>
      <c r="P126" s="61">
        <v>12000</v>
      </c>
      <c r="Q126" s="60">
        <f>SUM(R126:T126)</f>
        <v>10550</v>
      </c>
      <c r="R126" s="61"/>
      <c r="S126" s="61"/>
      <c r="T126" s="61">
        <f>50+10500</f>
        <v>10550</v>
      </c>
      <c r="U126" s="60">
        <f>SUM(V126:X126)</f>
        <v>10550</v>
      </c>
      <c r="V126" s="61"/>
      <c r="W126" s="61"/>
      <c r="X126" s="61">
        <f>50+10500</f>
        <v>10550</v>
      </c>
      <c r="Y126" s="60">
        <f>SUM(Z126:AD126)</f>
        <v>1000</v>
      </c>
      <c r="Z126" s="57"/>
      <c r="AA126" s="57"/>
      <c r="AB126" s="57">
        <v>1000</v>
      </c>
      <c r="AC126" s="57"/>
      <c r="AD126" s="57"/>
      <c r="AE126" s="57"/>
      <c r="AF126" s="57"/>
      <c r="AG126" s="93">
        <f>P126-U126-Y126</f>
        <v>450</v>
      </c>
      <c r="AH126" s="95">
        <f>'Chu dau tu'!L134-'Chu dau tu'!U134-Y126</f>
        <v>27395</v>
      </c>
    </row>
    <row r="127" spans="1:34" ht="75">
      <c r="A127" s="89">
        <v>2</v>
      </c>
      <c r="B127" s="54" t="s">
        <v>160</v>
      </c>
      <c r="C127" s="54" t="s">
        <v>249</v>
      </c>
      <c r="D127" s="89" t="s">
        <v>79</v>
      </c>
      <c r="E127" s="89" t="s">
        <v>181</v>
      </c>
      <c r="F127" s="89" t="s">
        <v>3</v>
      </c>
      <c r="G127" s="91">
        <v>7004692</v>
      </c>
      <c r="H127" s="89" t="s">
        <v>193</v>
      </c>
      <c r="I127" s="89" t="s">
        <v>105</v>
      </c>
      <c r="J127" s="89" t="s">
        <v>18</v>
      </c>
      <c r="K127" s="89" t="s">
        <v>161</v>
      </c>
      <c r="L127" s="60">
        <f>SUM(M127:O127)</f>
        <v>15320</v>
      </c>
      <c r="M127" s="61"/>
      <c r="N127" s="61"/>
      <c r="O127" s="61">
        <v>15320</v>
      </c>
      <c r="P127" s="61">
        <v>15270</v>
      </c>
      <c r="Q127" s="60">
        <f>SUM(R127:T127)</f>
        <v>8000</v>
      </c>
      <c r="R127" s="61"/>
      <c r="S127" s="61"/>
      <c r="T127" s="61">
        <f>8000</f>
        <v>8000</v>
      </c>
      <c r="U127" s="60">
        <f>SUM(V127:X127)</f>
        <v>8000</v>
      </c>
      <c r="V127" s="61"/>
      <c r="W127" s="61"/>
      <c r="X127" s="61">
        <f>8000</f>
        <v>8000</v>
      </c>
      <c r="Y127" s="60">
        <f>SUM(Z127:AD127)</f>
        <v>7000</v>
      </c>
      <c r="Z127" s="57"/>
      <c r="AA127" s="57"/>
      <c r="AB127" s="57">
        <v>7000</v>
      </c>
      <c r="AC127" s="57"/>
      <c r="AD127" s="57"/>
      <c r="AE127" s="57"/>
      <c r="AF127" s="57"/>
      <c r="AG127" s="93">
        <f>P127-U127-Y127</f>
        <v>270</v>
      </c>
      <c r="AH127" s="95">
        <f>L125-U125-Y127</f>
        <v>-4543</v>
      </c>
    </row>
    <row r="128" spans="1:34" s="48" customFormat="1" ht="14.25">
      <c r="A128" s="92" t="s">
        <v>67</v>
      </c>
      <c r="B128" s="55" t="s">
        <v>101</v>
      </c>
      <c r="C128" s="55"/>
      <c r="D128" s="92"/>
      <c r="E128" s="92"/>
      <c r="F128" s="92"/>
      <c r="G128" s="90"/>
      <c r="H128" s="92"/>
      <c r="I128" s="92"/>
      <c r="J128" s="92"/>
      <c r="K128" s="92"/>
      <c r="L128" s="60">
        <f>SUM(L129:L130)</f>
        <v>13974</v>
      </c>
      <c r="M128" s="60">
        <f t="shared" ref="M128:AE128" si="60">SUM(M129:M130)</f>
        <v>0</v>
      </c>
      <c r="N128" s="60">
        <f t="shared" si="60"/>
        <v>0</v>
      </c>
      <c r="O128" s="60">
        <f t="shared" si="60"/>
        <v>13974</v>
      </c>
      <c r="P128" s="60">
        <f t="shared" si="60"/>
        <v>13861</v>
      </c>
      <c r="Q128" s="60">
        <f t="shared" si="60"/>
        <v>100</v>
      </c>
      <c r="R128" s="60">
        <f t="shared" si="60"/>
        <v>0</v>
      </c>
      <c r="S128" s="60">
        <f t="shared" si="60"/>
        <v>0</v>
      </c>
      <c r="T128" s="60">
        <f t="shared" si="60"/>
        <v>100</v>
      </c>
      <c r="U128" s="60">
        <f t="shared" si="60"/>
        <v>100</v>
      </c>
      <c r="V128" s="60">
        <f t="shared" si="60"/>
        <v>0</v>
      </c>
      <c r="W128" s="60">
        <f t="shared" si="60"/>
        <v>0</v>
      </c>
      <c r="X128" s="60">
        <f t="shared" si="60"/>
        <v>100</v>
      </c>
      <c r="Y128" s="60">
        <f t="shared" si="60"/>
        <v>13000</v>
      </c>
      <c r="Z128" s="60">
        <f t="shared" si="60"/>
        <v>0</v>
      </c>
      <c r="AA128" s="60">
        <f t="shared" si="60"/>
        <v>0</v>
      </c>
      <c r="AB128" s="60">
        <f t="shared" si="60"/>
        <v>13000</v>
      </c>
      <c r="AC128" s="60">
        <f t="shared" si="60"/>
        <v>0</v>
      </c>
      <c r="AD128" s="60">
        <f t="shared" si="60"/>
        <v>0</v>
      </c>
      <c r="AE128" s="60">
        <f t="shared" si="60"/>
        <v>0</v>
      </c>
      <c r="AF128" s="56"/>
      <c r="AG128" s="50">
        <f>P128-U128-Y128</f>
        <v>761</v>
      </c>
      <c r="AH128" s="95">
        <f>L127-U127-Y128</f>
        <v>-5680</v>
      </c>
    </row>
    <row r="129" spans="1:34" ht="45">
      <c r="A129" s="89">
        <v>1</v>
      </c>
      <c r="B129" s="54" t="s">
        <v>209</v>
      </c>
      <c r="C129" s="54" t="s">
        <v>249</v>
      </c>
      <c r="D129" s="89" t="s">
        <v>27</v>
      </c>
      <c r="E129" s="89" t="s">
        <v>181</v>
      </c>
      <c r="F129" s="89" t="s">
        <v>3</v>
      </c>
      <c r="G129" s="91">
        <v>7004692</v>
      </c>
      <c r="H129" s="89" t="s">
        <v>193</v>
      </c>
      <c r="I129" s="89" t="s">
        <v>210</v>
      </c>
      <c r="J129" s="89" t="s">
        <v>18</v>
      </c>
      <c r="K129" s="89" t="s">
        <v>255</v>
      </c>
      <c r="L129" s="60">
        <f>SUM(M129:O129)</f>
        <v>12713</v>
      </c>
      <c r="M129" s="61"/>
      <c r="N129" s="61"/>
      <c r="O129" s="61">
        <v>12713</v>
      </c>
      <c r="P129" s="61">
        <v>12650</v>
      </c>
      <c r="Q129" s="60">
        <f>SUM(R129:T129)</f>
        <v>50</v>
      </c>
      <c r="R129" s="61"/>
      <c r="S129" s="61"/>
      <c r="T129" s="61">
        <v>50</v>
      </c>
      <c r="U129" s="60">
        <f>SUM(V129:X129)</f>
        <v>50</v>
      </c>
      <c r="V129" s="61"/>
      <c r="W129" s="61"/>
      <c r="X129" s="61">
        <v>50</v>
      </c>
      <c r="Y129" s="60">
        <f>SUM(Z129:AD129)</f>
        <v>12000</v>
      </c>
      <c r="Z129" s="57"/>
      <c r="AA129" s="57"/>
      <c r="AB129" s="57">
        <v>12000</v>
      </c>
      <c r="AC129" s="57"/>
      <c r="AD129" s="57"/>
      <c r="AE129" s="57"/>
      <c r="AF129" s="57"/>
      <c r="AH129" s="95">
        <f>'Chu dau tu'!L137-'Chu dau tu'!U137-Y129</f>
        <v>-7180</v>
      </c>
    </row>
    <row r="130" spans="1:34" ht="45">
      <c r="A130" s="89">
        <v>2</v>
      </c>
      <c r="B130" s="54" t="s">
        <v>211</v>
      </c>
      <c r="C130" s="54" t="s">
        <v>249</v>
      </c>
      <c r="D130" s="89" t="s">
        <v>29</v>
      </c>
      <c r="E130" s="89" t="s">
        <v>181</v>
      </c>
      <c r="F130" s="89" t="s">
        <v>3</v>
      </c>
      <c r="G130" s="91">
        <v>7004692</v>
      </c>
      <c r="H130" s="89" t="s">
        <v>193</v>
      </c>
      <c r="I130" s="89"/>
      <c r="J130" s="89" t="s">
        <v>18</v>
      </c>
      <c r="K130" s="89" t="s">
        <v>226</v>
      </c>
      <c r="L130" s="60">
        <f>SUM(M130:O130)</f>
        <v>1261</v>
      </c>
      <c r="M130" s="61"/>
      <c r="N130" s="61"/>
      <c r="O130" s="61">
        <v>1261</v>
      </c>
      <c r="P130" s="61">
        <v>1211</v>
      </c>
      <c r="Q130" s="60">
        <f>SUM(R130:T130)</f>
        <v>50</v>
      </c>
      <c r="R130" s="61"/>
      <c r="S130" s="61"/>
      <c r="T130" s="61">
        <v>50</v>
      </c>
      <c r="U130" s="60">
        <f>SUM(V130:X130)</f>
        <v>50</v>
      </c>
      <c r="V130" s="61"/>
      <c r="W130" s="61"/>
      <c r="X130" s="61">
        <v>50</v>
      </c>
      <c r="Y130" s="60">
        <f>SUM(Z130:AD130)</f>
        <v>1000</v>
      </c>
      <c r="Z130" s="57"/>
      <c r="AA130" s="57"/>
      <c r="AB130" s="57">
        <v>1000</v>
      </c>
      <c r="AC130" s="57"/>
      <c r="AD130" s="57"/>
      <c r="AE130" s="57"/>
      <c r="AF130" s="57"/>
      <c r="AH130" s="95">
        <f>'Chu dau tu'!L138-'Chu dau tu'!U138-Y130</f>
        <v>3820</v>
      </c>
    </row>
    <row r="131" spans="1:34" s="107" customFormat="1" ht="14.25">
      <c r="A131" s="99" t="s">
        <v>372</v>
      </c>
      <c r="B131" s="100" t="s">
        <v>264</v>
      </c>
      <c r="C131" s="100"/>
      <c r="D131" s="99"/>
      <c r="E131" s="99"/>
      <c r="F131" s="99"/>
      <c r="G131" s="97"/>
      <c r="H131" s="99"/>
      <c r="I131" s="99"/>
      <c r="J131" s="99"/>
      <c r="K131" s="99"/>
      <c r="L131" s="103">
        <f>L132+L134+L137</f>
        <v>77376</v>
      </c>
      <c r="M131" s="103">
        <f t="shared" ref="M131:AE131" si="61">M132+M134+M137</f>
        <v>0</v>
      </c>
      <c r="N131" s="103">
        <f t="shared" si="61"/>
        <v>0</v>
      </c>
      <c r="O131" s="103">
        <f t="shared" si="61"/>
        <v>77376</v>
      </c>
      <c r="P131" s="103">
        <f t="shared" si="61"/>
        <v>76144</v>
      </c>
      <c r="Q131" s="103">
        <f t="shared" si="61"/>
        <v>41252</v>
      </c>
      <c r="R131" s="103">
        <f t="shared" si="61"/>
        <v>0</v>
      </c>
      <c r="S131" s="103">
        <f t="shared" si="61"/>
        <v>0</v>
      </c>
      <c r="T131" s="103">
        <f t="shared" si="61"/>
        <v>41252</v>
      </c>
      <c r="U131" s="103">
        <f t="shared" si="61"/>
        <v>41252</v>
      </c>
      <c r="V131" s="103">
        <f t="shared" si="61"/>
        <v>0</v>
      </c>
      <c r="W131" s="103">
        <f t="shared" si="61"/>
        <v>0</v>
      </c>
      <c r="X131" s="103">
        <f t="shared" si="61"/>
        <v>41252</v>
      </c>
      <c r="Y131" s="103">
        <f t="shared" si="61"/>
        <v>32000</v>
      </c>
      <c r="Z131" s="103">
        <f t="shared" si="61"/>
        <v>0</v>
      </c>
      <c r="AA131" s="103">
        <f t="shared" si="61"/>
        <v>0</v>
      </c>
      <c r="AB131" s="103">
        <f t="shared" si="61"/>
        <v>32000</v>
      </c>
      <c r="AC131" s="103">
        <f t="shared" si="61"/>
        <v>0</v>
      </c>
      <c r="AD131" s="103">
        <f t="shared" si="61"/>
        <v>0</v>
      </c>
      <c r="AE131" s="103">
        <f t="shared" si="61"/>
        <v>0</v>
      </c>
      <c r="AF131" s="104"/>
      <c r="AG131" s="105"/>
      <c r="AH131" s="106"/>
    </row>
    <row r="132" spans="1:34" s="48" customFormat="1" ht="42.75">
      <c r="A132" s="92" t="s">
        <v>73</v>
      </c>
      <c r="B132" s="55" t="s">
        <v>190</v>
      </c>
      <c r="C132" s="55"/>
      <c r="D132" s="92"/>
      <c r="E132" s="92"/>
      <c r="F132" s="92"/>
      <c r="G132" s="90"/>
      <c r="H132" s="92"/>
      <c r="I132" s="92"/>
      <c r="J132" s="92"/>
      <c r="K132" s="92"/>
      <c r="L132" s="60">
        <f t="shared" ref="L132:AE132" si="62">SUM(L133:L133)</f>
        <v>14061</v>
      </c>
      <c r="M132" s="60">
        <f t="shared" si="62"/>
        <v>0</v>
      </c>
      <c r="N132" s="60">
        <f t="shared" si="62"/>
        <v>0</v>
      </c>
      <c r="O132" s="60">
        <f t="shared" si="62"/>
        <v>14061</v>
      </c>
      <c r="P132" s="60">
        <f t="shared" si="62"/>
        <v>13175</v>
      </c>
      <c r="Q132" s="60">
        <f t="shared" si="62"/>
        <v>11152</v>
      </c>
      <c r="R132" s="60">
        <f t="shared" si="62"/>
        <v>0</v>
      </c>
      <c r="S132" s="60">
        <f t="shared" si="62"/>
        <v>0</v>
      </c>
      <c r="T132" s="60">
        <f t="shared" si="62"/>
        <v>11152</v>
      </c>
      <c r="U132" s="60">
        <f t="shared" si="62"/>
        <v>11152</v>
      </c>
      <c r="V132" s="60">
        <f t="shared" si="62"/>
        <v>0</v>
      </c>
      <c r="W132" s="60">
        <f t="shared" si="62"/>
        <v>0</v>
      </c>
      <c r="X132" s="60">
        <f t="shared" si="62"/>
        <v>11152</v>
      </c>
      <c r="Y132" s="60">
        <f t="shared" si="62"/>
        <v>1500</v>
      </c>
      <c r="Z132" s="60">
        <f t="shared" si="62"/>
        <v>0</v>
      </c>
      <c r="AA132" s="60">
        <f t="shared" si="62"/>
        <v>0</v>
      </c>
      <c r="AB132" s="60">
        <f t="shared" si="62"/>
        <v>1500</v>
      </c>
      <c r="AC132" s="60">
        <f t="shared" si="62"/>
        <v>0</v>
      </c>
      <c r="AD132" s="60">
        <f t="shared" si="62"/>
        <v>0</v>
      </c>
      <c r="AE132" s="60">
        <f t="shared" si="62"/>
        <v>0</v>
      </c>
      <c r="AF132" s="56"/>
      <c r="AG132" s="50">
        <f>P132-U132-Y132</f>
        <v>523</v>
      </c>
      <c r="AH132" s="95" t="e">
        <f>#REF!-#REF!-Y132</f>
        <v>#REF!</v>
      </c>
    </row>
    <row r="133" spans="1:34" ht="45">
      <c r="A133" s="89">
        <v>1</v>
      </c>
      <c r="B133" s="54" t="s">
        <v>263</v>
      </c>
      <c r="C133" s="54" t="s">
        <v>264</v>
      </c>
      <c r="D133" s="89" t="s">
        <v>14</v>
      </c>
      <c r="E133" s="89" t="s">
        <v>181</v>
      </c>
      <c r="F133" s="89" t="s">
        <v>3</v>
      </c>
      <c r="G133" s="91">
        <v>7004692</v>
      </c>
      <c r="H133" s="89" t="s">
        <v>193</v>
      </c>
      <c r="I133" s="89"/>
      <c r="J133" s="89" t="s">
        <v>153</v>
      </c>
      <c r="K133" s="89" t="s">
        <v>265</v>
      </c>
      <c r="L133" s="60">
        <f>M133+O133+N133</f>
        <v>14061</v>
      </c>
      <c r="M133" s="61"/>
      <c r="N133" s="61"/>
      <c r="O133" s="61">
        <v>14061</v>
      </c>
      <c r="P133" s="61">
        <v>13175</v>
      </c>
      <c r="Q133" s="60">
        <f>SUM(R133:T133)</f>
        <v>11152</v>
      </c>
      <c r="R133" s="61"/>
      <c r="S133" s="61"/>
      <c r="T133" s="61">
        <f>3652+7500</f>
        <v>11152</v>
      </c>
      <c r="U133" s="60">
        <f>SUM(V133:X133)</f>
        <v>11152</v>
      </c>
      <c r="V133" s="61"/>
      <c r="W133" s="61"/>
      <c r="X133" s="61">
        <f>3652+7500</f>
        <v>11152</v>
      </c>
      <c r="Y133" s="60">
        <f>SUM(Z133:AD133)</f>
        <v>1500</v>
      </c>
      <c r="Z133" s="57"/>
      <c r="AA133" s="57"/>
      <c r="AB133" s="57">
        <v>1500</v>
      </c>
      <c r="AC133" s="57"/>
      <c r="AD133" s="57"/>
      <c r="AE133" s="57"/>
      <c r="AF133" s="57"/>
      <c r="AH133" s="95">
        <f>'Chu dau tu'!L122-'Chu dau tu'!U122-Y133</f>
        <v>-952</v>
      </c>
    </row>
    <row r="134" spans="1:34" s="48" customFormat="1" ht="14.25">
      <c r="A134" s="92" t="s">
        <v>60</v>
      </c>
      <c r="B134" s="55" t="s">
        <v>61</v>
      </c>
      <c r="C134" s="55"/>
      <c r="D134" s="92"/>
      <c r="E134" s="92"/>
      <c r="F134" s="92"/>
      <c r="G134" s="90"/>
      <c r="H134" s="92"/>
      <c r="I134" s="92"/>
      <c r="J134" s="92"/>
      <c r="K134" s="92"/>
      <c r="L134" s="60">
        <f t="shared" ref="L134:AE134" si="63">SUM(L135:L136)</f>
        <v>58495</v>
      </c>
      <c r="M134" s="60">
        <f t="shared" si="63"/>
        <v>0</v>
      </c>
      <c r="N134" s="60">
        <f t="shared" si="63"/>
        <v>0</v>
      </c>
      <c r="O134" s="60">
        <f t="shared" si="63"/>
        <v>58495</v>
      </c>
      <c r="P134" s="60">
        <f t="shared" si="63"/>
        <v>58249</v>
      </c>
      <c r="Q134" s="60">
        <f t="shared" si="63"/>
        <v>30100</v>
      </c>
      <c r="R134" s="60">
        <f t="shared" si="63"/>
        <v>0</v>
      </c>
      <c r="S134" s="60">
        <f t="shared" si="63"/>
        <v>0</v>
      </c>
      <c r="T134" s="60">
        <f t="shared" si="63"/>
        <v>30100</v>
      </c>
      <c r="U134" s="60">
        <f t="shared" si="63"/>
        <v>30100</v>
      </c>
      <c r="V134" s="60">
        <f t="shared" si="63"/>
        <v>0</v>
      </c>
      <c r="W134" s="60">
        <f t="shared" si="63"/>
        <v>0</v>
      </c>
      <c r="X134" s="60">
        <f t="shared" si="63"/>
        <v>30100</v>
      </c>
      <c r="Y134" s="60">
        <f t="shared" si="63"/>
        <v>26000</v>
      </c>
      <c r="Z134" s="56">
        <f t="shared" si="63"/>
        <v>0</v>
      </c>
      <c r="AA134" s="56">
        <f t="shared" si="63"/>
        <v>0</v>
      </c>
      <c r="AB134" s="56">
        <f t="shared" si="63"/>
        <v>26000</v>
      </c>
      <c r="AC134" s="56">
        <f t="shared" si="63"/>
        <v>0</v>
      </c>
      <c r="AD134" s="56">
        <f t="shared" si="63"/>
        <v>0</v>
      </c>
      <c r="AE134" s="56">
        <f t="shared" si="63"/>
        <v>0</v>
      </c>
      <c r="AF134" s="56"/>
      <c r="AG134" s="50">
        <f>P134-U134-Y134</f>
        <v>2149</v>
      </c>
      <c r="AH134" s="95">
        <f>'Chu dau tu'!L123-'Chu dau tu'!U123-Y134</f>
        <v>-13815</v>
      </c>
    </row>
    <row r="135" spans="1:34" ht="45">
      <c r="A135" s="89">
        <v>1</v>
      </c>
      <c r="B135" s="54" t="s">
        <v>158</v>
      </c>
      <c r="C135" s="54" t="s">
        <v>264</v>
      </c>
      <c r="D135" s="89" t="s">
        <v>79</v>
      </c>
      <c r="E135" s="89" t="s">
        <v>181</v>
      </c>
      <c r="F135" s="89" t="s">
        <v>3</v>
      </c>
      <c r="G135" s="91">
        <v>7004686</v>
      </c>
      <c r="H135" s="89" t="s">
        <v>193</v>
      </c>
      <c r="I135" s="89" t="s">
        <v>105</v>
      </c>
      <c r="J135" s="89" t="s">
        <v>18</v>
      </c>
      <c r="K135" s="89" t="s">
        <v>159</v>
      </c>
      <c r="L135" s="60">
        <f>SUM(M135:O135)</f>
        <v>43249</v>
      </c>
      <c r="M135" s="61"/>
      <c r="N135" s="61"/>
      <c r="O135" s="61">
        <v>43249</v>
      </c>
      <c r="P135" s="61">
        <v>43249</v>
      </c>
      <c r="Q135" s="60">
        <f>SUM(R135:T135)</f>
        <v>30000</v>
      </c>
      <c r="R135" s="61"/>
      <c r="S135" s="61"/>
      <c r="T135" s="61">
        <f>30000</f>
        <v>30000</v>
      </c>
      <c r="U135" s="60">
        <f>SUM(V135:X135)</f>
        <v>30000</v>
      </c>
      <c r="V135" s="61"/>
      <c r="W135" s="61"/>
      <c r="X135" s="61">
        <f>30000</f>
        <v>30000</v>
      </c>
      <c r="Y135" s="60">
        <f>SUM(Z135:AD135)</f>
        <v>12000</v>
      </c>
      <c r="Z135" s="57"/>
      <c r="AA135" s="57"/>
      <c r="AB135" s="57">
        <v>12000</v>
      </c>
      <c r="AC135" s="57">
        <v>0</v>
      </c>
      <c r="AD135" s="57"/>
      <c r="AE135" s="57"/>
      <c r="AF135" s="57"/>
      <c r="AG135" s="93">
        <f>P135-U135-Y135</f>
        <v>1249</v>
      </c>
      <c r="AH135" s="95">
        <f>'Chu dau tu'!L126-'Chu dau tu'!U126-Y135</f>
        <v>-10185</v>
      </c>
    </row>
    <row r="136" spans="1:34" ht="60">
      <c r="A136" s="89">
        <v>2</v>
      </c>
      <c r="B136" s="54" t="s">
        <v>212</v>
      </c>
      <c r="C136" s="54" t="s">
        <v>264</v>
      </c>
      <c r="D136" s="89" t="s">
        <v>14</v>
      </c>
      <c r="E136" s="89" t="s">
        <v>181</v>
      </c>
      <c r="F136" s="89" t="s">
        <v>3</v>
      </c>
      <c r="G136" s="91">
        <v>7004686</v>
      </c>
      <c r="H136" s="89" t="s">
        <v>197</v>
      </c>
      <c r="I136" s="89" t="s">
        <v>210</v>
      </c>
      <c r="J136" s="89" t="s">
        <v>34</v>
      </c>
      <c r="K136" s="89" t="s">
        <v>213</v>
      </c>
      <c r="L136" s="60">
        <f>SUM(M136:O136)</f>
        <v>15246</v>
      </c>
      <c r="M136" s="61"/>
      <c r="N136" s="61"/>
      <c r="O136" s="61">
        <v>15246</v>
      </c>
      <c r="P136" s="61">
        <v>15000</v>
      </c>
      <c r="Q136" s="60">
        <f>SUM(R136:T136)</f>
        <v>100</v>
      </c>
      <c r="R136" s="61"/>
      <c r="S136" s="61"/>
      <c r="T136" s="61">
        <v>100</v>
      </c>
      <c r="U136" s="60">
        <f>SUM(V136:X136)</f>
        <v>100</v>
      </c>
      <c r="V136" s="61"/>
      <c r="W136" s="61"/>
      <c r="X136" s="61">
        <v>100</v>
      </c>
      <c r="Y136" s="60">
        <f>SUM(Z136:AD136)</f>
        <v>14000</v>
      </c>
      <c r="Z136" s="57"/>
      <c r="AA136" s="57"/>
      <c r="AB136" s="57">
        <v>14000</v>
      </c>
      <c r="AC136" s="57"/>
      <c r="AD136" s="57"/>
      <c r="AE136" s="57"/>
      <c r="AF136" s="57"/>
      <c r="AH136" s="95">
        <f>'Chu dau tu'!L127-'Chu dau tu'!U127-Y136</f>
        <v>-6680</v>
      </c>
    </row>
    <row r="137" spans="1:34" s="48" customFormat="1" ht="14.25">
      <c r="A137" s="92" t="s">
        <v>67</v>
      </c>
      <c r="B137" s="55" t="s">
        <v>101</v>
      </c>
      <c r="C137" s="55"/>
      <c r="D137" s="92"/>
      <c r="E137" s="92"/>
      <c r="F137" s="92"/>
      <c r="G137" s="90"/>
      <c r="H137" s="92"/>
      <c r="I137" s="92"/>
      <c r="J137" s="92"/>
      <c r="K137" s="92"/>
      <c r="L137" s="60">
        <f t="shared" ref="L137:AE137" si="64">SUM(L138:L138)</f>
        <v>4820</v>
      </c>
      <c r="M137" s="60">
        <f t="shared" si="64"/>
        <v>0</v>
      </c>
      <c r="N137" s="60">
        <f t="shared" si="64"/>
        <v>0</v>
      </c>
      <c r="O137" s="60">
        <f t="shared" si="64"/>
        <v>4820</v>
      </c>
      <c r="P137" s="60">
        <f t="shared" si="64"/>
        <v>4720</v>
      </c>
      <c r="Q137" s="60">
        <f t="shared" si="64"/>
        <v>0</v>
      </c>
      <c r="R137" s="60">
        <f t="shared" si="64"/>
        <v>0</v>
      </c>
      <c r="S137" s="60">
        <f t="shared" si="64"/>
        <v>0</v>
      </c>
      <c r="T137" s="60">
        <f t="shared" si="64"/>
        <v>0</v>
      </c>
      <c r="U137" s="60">
        <f t="shared" si="64"/>
        <v>0</v>
      </c>
      <c r="V137" s="60">
        <f t="shared" si="64"/>
        <v>0</v>
      </c>
      <c r="W137" s="60">
        <f t="shared" si="64"/>
        <v>0</v>
      </c>
      <c r="X137" s="60">
        <f t="shared" si="64"/>
        <v>0</v>
      </c>
      <c r="Y137" s="60">
        <f t="shared" si="64"/>
        <v>4500</v>
      </c>
      <c r="Z137" s="60">
        <f t="shared" si="64"/>
        <v>0</v>
      </c>
      <c r="AA137" s="60">
        <f t="shared" si="64"/>
        <v>0</v>
      </c>
      <c r="AB137" s="60">
        <f t="shared" si="64"/>
        <v>4500</v>
      </c>
      <c r="AC137" s="60">
        <f t="shared" si="64"/>
        <v>0</v>
      </c>
      <c r="AD137" s="60">
        <f t="shared" si="64"/>
        <v>0</v>
      </c>
      <c r="AE137" s="60">
        <f t="shared" si="64"/>
        <v>0</v>
      </c>
      <c r="AF137" s="56"/>
      <c r="AG137" s="50">
        <f>P137-U137-Y137</f>
        <v>220</v>
      </c>
      <c r="AH137" s="95">
        <f>L136-U136-Y137</f>
        <v>10646</v>
      </c>
    </row>
    <row r="138" spans="1:34" ht="75">
      <c r="A138" s="89">
        <v>1</v>
      </c>
      <c r="B138" s="54" t="s">
        <v>305</v>
      </c>
      <c r="C138" s="54" t="s">
        <v>264</v>
      </c>
      <c r="D138" s="89" t="s">
        <v>38</v>
      </c>
      <c r="E138" s="89" t="s">
        <v>181</v>
      </c>
      <c r="F138" s="89" t="s">
        <v>3</v>
      </c>
      <c r="G138" s="91">
        <v>7004686</v>
      </c>
      <c r="H138" s="89" t="s">
        <v>197</v>
      </c>
      <c r="I138" s="89" t="s">
        <v>210</v>
      </c>
      <c r="J138" s="89" t="s">
        <v>225</v>
      </c>
      <c r="K138" s="89" t="s">
        <v>306</v>
      </c>
      <c r="L138" s="60">
        <f>SUM(M138:O138)</f>
        <v>4820</v>
      </c>
      <c r="M138" s="61"/>
      <c r="N138" s="61"/>
      <c r="O138" s="61">
        <v>4820</v>
      </c>
      <c r="P138" s="61">
        <v>4720</v>
      </c>
      <c r="Q138" s="60">
        <f>SUM(R138:T138)</f>
        <v>0</v>
      </c>
      <c r="R138" s="61"/>
      <c r="S138" s="61"/>
      <c r="T138" s="61"/>
      <c r="U138" s="60">
        <f>SUM(V138:X138)</f>
        <v>0</v>
      </c>
      <c r="V138" s="61"/>
      <c r="W138" s="61"/>
      <c r="X138" s="61"/>
      <c r="Y138" s="60">
        <f>SUM(Z138:AD138)</f>
        <v>4500</v>
      </c>
      <c r="Z138" s="57"/>
      <c r="AA138" s="57"/>
      <c r="AB138" s="57">
        <v>4500</v>
      </c>
      <c r="AC138" s="57"/>
      <c r="AD138" s="57"/>
      <c r="AE138" s="57"/>
      <c r="AF138" s="57"/>
      <c r="AH138" s="95">
        <f>'Chu dau tu'!L129-'Chu dau tu'!U129-Y138</f>
        <v>8163</v>
      </c>
    </row>
    <row r="139" spans="1:34" s="107" customFormat="1" ht="14.25">
      <c r="A139" s="99" t="s">
        <v>373</v>
      </c>
      <c r="B139" s="100" t="s">
        <v>349</v>
      </c>
      <c r="C139" s="100"/>
      <c r="D139" s="99"/>
      <c r="E139" s="99"/>
      <c r="F139" s="99"/>
      <c r="G139" s="97"/>
      <c r="H139" s="99"/>
      <c r="I139" s="99"/>
      <c r="J139" s="99"/>
      <c r="K139" s="99"/>
      <c r="L139" s="103">
        <f>L140</f>
        <v>7387091</v>
      </c>
      <c r="M139" s="103">
        <f t="shared" ref="M139:AE139" si="65">M140</f>
        <v>5969379</v>
      </c>
      <c r="N139" s="103">
        <f t="shared" si="65"/>
        <v>0</v>
      </c>
      <c r="O139" s="103">
        <f t="shared" si="65"/>
        <v>1417712</v>
      </c>
      <c r="P139" s="103">
        <f t="shared" si="65"/>
        <v>621329</v>
      </c>
      <c r="Q139" s="103">
        <f t="shared" si="65"/>
        <v>2202703</v>
      </c>
      <c r="R139" s="103">
        <f t="shared" si="65"/>
        <v>1379655</v>
      </c>
      <c r="S139" s="103">
        <f t="shared" si="65"/>
        <v>0</v>
      </c>
      <c r="T139" s="103">
        <f t="shared" si="65"/>
        <v>823048</v>
      </c>
      <c r="U139" s="103">
        <f t="shared" si="65"/>
        <v>2352703</v>
      </c>
      <c r="V139" s="103">
        <f t="shared" si="65"/>
        <v>1529655</v>
      </c>
      <c r="W139" s="103">
        <f t="shared" si="65"/>
        <v>0</v>
      </c>
      <c r="X139" s="103">
        <f t="shared" si="65"/>
        <v>823048</v>
      </c>
      <c r="Y139" s="103">
        <f t="shared" si="65"/>
        <v>461931</v>
      </c>
      <c r="Z139" s="103">
        <f t="shared" si="65"/>
        <v>0</v>
      </c>
      <c r="AA139" s="103">
        <f t="shared" si="65"/>
        <v>0</v>
      </c>
      <c r="AB139" s="103">
        <f t="shared" si="65"/>
        <v>302031</v>
      </c>
      <c r="AC139" s="103">
        <f t="shared" si="65"/>
        <v>159900</v>
      </c>
      <c r="AD139" s="103">
        <f t="shared" si="65"/>
        <v>0</v>
      </c>
      <c r="AE139" s="103">
        <f t="shared" si="65"/>
        <v>0</v>
      </c>
      <c r="AF139" s="104"/>
      <c r="AG139" s="105"/>
      <c r="AH139" s="106"/>
    </row>
    <row r="140" spans="1:34" s="48" customFormat="1" ht="14.25">
      <c r="A140" s="92" t="s">
        <v>60</v>
      </c>
      <c r="B140" s="55" t="s">
        <v>61</v>
      </c>
      <c r="C140" s="55"/>
      <c r="D140" s="92"/>
      <c r="E140" s="92"/>
      <c r="F140" s="92"/>
      <c r="G140" s="90"/>
      <c r="H140" s="92"/>
      <c r="I140" s="92"/>
      <c r="J140" s="92"/>
      <c r="K140" s="92"/>
      <c r="L140" s="60">
        <f>SUM(L141:L142)</f>
        <v>7387091</v>
      </c>
      <c r="M140" s="60">
        <f t="shared" ref="M140:AE140" si="66">SUM(M141:M142)</f>
        <v>5969379</v>
      </c>
      <c r="N140" s="60">
        <f t="shared" si="66"/>
        <v>0</v>
      </c>
      <c r="O140" s="60">
        <f t="shared" si="66"/>
        <v>1417712</v>
      </c>
      <c r="P140" s="60">
        <f t="shared" si="66"/>
        <v>621329</v>
      </c>
      <c r="Q140" s="60">
        <f t="shared" si="66"/>
        <v>2202703</v>
      </c>
      <c r="R140" s="60">
        <f t="shared" si="66"/>
        <v>1379655</v>
      </c>
      <c r="S140" s="60">
        <f t="shared" si="66"/>
        <v>0</v>
      </c>
      <c r="T140" s="60">
        <f t="shared" si="66"/>
        <v>823048</v>
      </c>
      <c r="U140" s="60">
        <f t="shared" si="66"/>
        <v>2352703</v>
      </c>
      <c r="V140" s="60">
        <f t="shared" si="66"/>
        <v>1529655</v>
      </c>
      <c r="W140" s="60">
        <f t="shared" si="66"/>
        <v>0</v>
      </c>
      <c r="X140" s="60">
        <f t="shared" si="66"/>
        <v>823048</v>
      </c>
      <c r="Y140" s="60">
        <f t="shared" si="66"/>
        <v>461931</v>
      </c>
      <c r="Z140" s="60">
        <f t="shared" si="66"/>
        <v>0</v>
      </c>
      <c r="AA140" s="60">
        <f t="shared" si="66"/>
        <v>0</v>
      </c>
      <c r="AB140" s="60">
        <f t="shared" si="66"/>
        <v>302031</v>
      </c>
      <c r="AC140" s="60">
        <f t="shared" si="66"/>
        <v>159900</v>
      </c>
      <c r="AD140" s="60">
        <f t="shared" si="66"/>
        <v>0</v>
      </c>
      <c r="AE140" s="60">
        <f t="shared" si="66"/>
        <v>0</v>
      </c>
      <c r="AF140" s="56"/>
      <c r="AG140" s="50">
        <f t="shared" ref="AG140:AG150" si="67">P140-U140-Y140</f>
        <v>-2193305</v>
      </c>
      <c r="AH140" s="95">
        <f>'Chu dau tu'!L129-'Chu dau tu'!U129-Y140</f>
        <v>-449268</v>
      </c>
    </row>
    <row r="141" spans="1:34" s="78" customFormat="1" ht="45">
      <c r="A141" s="72">
        <v>1</v>
      </c>
      <c r="B141" s="73" t="s">
        <v>147</v>
      </c>
      <c r="C141" s="73" t="s">
        <v>349</v>
      </c>
      <c r="D141" s="72" t="s">
        <v>38</v>
      </c>
      <c r="E141" s="72" t="s">
        <v>181</v>
      </c>
      <c r="F141" s="72" t="s">
        <v>1</v>
      </c>
      <c r="G141" s="74">
        <v>7488650</v>
      </c>
      <c r="H141" s="72">
        <v>432</v>
      </c>
      <c r="I141" s="72"/>
      <c r="J141" s="72" t="s">
        <v>148</v>
      </c>
      <c r="K141" s="72" t="s">
        <v>149</v>
      </c>
      <c r="L141" s="71">
        <f>SUM(M141:O141)</f>
        <v>7339334</v>
      </c>
      <c r="M141" s="75">
        <v>5925701</v>
      </c>
      <c r="N141" s="75"/>
      <c r="O141" s="75">
        <v>1413633</v>
      </c>
      <c r="P141" s="75">
        <v>618000</v>
      </c>
      <c r="Q141" s="71">
        <f>SUM(R141:T141)</f>
        <v>2200655</v>
      </c>
      <c r="R141" s="75">
        <f>200000+101545+650000+178110+250000</f>
        <v>1379655</v>
      </c>
      <c r="S141" s="75"/>
      <c r="T141" s="75">
        <f>30000+32000+300000+394000+65000</f>
        <v>821000</v>
      </c>
      <c r="U141" s="71">
        <f>SUM(V141:X141)</f>
        <v>2350655</v>
      </c>
      <c r="V141" s="75">
        <f>200000+101545+650000+578110</f>
        <v>1529655</v>
      </c>
      <c r="W141" s="75"/>
      <c r="X141" s="75">
        <f>30000+32000+300000+394000+65000</f>
        <v>821000</v>
      </c>
      <c r="Y141" s="71">
        <f>SUM(Z141:AD141)</f>
        <v>459900</v>
      </c>
      <c r="Z141" s="76"/>
      <c r="AA141" s="76"/>
      <c r="AB141" s="76">
        <v>300000</v>
      </c>
      <c r="AC141" s="76">
        <f>100000+50000+9900</f>
        <v>159900</v>
      </c>
      <c r="AD141" s="76"/>
      <c r="AE141" s="76"/>
      <c r="AF141" s="76"/>
      <c r="AG141" s="77">
        <f t="shared" si="67"/>
        <v>-2192555</v>
      </c>
      <c r="AH141" s="95" t="e">
        <f>#REF!-#REF!-Y141</f>
        <v>#REF!</v>
      </c>
    </row>
    <row r="142" spans="1:34" s="78" customFormat="1" ht="45">
      <c r="A142" s="72">
        <v>2</v>
      </c>
      <c r="B142" s="73" t="s">
        <v>246</v>
      </c>
      <c r="C142" s="73" t="s">
        <v>349</v>
      </c>
      <c r="D142" s="72" t="s">
        <v>64</v>
      </c>
      <c r="E142" s="72" t="s">
        <v>181</v>
      </c>
      <c r="F142" s="72" t="s">
        <v>3</v>
      </c>
      <c r="G142" s="74">
        <v>7582955</v>
      </c>
      <c r="H142" s="72">
        <v>281</v>
      </c>
      <c r="I142" s="72" t="s">
        <v>35</v>
      </c>
      <c r="J142" s="72" t="s">
        <v>153</v>
      </c>
      <c r="K142" s="72" t="s">
        <v>247</v>
      </c>
      <c r="L142" s="71">
        <f>SUM(M142:O142)</f>
        <v>47757</v>
      </c>
      <c r="M142" s="75">
        <v>43678</v>
      </c>
      <c r="N142" s="75"/>
      <c r="O142" s="75">
        <v>4079</v>
      </c>
      <c r="P142" s="75">
        <v>3329</v>
      </c>
      <c r="Q142" s="71">
        <f>SUM(R142:T142)</f>
        <v>2048</v>
      </c>
      <c r="R142" s="75"/>
      <c r="S142" s="75"/>
      <c r="T142" s="75">
        <f>750+1298</f>
        <v>2048</v>
      </c>
      <c r="U142" s="71">
        <f>SUM(V142:X142)</f>
        <v>2048</v>
      </c>
      <c r="V142" s="75"/>
      <c r="W142" s="75"/>
      <c r="X142" s="75">
        <f>750+1298</f>
        <v>2048</v>
      </c>
      <c r="Y142" s="71">
        <f>SUM(Z142:AD142)</f>
        <v>2031</v>
      </c>
      <c r="Z142" s="76"/>
      <c r="AA142" s="76"/>
      <c r="AB142" s="76">
        <v>2031</v>
      </c>
      <c r="AC142" s="76"/>
      <c r="AD142" s="76"/>
      <c r="AE142" s="76"/>
      <c r="AF142" s="76"/>
      <c r="AG142" s="77">
        <f t="shared" si="67"/>
        <v>-750</v>
      </c>
      <c r="AH142" s="95">
        <f>L141-U141-Y142</f>
        <v>4986648</v>
      </c>
    </row>
    <row r="143" spans="1:34" s="48" customFormat="1" ht="28.5">
      <c r="A143" s="92" t="s">
        <v>2</v>
      </c>
      <c r="B143" s="55" t="s">
        <v>162</v>
      </c>
      <c r="C143" s="55"/>
      <c r="D143" s="92"/>
      <c r="E143" s="92"/>
      <c r="F143" s="92"/>
      <c r="G143" s="90"/>
      <c r="H143" s="92"/>
      <c r="I143" s="92"/>
      <c r="J143" s="92"/>
      <c r="K143" s="92"/>
      <c r="L143" s="60">
        <f t="shared" ref="L143:AE143" si="68">L144+L146+L148+L152+L154+L156+L161+L163+L168</f>
        <v>267475.07948399999</v>
      </c>
      <c r="M143" s="60">
        <f t="shared" si="68"/>
        <v>0</v>
      </c>
      <c r="N143" s="60">
        <f t="shared" si="68"/>
        <v>0</v>
      </c>
      <c r="O143" s="60">
        <f t="shared" si="68"/>
        <v>267475.07948399999</v>
      </c>
      <c r="P143" s="60">
        <f t="shared" si="68"/>
        <v>4574160</v>
      </c>
      <c r="Q143" s="60">
        <f t="shared" si="68"/>
        <v>2324883</v>
      </c>
      <c r="R143" s="60">
        <f t="shared" si="68"/>
        <v>0</v>
      </c>
      <c r="S143" s="60">
        <f t="shared" si="68"/>
        <v>0</v>
      </c>
      <c r="T143" s="60">
        <f t="shared" si="68"/>
        <v>2324883</v>
      </c>
      <c r="U143" s="60">
        <f t="shared" si="68"/>
        <v>2328883</v>
      </c>
      <c r="V143" s="60">
        <f t="shared" si="68"/>
        <v>0</v>
      </c>
      <c r="W143" s="60">
        <f t="shared" si="68"/>
        <v>0</v>
      </c>
      <c r="X143" s="60">
        <f t="shared" si="68"/>
        <v>2328883</v>
      </c>
      <c r="Y143" s="60">
        <f t="shared" si="68"/>
        <v>1114228</v>
      </c>
      <c r="Z143" s="56">
        <f t="shared" si="68"/>
        <v>0</v>
      </c>
      <c r="AA143" s="56">
        <f t="shared" si="68"/>
        <v>0</v>
      </c>
      <c r="AB143" s="56">
        <f t="shared" si="68"/>
        <v>558228</v>
      </c>
      <c r="AC143" s="56">
        <f t="shared" si="68"/>
        <v>96000</v>
      </c>
      <c r="AD143" s="56">
        <f t="shared" si="68"/>
        <v>460000</v>
      </c>
      <c r="AE143" s="56">
        <f t="shared" si="68"/>
        <v>0</v>
      </c>
      <c r="AF143" s="56"/>
      <c r="AG143" s="50">
        <f t="shared" si="67"/>
        <v>1131049</v>
      </c>
      <c r="AH143" s="95">
        <f>'Chu dau tu'!L66-'Chu dau tu'!U66-Y143</f>
        <v>-883980</v>
      </c>
    </row>
    <row r="144" spans="1:34" s="68" customFormat="1" ht="14.25">
      <c r="A144" s="62" t="s">
        <v>5</v>
      </c>
      <c r="B144" s="63" t="s">
        <v>163</v>
      </c>
      <c r="C144" s="63"/>
      <c r="D144" s="62"/>
      <c r="E144" s="62"/>
      <c r="F144" s="62"/>
      <c r="G144" s="64"/>
      <c r="H144" s="62"/>
      <c r="I144" s="62"/>
      <c r="J144" s="62"/>
      <c r="K144" s="62"/>
      <c r="L144" s="65">
        <f t="shared" ref="L144:AE144" si="69">L145</f>
        <v>0</v>
      </c>
      <c r="M144" s="65">
        <f t="shared" si="69"/>
        <v>0</v>
      </c>
      <c r="N144" s="65">
        <f t="shared" si="69"/>
        <v>0</v>
      </c>
      <c r="O144" s="65">
        <f t="shared" si="69"/>
        <v>0</v>
      </c>
      <c r="P144" s="65">
        <f t="shared" si="69"/>
        <v>564257</v>
      </c>
      <c r="Q144" s="65">
        <f t="shared" si="69"/>
        <v>293183</v>
      </c>
      <c r="R144" s="65">
        <f t="shared" si="69"/>
        <v>0</v>
      </c>
      <c r="S144" s="65">
        <f t="shared" si="69"/>
        <v>0</v>
      </c>
      <c r="T144" s="65">
        <f t="shared" si="69"/>
        <v>293183</v>
      </c>
      <c r="U144" s="65">
        <f t="shared" si="69"/>
        <v>293183</v>
      </c>
      <c r="V144" s="65">
        <f t="shared" si="69"/>
        <v>0</v>
      </c>
      <c r="W144" s="65">
        <f t="shared" si="69"/>
        <v>0</v>
      </c>
      <c r="X144" s="65">
        <f t="shared" si="69"/>
        <v>293183</v>
      </c>
      <c r="Y144" s="65">
        <f t="shared" si="69"/>
        <v>129945</v>
      </c>
      <c r="Z144" s="65">
        <f t="shared" si="69"/>
        <v>0</v>
      </c>
      <c r="AA144" s="65">
        <f t="shared" si="69"/>
        <v>0</v>
      </c>
      <c r="AB144" s="65">
        <f t="shared" si="69"/>
        <v>61883</v>
      </c>
      <c r="AC144" s="65">
        <f t="shared" si="69"/>
        <v>9650</v>
      </c>
      <c r="AD144" s="65">
        <f t="shared" si="69"/>
        <v>58412</v>
      </c>
      <c r="AE144" s="65">
        <f t="shared" si="69"/>
        <v>0</v>
      </c>
      <c r="AF144" s="66"/>
      <c r="AG144" s="67">
        <f t="shared" si="67"/>
        <v>141129</v>
      </c>
      <c r="AH144" s="95">
        <f t="shared" ref="AH144:AH172" si="70">P144-U144-Y144</f>
        <v>141129</v>
      </c>
    </row>
    <row r="145" spans="1:34" ht="30">
      <c r="A145" s="89" t="s">
        <v>73</v>
      </c>
      <c r="B145" s="54" t="s">
        <v>164</v>
      </c>
      <c r="C145" s="54"/>
      <c r="D145" s="89"/>
      <c r="E145" s="89"/>
      <c r="F145" s="89"/>
      <c r="G145" s="91"/>
      <c r="H145" s="89"/>
      <c r="I145" s="89"/>
      <c r="J145" s="89"/>
      <c r="K145" s="89"/>
      <c r="L145" s="60">
        <v>0</v>
      </c>
      <c r="M145" s="61">
        <v>0</v>
      </c>
      <c r="N145" s="61"/>
      <c r="O145" s="61"/>
      <c r="P145" s="61">
        <f>513527+50730</f>
        <v>564257</v>
      </c>
      <c r="Q145" s="60">
        <f>SUM(R145:T145)</f>
        <v>293183</v>
      </c>
      <c r="R145" s="61"/>
      <c r="S145" s="61"/>
      <c r="T145" s="61">
        <f>39616+50730+40042+5079+53397+41182+7010+56127</f>
        <v>293183</v>
      </c>
      <c r="U145" s="60">
        <f>SUM(V145:X145)</f>
        <v>293183</v>
      </c>
      <c r="V145" s="61"/>
      <c r="W145" s="61"/>
      <c r="X145" s="61">
        <f>39616+50730+40042+5079+53397+41182+7010+56127</f>
        <v>293183</v>
      </c>
      <c r="Y145" s="60">
        <f>SUM(Z145:AD145)</f>
        <v>129945</v>
      </c>
      <c r="Z145" s="57"/>
      <c r="AA145" s="57"/>
      <c r="AB145" s="57">
        <v>61883</v>
      </c>
      <c r="AC145" s="57">
        <v>9650</v>
      </c>
      <c r="AD145" s="57">
        <v>58412</v>
      </c>
      <c r="AE145" s="57"/>
      <c r="AF145" s="57"/>
      <c r="AG145" s="93">
        <f t="shared" si="67"/>
        <v>141129</v>
      </c>
      <c r="AH145" s="95">
        <f t="shared" si="70"/>
        <v>141129</v>
      </c>
    </row>
    <row r="146" spans="1:34" s="68" customFormat="1" ht="14.25">
      <c r="A146" s="62" t="s">
        <v>6</v>
      </c>
      <c r="B146" s="63" t="s">
        <v>165</v>
      </c>
      <c r="C146" s="63"/>
      <c r="D146" s="62"/>
      <c r="E146" s="62"/>
      <c r="F146" s="62"/>
      <c r="G146" s="64"/>
      <c r="H146" s="62"/>
      <c r="I146" s="62"/>
      <c r="J146" s="62"/>
      <c r="K146" s="62"/>
      <c r="L146" s="65">
        <f t="shared" ref="L146:AE146" si="71">L147</f>
        <v>0</v>
      </c>
      <c r="M146" s="65">
        <f t="shared" si="71"/>
        <v>0</v>
      </c>
      <c r="N146" s="65">
        <f t="shared" si="71"/>
        <v>0</v>
      </c>
      <c r="O146" s="65">
        <f t="shared" si="71"/>
        <v>0</v>
      </c>
      <c r="P146" s="65">
        <f t="shared" si="71"/>
        <v>442429</v>
      </c>
      <c r="Q146" s="65">
        <f t="shared" si="71"/>
        <v>229882</v>
      </c>
      <c r="R146" s="65">
        <f t="shared" si="71"/>
        <v>0</v>
      </c>
      <c r="S146" s="65">
        <f t="shared" si="71"/>
        <v>0</v>
      </c>
      <c r="T146" s="65">
        <f t="shared" si="71"/>
        <v>229882</v>
      </c>
      <c r="U146" s="65">
        <f t="shared" si="71"/>
        <v>229882</v>
      </c>
      <c r="V146" s="65">
        <f t="shared" si="71"/>
        <v>0</v>
      </c>
      <c r="W146" s="65">
        <f t="shared" si="71"/>
        <v>0</v>
      </c>
      <c r="X146" s="65">
        <f t="shared" si="71"/>
        <v>229882</v>
      </c>
      <c r="Y146" s="65">
        <f t="shared" si="71"/>
        <v>101890</v>
      </c>
      <c r="Z146" s="65">
        <f t="shared" si="71"/>
        <v>0</v>
      </c>
      <c r="AA146" s="65">
        <f t="shared" si="71"/>
        <v>0</v>
      </c>
      <c r="AB146" s="65">
        <f t="shared" si="71"/>
        <v>48523</v>
      </c>
      <c r="AC146" s="65">
        <f t="shared" si="71"/>
        <v>7567</v>
      </c>
      <c r="AD146" s="65">
        <f t="shared" si="71"/>
        <v>45800</v>
      </c>
      <c r="AE146" s="65">
        <f t="shared" si="71"/>
        <v>0</v>
      </c>
      <c r="AF146" s="66"/>
      <c r="AG146" s="67">
        <f t="shared" si="67"/>
        <v>110657</v>
      </c>
      <c r="AH146" s="95">
        <f t="shared" si="70"/>
        <v>110657</v>
      </c>
    </row>
    <row r="147" spans="1:34" ht="30">
      <c r="A147" s="89" t="s">
        <v>73</v>
      </c>
      <c r="B147" s="54" t="s">
        <v>164</v>
      </c>
      <c r="C147" s="54"/>
      <c r="D147" s="89"/>
      <c r="E147" s="89"/>
      <c r="F147" s="89"/>
      <c r="G147" s="91"/>
      <c r="H147" s="89"/>
      <c r="I147" s="89"/>
      <c r="J147" s="89"/>
      <c r="K147" s="89"/>
      <c r="L147" s="60">
        <v>0</v>
      </c>
      <c r="M147" s="61">
        <v>0</v>
      </c>
      <c r="N147" s="61"/>
      <c r="O147" s="61"/>
      <c r="P147" s="61">
        <f>402652+39777</f>
        <v>442429</v>
      </c>
      <c r="Q147" s="60">
        <f>SUM(R147:T147)</f>
        <v>229882</v>
      </c>
      <c r="R147" s="61"/>
      <c r="S147" s="61"/>
      <c r="T147" s="61">
        <f>31063+39777+31396+3983+41868+32290+5496+44009</f>
        <v>229882</v>
      </c>
      <c r="U147" s="60">
        <f>SUM(V147:X147)</f>
        <v>229882</v>
      </c>
      <c r="V147" s="61"/>
      <c r="W147" s="61"/>
      <c r="X147" s="61">
        <f>31063+39777+31396+3983+41868+32290+5496+44009</f>
        <v>229882</v>
      </c>
      <c r="Y147" s="60">
        <f>SUM(Z147:AD147)</f>
        <v>101890</v>
      </c>
      <c r="Z147" s="57"/>
      <c r="AA147" s="57"/>
      <c r="AB147" s="57">
        <v>48523</v>
      </c>
      <c r="AC147" s="57">
        <v>7567</v>
      </c>
      <c r="AD147" s="57">
        <v>45800</v>
      </c>
      <c r="AE147" s="57"/>
      <c r="AF147" s="57"/>
      <c r="AG147" s="93">
        <f t="shared" si="67"/>
        <v>110657</v>
      </c>
      <c r="AH147" s="95">
        <f t="shared" si="70"/>
        <v>110657</v>
      </c>
    </row>
    <row r="148" spans="1:34" s="68" customFormat="1" ht="14.25">
      <c r="A148" s="62" t="s">
        <v>24</v>
      </c>
      <c r="B148" s="63" t="s">
        <v>167</v>
      </c>
      <c r="C148" s="63"/>
      <c r="D148" s="62"/>
      <c r="E148" s="62"/>
      <c r="F148" s="62"/>
      <c r="G148" s="64"/>
      <c r="H148" s="62"/>
      <c r="I148" s="62"/>
      <c r="J148" s="62"/>
      <c r="K148" s="62"/>
      <c r="L148" s="65">
        <f t="shared" ref="L148:AE148" si="72">L149+L150</f>
        <v>74446</v>
      </c>
      <c r="M148" s="65">
        <f t="shared" si="72"/>
        <v>0</v>
      </c>
      <c r="N148" s="65">
        <f t="shared" si="72"/>
        <v>0</v>
      </c>
      <c r="O148" s="65">
        <f t="shared" si="72"/>
        <v>74446</v>
      </c>
      <c r="P148" s="65">
        <f t="shared" si="72"/>
        <v>520455</v>
      </c>
      <c r="Q148" s="65">
        <f t="shared" si="72"/>
        <v>237264</v>
      </c>
      <c r="R148" s="65">
        <f t="shared" si="72"/>
        <v>0</v>
      </c>
      <c r="S148" s="65">
        <f t="shared" si="72"/>
        <v>0</v>
      </c>
      <c r="T148" s="65">
        <f t="shared" si="72"/>
        <v>237264</v>
      </c>
      <c r="U148" s="65">
        <f t="shared" si="72"/>
        <v>237264</v>
      </c>
      <c r="V148" s="65">
        <f t="shared" si="72"/>
        <v>0</v>
      </c>
      <c r="W148" s="65">
        <f t="shared" si="72"/>
        <v>0</v>
      </c>
      <c r="X148" s="65">
        <f t="shared" si="72"/>
        <v>237264</v>
      </c>
      <c r="Y148" s="65">
        <f t="shared" si="72"/>
        <v>116842</v>
      </c>
      <c r="Z148" s="65">
        <f t="shared" si="72"/>
        <v>0</v>
      </c>
      <c r="AA148" s="65">
        <f t="shared" si="72"/>
        <v>0</v>
      </c>
      <c r="AB148" s="65">
        <f t="shared" si="72"/>
        <v>61928</v>
      </c>
      <c r="AC148" s="65">
        <f t="shared" si="72"/>
        <v>7786</v>
      </c>
      <c r="AD148" s="65">
        <f t="shared" si="72"/>
        <v>47128</v>
      </c>
      <c r="AE148" s="65">
        <f t="shared" si="72"/>
        <v>0</v>
      </c>
      <c r="AF148" s="66"/>
      <c r="AG148" s="67">
        <f t="shared" si="67"/>
        <v>166349</v>
      </c>
      <c r="AH148" s="95">
        <f t="shared" si="70"/>
        <v>166349</v>
      </c>
    </row>
    <row r="149" spans="1:34" ht="30">
      <c r="A149" s="89" t="s">
        <v>73</v>
      </c>
      <c r="B149" s="54" t="s">
        <v>164</v>
      </c>
      <c r="C149" s="54"/>
      <c r="D149" s="89"/>
      <c r="E149" s="89"/>
      <c r="F149" s="89"/>
      <c r="G149" s="91"/>
      <c r="H149" s="89"/>
      <c r="I149" s="89"/>
      <c r="J149" s="89"/>
      <c r="K149" s="89"/>
      <c r="L149" s="60">
        <v>0</v>
      </c>
      <c r="M149" s="61"/>
      <c r="N149" s="61"/>
      <c r="O149" s="61"/>
      <c r="P149" s="61">
        <f>414323+40930</f>
        <v>455253</v>
      </c>
      <c r="Q149" s="60">
        <f>SUM(R149:T149)</f>
        <v>237264</v>
      </c>
      <c r="R149" s="61"/>
      <c r="S149" s="61"/>
      <c r="T149" s="61">
        <f>31963+40930+32306+4098+43802+33226+5655+45284</f>
        <v>237264</v>
      </c>
      <c r="U149" s="60">
        <f>SUM(V149:X149)</f>
        <v>237264</v>
      </c>
      <c r="V149" s="61"/>
      <c r="W149" s="61"/>
      <c r="X149" s="61">
        <f>31963+40930+32306+4098+43802+33226+5655+45284</f>
        <v>237264</v>
      </c>
      <c r="Y149" s="60">
        <f>SUM(Z149:AD149)</f>
        <v>104842</v>
      </c>
      <c r="Z149" s="57"/>
      <c r="AA149" s="57"/>
      <c r="AB149" s="57">
        <v>49928</v>
      </c>
      <c r="AC149" s="57">
        <v>7786</v>
      </c>
      <c r="AD149" s="57">
        <v>47128</v>
      </c>
      <c r="AE149" s="57"/>
      <c r="AF149" s="57"/>
      <c r="AG149" s="93">
        <f t="shared" si="67"/>
        <v>113147</v>
      </c>
      <c r="AH149" s="95">
        <f t="shared" si="70"/>
        <v>113147</v>
      </c>
    </row>
    <row r="150" spans="1:34" ht="30">
      <c r="A150" s="89" t="s">
        <v>60</v>
      </c>
      <c r="B150" s="54" t="s">
        <v>166</v>
      </c>
      <c r="C150" s="54"/>
      <c r="D150" s="89"/>
      <c r="E150" s="89"/>
      <c r="F150" s="89"/>
      <c r="G150" s="91"/>
      <c r="H150" s="89"/>
      <c r="I150" s="89"/>
      <c r="J150" s="89"/>
      <c r="K150" s="89"/>
      <c r="L150" s="60">
        <f t="shared" ref="L150:AE150" si="73">L151</f>
        <v>74446</v>
      </c>
      <c r="M150" s="60">
        <f t="shared" si="73"/>
        <v>0</v>
      </c>
      <c r="N150" s="60">
        <f t="shared" si="73"/>
        <v>0</v>
      </c>
      <c r="O150" s="60">
        <f t="shared" si="73"/>
        <v>74446</v>
      </c>
      <c r="P150" s="60">
        <f t="shared" si="73"/>
        <v>65202</v>
      </c>
      <c r="Q150" s="60">
        <f t="shared" si="73"/>
        <v>0</v>
      </c>
      <c r="R150" s="60">
        <f t="shared" si="73"/>
        <v>0</v>
      </c>
      <c r="S150" s="60">
        <f t="shared" si="73"/>
        <v>0</v>
      </c>
      <c r="T150" s="60">
        <f t="shared" si="73"/>
        <v>0</v>
      </c>
      <c r="U150" s="60">
        <f t="shared" si="73"/>
        <v>0</v>
      </c>
      <c r="V150" s="60">
        <f t="shared" si="73"/>
        <v>0</v>
      </c>
      <c r="W150" s="60">
        <f t="shared" si="73"/>
        <v>0</v>
      </c>
      <c r="X150" s="60">
        <f t="shared" si="73"/>
        <v>0</v>
      </c>
      <c r="Y150" s="60">
        <f t="shared" si="73"/>
        <v>12000</v>
      </c>
      <c r="Z150" s="60">
        <f t="shared" si="73"/>
        <v>0</v>
      </c>
      <c r="AA150" s="60">
        <f t="shared" si="73"/>
        <v>0</v>
      </c>
      <c r="AB150" s="60">
        <f t="shared" si="73"/>
        <v>12000</v>
      </c>
      <c r="AC150" s="60">
        <f t="shared" si="73"/>
        <v>0</v>
      </c>
      <c r="AD150" s="60">
        <f t="shared" si="73"/>
        <v>0</v>
      </c>
      <c r="AE150" s="60">
        <f t="shared" si="73"/>
        <v>0</v>
      </c>
      <c r="AF150" s="57"/>
      <c r="AG150" s="93">
        <f t="shared" si="67"/>
        <v>53202</v>
      </c>
      <c r="AH150" s="95">
        <f t="shared" si="70"/>
        <v>53202</v>
      </c>
    </row>
    <row r="151" spans="1:34" ht="135">
      <c r="A151" s="89">
        <v>1</v>
      </c>
      <c r="B151" s="54" t="s">
        <v>354</v>
      </c>
      <c r="C151" s="54"/>
      <c r="D151" s="89" t="s">
        <v>14</v>
      </c>
      <c r="E151" s="89" t="s">
        <v>355</v>
      </c>
      <c r="F151" s="89" t="s">
        <v>3</v>
      </c>
      <c r="G151" s="89" t="s">
        <v>356</v>
      </c>
      <c r="H151" s="89">
        <v>292</v>
      </c>
      <c r="I151" s="89" t="s">
        <v>357</v>
      </c>
      <c r="J151" s="89" t="s">
        <v>25</v>
      </c>
      <c r="K151" s="89" t="s">
        <v>358</v>
      </c>
      <c r="L151" s="60">
        <f>SUM(M151:O151)</f>
        <v>74446</v>
      </c>
      <c r="M151" s="61"/>
      <c r="N151" s="61"/>
      <c r="O151" s="61">
        <v>74446</v>
      </c>
      <c r="P151" s="61">
        <v>65202</v>
      </c>
      <c r="Q151" s="60"/>
      <c r="R151" s="61"/>
      <c r="S151" s="61"/>
      <c r="T151" s="61"/>
      <c r="U151" s="60">
        <f>SUM(V151:X151)</f>
        <v>0</v>
      </c>
      <c r="V151" s="61"/>
      <c r="W151" s="61"/>
      <c r="X151" s="61"/>
      <c r="Y151" s="60">
        <f>SUM(Z151:AD151)</f>
        <v>12000</v>
      </c>
      <c r="Z151" s="57"/>
      <c r="AA151" s="57"/>
      <c r="AB151" s="57">
        <v>12000</v>
      </c>
      <c r="AC151" s="57"/>
      <c r="AD151" s="57"/>
      <c r="AE151" s="57"/>
      <c r="AF151" s="57"/>
      <c r="AH151" s="95">
        <f t="shared" si="70"/>
        <v>53202</v>
      </c>
    </row>
    <row r="152" spans="1:34" s="68" customFormat="1" ht="14.25">
      <c r="A152" s="62" t="s">
        <v>26</v>
      </c>
      <c r="B152" s="63" t="s">
        <v>168</v>
      </c>
      <c r="C152" s="63"/>
      <c r="D152" s="62"/>
      <c r="E152" s="62"/>
      <c r="F152" s="62"/>
      <c r="G152" s="64"/>
      <c r="H152" s="62"/>
      <c r="I152" s="62"/>
      <c r="J152" s="62"/>
      <c r="K152" s="62"/>
      <c r="L152" s="65">
        <f t="shared" ref="L152:AE152" si="74">L153</f>
        <v>0</v>
      </c>
      <c r="M152" s="65">
        <f t="shared" si="74"/>
        <v>0</v>
      </c>
      <c r="N152" s="65">
        <f t="shared" si="74"/>
        <v>0</v>
      </c>
      <c r="O152" s="65">
        <f t="shared" si="74"/>
        <v>0</v>
      </c>
      <c r="P152" s="65">
        <f t="shared" si="74"/>
        <v>493726</v>
      </c>
      <c r="Q152" s="65">
        <f t="shared" si="74"/>
        <v>256536</v>
      </c>
      <c r="R152" s="65">
        <f t="shared" si="74"/>
        <v>0</v>
      </c>
      <c r="S152" s="65">
        <f t="shared" si="74"/>
        <v>0</v>
      </c>
      <c r="T152" s="65">
        <f t="shared" si="74"/>
        <v>256536</v>
      </c>
      <c r="U152" s="65">
        <f t="shared" si="74"/>
        <v>256536</v>
      </c>
      <c r="V152" s="65">
        <f t="shared" si="74"/>
        <v>0</v>
      </c>
      <c r="W152" s="65">
        <f t="shared" si="74"/>
        <v>0</v>
      </c>
      <c r="X152" s="65">
        <f t="shared" si="74"/>
        <v>256536</v>
      </c>
      <c r="Y152" s="65">
        <f t="shared" si="74"/>
        <v>113702</v>
      </c>
      <c r="Z152" s="65">
        <f t="shared" si="74"/>
        <v>0</v>
      </c>
      <c r="AA152" s="65">
        <f t="shared" si="74"/>
        <v>0</v>
      </c>
      <c r="AB152" s="65">
        <f t="shared" si="74"/>
        <v>54147</v>
      </c>
      <c r="AC152" s="65">
        <f t="shared" si="74"/>
        <v>8444</v>
      </c>
      <c r="AD152" s="65">
        <f t="shared" si="74"/>
        <v>51111</v>
      </c>
      <c r="AE152" s="65">
        <f t="shared" si="74"/>
        <v>0</v>
      </c>
      <c r="AF152" s="66"/>
      <c r="AG152" s="67">
        <f t="shared" ref="AG152:AG165" si="75">P152-U152-Y152</f>
        <v>123488</v>
      </c>
      <c r="AH152" s="95">
        <f t="shared" si="70"/>
        <v>123488</v>
      </c>
    </row>
    <row r="153" spans="1:34" ht="30">
      <c r="A153" s="89" t="s">
        <v>73</v>
      </c>
      <c r="B153" s="54" t="s">
        <v>164</v>
      </c>
      <c r="C153" s="54"/>
      <c r="D153" s="89"/>
      <c r="E153" s="89"/>
      <c r="F153" s="89"/>
      <c r="G153" s="91"/>
      <c r="H153" s="89"/>
      <c r="I153" s="89"/>
      <c r="J153" s="89"/>
      <c r="K153" s="89"/>
      <c r="L153" s="60">
        <v>0</v>
      </c>
      <c r="M153" s="61"/>
      <c r="N153" s="61"/>
      <c r="O153" s="61"/>
      <c r="P153" s="61">
        <f>449336+44390</f>
        <v>493726</v>
      </c>
      <c r="Q153" s="60">
        <f>SUM(R153:T153)</f>
        <v>256536</v>
      </c>
      <c r="R153" s="61"/>
      <c r="S153" s="61"/>
      <c r="T153" s="61">
        <f>34666+44390+35036+4444+46722+36034+6133+49111</f>
        <v>256536</v>
      </c>
      <c r="U153" s="60">
        <f>SUM(V153:X153)</f>
        <v>256536</v>
      </c>
      <c r="V153" s="61"/>
      <c r="W153" s="61"/>
      <c r="X153" s="61">
        <f>34666+44390+35036+4444+46722+36034+6133+49111</f>
        <v>256536</v>
      </c>
      <c r="Y153" s="60">
        <f>SUM(Z153:AD153)</f>
        <v>113702</v>
      </c>
      <c r="Z153" s="57"/>
      <c r="AA153" s="57"/>
      <c r="AB153" s="57">
        <v>54147</v>
      </c>
      <c r="AC153" s="57">
        <v>8444</v>
      </c>
      <c r="AD153" s="57">
        <v>51111</v>
      </c>
      <c r="AE153" s="57"/>
      <c r="AF153" s="57"/>
      <c r="AG153" s="93">
        <f t="shared" si="75"/>
        <v>123488</v>
      </c>
      <c r="AH153" s="95">
        <f t="shared" si="70"/>
        <v>123488</v>
      </c>
    </row>
    <row r="154" spans="1:34" s="68" customFormat="1" ht="14.25">
      <c r="A154" s="62" t="s">
        <v>28</v>
      </c>
      <c r="B154" s="63" t="s">
        <v>169</v>
      </c>
      <c r="C154" s="63"/>
      <c r="D154" s="62"/>
      <c r="E154" s="62"/>
      <c r="F154" s="62"/>
      <c r="G154" s="64"/>
      <c r="H154" s="62"/>
      <c r="I154" s="62"/>
      <c r="J154" s="62"/>
      <c r="K154" s="62"/>
      <c r="L154" s="65">
        <f t="shared" ref="L154:AE154" si="76">L155</f>
        <v>0</v>
      </c>
      <c r="M154" s="65">
        <f t="shared" si="76"/>
        <v>0</v>
      </c>
      <c r="N154" s="65">
        <f t="shared" si="76"/>
        <v>0</v>
      </c>
      <c r="O154" s="65">
        <f t="shared" si="76"/>
        <v>0</v>
      </c>
      <c r="P154" s="65">
        <f t="shared" si="76"/>
        <v>532198</v>
      </c>
      <c r="Q154" s="65">
        <f t="shared" si="76"/>
        <v>276525</v>
      </c>
      <c r="R154" s="65">
        <f t="shared" si="76"/>
        <v>0</v>
      </c>
      <c r="S154" s="65">
        <f t="shared" si="76"/>
        <v>0</v>
      </c>
      <c r="T154" s="65">
        <f t="shared" si="76"/>
        <v>276525</v>
      </c>
      <c r="U154" s="65">
        <f t="shared" si="76"/>
        <v>276525</v>
      </c>
      <c r="V154" s="65">
        <f t="shared" si="76"/>
        <v>0</v>
      </c>
      <c r="W154" s="65">
        <f t="shared" si="76"/>
        <v>0</v>
      </c>
      <c r="X154" s="65">
        <f t="shared" si="76"/>
        <v>276525</v>
      </c>
      <c r="Y154" s="65">
        <f t="shared" si="76"/>
        <v>122561</v>
      </c>
      <c r="Z154" s="65">
        <f t="shared" si="76"/>
        <v>0</v>
      </c>
      <c r="AA154" s="65">
        <f t="shared" si="76"/>
        <v>0</v>
      </c>
      <c r="AB154" s="65">
        <f t="shared" si="76"/>
        <v>58366</v>
      </c>
      <c r="AC154" s="65">
        <f t="shared" si="76"/>
        <v>9102</v>
      </c>
      <c r="AD154" s="65">
        <f t="shared" si="76"/>
        <v>55093</v>
      </c>
      <c r="AE154" s="65">
        <f t="shared" si="76"/>
        <v>0</v>
      </c>
      <c r="AF154" s="66"/>
      <c r="AG154" s="67">
        <f t="shared" si="75"/>
        <v>133112</v>
      </c>
      <c r="AH154" s="95">
        <f t="shared" si="70"/>
        <v>133112</v>
      </c>
    </row>
    <row r="155" spans="1:34" ht="30">
      <c r="A155" s="89" t="s">
        <v>73</v>
      </c>
      <c r="B155" s="54" t="s">
        <v>164</v>
      </c>
      <c r="C155" s="54"/>
      <c r="D155" s="89"/>
      <c r="E155" s="89"/>
      <c r="F155" s="89"/>
      <c r="G155" s="91"/>
      <c r="H155" s="89"/>
      <c r="I155" s="89"/>
      <c r="J155" s="89"/>
      <c r="K155" s="89"/>
      <c r="L155" s="60">
        <v>0</v>
      </c>
      <c r="M155" s="61"/>
      <c r="N155" s="61"/>
      <c r="O155" s="61"/>
      <c r="P155" s="61">
        <f>484350+47848</f>
        <v>532198</v>
      </c>
      <c r="Q155" s="60">
        <f>SUM(R155:T155)</f>
        <v>276525</v>
      </c>
      <c r="R155" s="61"/>
      <c r="S155" s="61"/>
      <c r="T155" s="61">
        <f>37365+47848+37767+4791+50363+38842+6611+52938</f>
        <v>276525</v>
      </c>
      <c r="U155" s="60">
        <f>SUM(V155:X155)</f>
        <v>276525</v>
      </c>
      <c r="V155" s="61"/>
      <c r="W155" s="61"/>
      <c r="X155" s="61">
        <f>37365+47848+37767+4791+50363+38842+6611+52938</f>
        <v>276525</v>
      </c>
      <c r="Y155" s="60">
        <f>SUM(Z155:AD155)</f>
        <v>122561</v>
      </c>
      <c r="Z155" s="57"/>
      <c r="AA155" s="57"/>
      <c r="AB155" s="57">
        <v>58366</v>
      </c>
      <c r="AC155" s="57">
        <v>9102</v>
      </c>
      <c r="AD155" s="57">
        <v>55093</v>
      </c>
      <c r="AE155" s="57"/>
      <c r="AF155" s="57"/>
      <c r="AG155" s="93">
        <f t="shared" si="75"/>
        <v>133112</v>
      </c>
      <c r="AH155" s="95">
        <f t="shared" si="70"/>
        <v>133112</v>
      </c>
    </row>
    <row r="156" spans="1:34" s="68" customFormat="1" ht="14.25">
      <c r="A156" s="62" t="s">
        <v>30</v>
      </c>
      <c r="B156" s="63" t="s">
        <v>170</v>
      </c>
      <c r="C156" s="63"/>
      <c r="D156" s="62"/>
      <c r="E156" s="62"/>
      <c r="F156" s="62"/>
      <c r="G156" s="64"/>
      <c r="H156" s="62"/>
      <c r="I156" s="62"/>
      <c r="J156" s="62"/>
      <c r="K156" s="62"/>
      <c r="L156" s="65">
        <f t="shared" ref="L156:AE156" si="77">L157+L158</f>
        <v>9502</v>
      </c>
      <c r="M156" s="65">
        <f t="shared" si="77"/>
        <v>0</v>
      </c>
      <c r="N156" s="65">
        <f t="shared" si="77"/>
        <v>0</v>
      </c>
      <c r="O156" s="65">
        <f t="shared" si="77"/>
        <v>9502</v>
      </c>
      <c r="P156" s="65">
        <f t="shared" si="77"/>
        <v>425681</v>
      </c>
      <c r="Q156" s="65">
        <f t="shared" si="77"/>
        <v>216555</v>
      </c>
      <c r="R156" s="65">
        <f t="shared" si="77"/>
        <v>0</v>
      </c>
      <c r="S156" s="65">
        <f t="shared" si="77"/>
        <v>0</v>
      </c>
      <c r="T156" s="65">
        <f t="shared" si="77"/>
        <v>216555</v>
      </c>
      <c r="U156" s="65">
        <f t="shared" si="77"/>
        <v>220555</v>
      </c>
      <c r="V156" s="65">
        <f t="shared" si="77"/>
        <v>0</v>
      </c>
      <c r="W156" s="65">
        <f t="shared" si="77"/>
        <v>0</v>
      </c>
      <c r="X156" s="65">
        <f t="shared" si="77"/>
        <v>220555</v>
      </c>
      <c r="Y156" s="65">
        <f t="shared" si="77"/>
        <v>100884</v>
      </c>
      <c r="Z156" s="66">
        <f t="shared" si="77"/>
        <v>0</v>
      </c>
      <c r="AA156" s="66">
        <f t="shared" si="77"/>
        <v>0</v>
      </c>
      <c r="AB156" s="66">
        <f t="shared" si="77"/>
        <v>50609</v>
      </c>
      <c r="AC156" s="66">
        <f t="shared" si="77"/>
        <v>7129</v>
      </c>
      <c r="AD156" s="66">
        <f t="shared" si="77"/>
        <v>43146</v>
      </c>
      <c r="AE156" s="66">
        <f t="shared" si="77"/>
        <v>0</v>
      </c>
      <c r="AF156" s="66"/>
      <c r="AG156" s="67">
        <f t="shared" si="75"/>
        <v>104242</v>
      </c>
      <c r="AH156" s="95">
        <f t="shared" si="70"/>
        <v>104242</v>
      </c>
    </row>
    <row r="157" spans="1:34" ht="30">
      <c r="A157" s="89" t="s">
        <v>73</v>
      </c>
      <c r="B157" s="54" t="s">
        <v>164</v>
      </c>
      <c r="C157" s="54"/>
      <c r="D157" s="89"/>
      <c r="E157" s="89"/>
      <c r="F157" s="89"/>
      <c r="G157" s="91"/>
      <c r="H157" s="89"/>
      <c r="I157" s="89"/>
      <c r="J157" s="89"/>
      <c r="K157" s="89"/>
      <c r="L157" s="60">
        <v>0</v>
      </c>
      <c r="M157" s="61"/>
      <c r="N157" s="61"/>
      <c r="O157" s="61"/>
      <c r="P157" s="61">
        <f>379310+37471</f>
        <v>416781</v>
      </c>
      <c r="Q157" s="60">
        <f>SUM(R157:T157)</f>
        <v>216555</v>
      </c>
      <c r="R157" s="61"/>
      <c r="S157" s="61"/>
      <c r="T157" s="61">
        <f>29262+37471+29576+3752+39441+30419+5177+41457</f>
        <v>216555</v>
      </c>
      <c r="U157" s="60">
        <f>SUM(V157:X157)</f>
        <v>216555</v>
      </c>
      <c r="V157" s="61"/>
      <c r="W157" s="61"/>
      <c r="X157" s="61">
        <f>29262+37471+29576+3752+39441+30419+5177+41457</f>
        <v>216555</v>
      </c>
      <c r="Y157" s="60">
        <f>SUM(Z157:AD157)</f>
        <v>95984</v>
      </c>
      <c r="Z157" s="57"/>
      <c r="AA157" s="57"/>
      <c r="AB157" s="57">
        <v>45709</v>
      </c>
      <c r="AC157" s="57">
        <v>7129</v>
      </c>
      <c r="AD157" s="57">
        <v>43146</v>
      </c>
      <c r="AE157" s="57"/>
      <c r="AF157" s="57"/>
      <c r="AG157" s="93">
        <f t="shared" si="75"/>
        <v>104242</v>
      </c>
      <c r="AH157" s="95">
        <f t="shared" si="70"/>
        <v>104242</v>
      </c>
    </row>
    <row r="158" spans="1:34" s="86" customFormat="1" ht="30">
      <c r="A158" s="80" t="s">
        <v>60</v>
      </c>
      <c r="B158" s="81" t="s">
        <v>166</v>
      </c>
      <c r="C158" s="81"/>
      <c r="D158" s="80"/>
      <c r="E158" s="80"/>
      <c r="F158" s="80"/>
      <c r="G158" s="82"/>
      <c r="H158" s="80"/>
      <c r="I158" s="80"/>
      <c r="J158" s="80"/>
      <c r="K158" s="80"/>
      <c r="L158" s="83">
        <f t="shared" ref="L158:AE158" si="78">SUM(L159:L160)</f>
        <v>9502</v>
      </c>
      <c r="M158" s="83">
        <f t="shared" si="78"/>
        <v>0</v>
      </c>
      <c r="N158" s="83">
        <f t="shared" si="78"/>
        <v>0</v>
      </c>
      <c r="O158" s="83">
        <f t="shared" si="78"/>
        <v>9502</v>
      </c>
      <c r="P158" s="83">
        <f t="shared" si="78"/>
        <v>8900</v>
      </c>
      <c r="Q158" s="83">
        <f t="shared" si="78"/>
        <v>0</v>
      </c>
      <c r="R158" s="83">
        <f t="shared" si="78"/>
        <v>0</v>
      </c>
      <c r="S158" s="83">
        <f t="shared" si="78"/>
        <v>0</v>
      </c>
      <c r="T158" s="83">
        <f t="shared" si="78"/>
        <v>0</v>
      </c>
      <c r="U158" s="83">
        <f t="shared" si="78"/>
        <v>4000</v>
      </c>
      <c r="V158" s="83">
        <f t="shared" si="78"/>
        <v>0</v>
      </c>
      <c r="W158" s="83">
        <f t="shared" si="78"/>
        <v>0</v>
      </c>
      <c r="X158" s="83">
        <f t="shared" si="78"/>
        <v>4000</v>
      </c>
      <c r="Y158" s="83">
        <f t="shared" si="78"/>
        <v>4900</v>
      </c>
      <c r="Z158" s="83">
        <f t="shared" si="78"/>
        <v>0</v>
      </c>
      <c r="AA158" s="83">
        <f t="shared" si="78"/>
        <v>0</v>
      </c>
      <c r="AB158" s="83">
        <f t="shared" si="78"/>
        <v>4900</v>
      </c>
      <c r="AC158" s="83">
        <f t="shared" si="78"/>
        <v>0</v>
      </c>
      <c r="AD158" s="83">
        <f t="shared" si="78"/>
        <v>0</v>
      </c>
      <c r="AE158" s="83">
        <f t="shared" si="78"/>
        <v>0</v>
      </c>
      <c r="AF158" s="84"/>
      <c r="AG158" s="85">
        <f t="shared" si="75"/>
        <v>0</v>
      </c>
      <c r="AH158" s="95">
        <f t="shared" si="70"/>
        <v>0</v>
      </c>
    </row>
    <row r="159" spans="1:34" ht="45">
      <c r="A159" s="89">
        <v>1</v>
      </c>
      <c r="B159" s="54" t="s">
        <v>200</v>
      </c>
      <c r="C159" s="54"/>
      <c r="D159" s="89" t="s">
        <v>79</v>
      </c>
      <c r="E159" s="89" t="s">
        <v>186</v>
      </c>
      <c r="F159" s="89" t="s">
        <v>3</v>
      </c>
      <c r="G159" s="91">
        <v>7004692</v>
      </c>
      <c r="H159" s="89" t="s">
        <v>193</v>
      </c>
      <c r="I159" s="89" t="s">
        <v>63</v>
      </c>
      <c r="J159" s="89" t="s">
        <v>153</v>
      </c>
      <c r="K159" s="89" t="s">
        <v>207</v>
      </c>
      <c r="L159" s="60">
        <f>SUM(M159:O159)</f>
        <v>4997</v>
      </c>
      <c r="M159" s="61"/>
      <c r="N159" s="61"/>
      <c r="O159" s="61">
        <v>4997</v>
      </c>
      <c r="P159" s="61">
        <v>4700</v>
      </c>
      <c r="Q159" s="60">
        <f>SUM(R159:T159)</f>
        <v>0</v>
      </c>
      <c r="R159" s="61"/>
      <c r="S159" s="61"/>
      <c r="T159" s="61"/>
      <c r="U159" s="60">
        <f>SUM(V159:X159)</f>
        <v>2000</v>
      </c>
      <c r="V159" s="61"/>
      <c r="W159" s="61"/>
      <c r="X159" s="61">
        <v>2000</v>
      </c>
      <c r="Y159" s="60">
        <f>SUM(Z159:AD159)</f>
        <v>2700</v>
      </c>
      <c r="Z159" s="57"/>
      <c r="AA159" s="57"/>
      <c r="AB159" s="57">
        <v>2700</v>
      </c>
      <c r="AC159" s="57"/>
      <c r="AD159" s="57"/>
      <c r="AE159" s="57"/>
      <c r="AF159" s="57"/>
      <c r="AG159" s="93">
        <f t="shared" si="75"/>
        <v>0</v>
      </c>
      <c r="AH159" s="95">
        <f t="shared" si="70"/>
        <v>0</v>
      </c>
    </row>
    <row r="160" spans="1:34" ht="45">
      <c r="A160" s="89">
        <v>2</v>
      </c>
      <c r="B160" s="54" t="s">
        <v>201</v>
      </c>
      <c r="C160" s="54"/>
      <c r="D160" s="89" t="s">
        <v>79</v>
      </c>
      <c r="E160" s="89" t="s">
        <v>186</v>
      </c>
      <c r="F160" s="89" t="s">
        <v>3</v>
      </c>
      <c r="G160" s="91">
        <v>7004692</v>
      </c>
      <c r="H160" s="89" t="s">
        <v>193</v>
      </c>
      <c r="I160" s="89" t="s">
        <v>63</v>
      </c>
      <c r="J160" s="89" t="s">
        <v>153</v>
      </c>
      <c r="K160" s="89" t="s">
        <v>208</v>
      </c>
      <c r="L160" s="60">
        <f>SUM(M160:O160)</f>
        <v>4505</v>
      </c>
      <c r="M160" s="61"/>
      <c r="N160" s="61"/>
      <c r="O160" s="61">
        <v>4505</v>
      </c>
      <c r="P160" s="61">
        <v>4200</v>
      </c>
      <c r="Q160" s="60">
        <f>SUM(R160:T160)</f>
        <v>0</v>
      </c>
      <c r="R160" s="61"/>
      <c r="S160" s="61"/>
      <c r="T160" s="61"/>
      <c r="U160" s="60">
        <f>SUM(V160:X160)</f>
        <v>2000</v>
      </c>
      <c r="V160" s="61"/>
      <c r="W160" s="61"/>
      <c r="X160" s="61">
        <v>2000</v>
      </c>
      <c r="Y160" s="60">
        <f>SUM(Z160:AD160)</f>
        <v>2200</v>
      </c>
      <c r="Z160" s="57"/>
      <c r="AA160" s="57"/>
      <c r="AB160" s="57">
        <v>2200</v>
      </c>
      <c r="AC160" s="57"/>
      <c r="AD160" s="57"/>
      <c r="AE160" s="57"/>
      <c r="AF160" s="57"/>
      <c r="AG160" s="93">
        <f t="shared" si="75"/>
        <v>0</v>
      </c>
      <c r="AH160" s="95">
        <f t="shared" si="70"/>
        <v>0</v>
      </c>
    </row>
    <row r="161" spans="1:34" s="68" customFormat="1" ht="14.25">
      <c r="A161" s="62" t="s">
        <v>31</v>
      </c>
      <c r="B161" s="63" t="s">
        <v>171</v>
      </c>
      <c r="C161" s="63"/>
      <c r="D161" s="62"/>
      <c r="E161" s="62"/>
      <c r="F161" s="62"/>
      <c r="G161" s="64"/>
      <c r="H161" s="62"/>
      <c r="I161" s="62"/>
      <c r="J161" s="62"/>
      <c r="K161" s="62"/>
      <c r="L161" s="65">
        <f t="shared" ref="L161:AE161" si="79">L162</f>
        <v>0</v>
      </c>
      <c r="M161" s="65">
        <f t="shared" si="79"/>
        <v>0</v>
      </c>
      <c r="N161" s="65">
        <f t="shared" si="79"/>
        <v>0</v>
      </c>
      <c r="O161" s="65">
        <f t="shared" si="79"/>
        <v>0</v>
      </c>
      <c r="P161" s="65">
        <f t="shared" si="79"/>
        <v>525785</v>
      </c>
      <c r="Q161" s="65">
        <f t="shared" si="79"/>
        <v>273193</v>
      </c>
      <c r="R161" s="65">
        <f t="shared" si="79"/>
        <v>0</v>
      </c>
      <c r="S161" s="65">
        <f t="shared" si="79"/>
        <v>0</v>
      </c>
      <c r="T161" s="65">
        <f t="shared" si="79"/>
        <v>273193</v>
      </c>
      <c r="U161" s="65">
        <f t="shared" si="79"/>
        <v>273193</v>
      </c>
      <c r="V161" s="65">
        <f t="shared" si="79"/>
        <v>0</v>
      </c>
      <c r="W161" s="65">
        <f t="shared" si="79"/>
        <v>0</v>
      </c>
      <c r="X161" s="65">
        <f t="shared" si="79"/>
        <v>273193</v>
      </c>
      <c r="Y161" s="65">
        <f t="shared" si="79"/>
        <v>121088</v>
      </c>
      <c r="Z161" s="65">
        <f t="shared" si="79"/>
        <v>0</v>
      </c>
      <c r="AA161" s="65">
        <f t="shared" si="79"/>
        <v>0</v>
      </c>
      <c r="AB161" s="65">
        <f t="shared" si="79"/>
        <v>57664</v>
      </c>
      <c r="AC161" s="65">
        <f t="shared" si="79"/>
        <v>8993</v>
      </c>
      <c r="AD161" s="65">
        <f t="shared" si="79"/>
        <v>54431</v>
      </c>
      <c r="AE161" s="65">
        <f t="shared" si="79"/>
        <v>0</v>
      </c>
      <c r="AF161" s="66"/>
      <c r="AG161" s="67">
        <f t="shared" si="75"/>
        <v>131504</v>
      </c>
      <c r="AH161" s="95">
        <f t="shared" si="70"/>
        <v>131504</v>
      </c>
    </row>
    <row r="162" spans="1:34" ht="30">
      <c r="A162" s="89" t="s">
        <v>73</v>
      </c>
      <c r="B162" s="54" t="s">
        <v>164</v>
      </c>
      <c r="C162" s="54"/>
      <c r="D162" s="89"/>
      <c r="E162" s="89"/>
      <c r="F162" s="89"/>
      <c r="G162" s="91"/>
      <c r="H162" s="89"/>
      <c r="I162" s="89"/>
      <c r="J162" s="89"/>
      <c r="K162" s="89"/>
      <c r="L162" s="60">
        <v>0</v>
      </c>
      <c r="M162" s="61"/>
      <c r="N162" s="61"/>
      <c r="O162" s="61"/>
      <c r="P162" s="61">
        <f>478514+47271</f>
        <v>525785</v>
      </c>
      <c r="Q162" s="60">
        <f>SUM(R162:T162)</f>
        <v>273193</v>
      </c>
      <c r="R162" s="61"/>
      <c r="S162" s="61"/>
      <c r="T162" s="61">
        <f>36915+47271+37312+4733+49756+38374+6532+52300</f>
        <v>273193</v>
      </c>
      <c r="U162" s="60">
        <f>SUM(V162:X162)</f>
        <v>273193</v>
      </c>
      <c r="V162" s="61"/>
      <c r="W162" s="61"/>
      <c r="X162" s="61">
        <f>36915+47271+37312+4733+49756+38374+6532+52300</f>
        <v>273193</v>
      </c>
      <c r="Y162" s="60">
        <f>SUM(Z162:AD162)</f>
        <v>121088</v>
      </c>
      <c r="Z162" s="57"/>
      <c r="AA162" s="57"/>
      <c r="AB162" s="57">
        <v>57664</v>
      </c>
      <c r="AC162" s="57">
        <v>8993</v>
      </c>
      <c r="AD162" s="57">
        <v>54431</v>
      </c>
      <c r="AE162" s="57"/>
      <c r="AF162" s="57"/>
      <c r="AG162" s="93">
        <f t="shared" si="75"/>
        <v>131504</v>
      </c>
      <c r="AH162" s="95">
        <f t="shared" si="70"/>
        <v>131504</v>
      </c>
    </row>
    <row r="163" spans="1:34" s="68" customFormat="1" ht="14.25">
      <c r="A163" s="62" t="s">
        <v>33</v>
      </c>
      <c r="B163" s="63" t="s">
        <v>172</v>
      </c>
      <c r="C163" s="63"/>
      <c r="D163" s="62"/>
      <c r="E163" s="62"/>
      <c r="F163" s="62"/>
      <c r="G163" s="64"/>
      <c r="H163" s="62"/>
      <c r="I163" s="62"/>
      <c r="J163" s="62"/>
      <c r="K163" s="62"/>
      <c r="L163" s="65">
        <f t="shared" ref="L163:AE163" si="80">L164+L165</f>
        <v>146503</v>
      </c>
      <c r="M163" s="65">
        <f t="shared" si="80"/>
        <v>0</v>
      </c>
      <c r="N163" s="65">
        <f t="shared" si="80"/>
        <v>0</v>
      </c>
      <c r="O163" s="65">
        <f t="shared" si="80"/>
        <v>146503</v>
      </c>
      <c r="P163" s="65">
        <f t="shared" si="80"/>
        <v>549056</v>
      </c>
      <c r="Q163" s="65">
        <f t="shared" si="80"/>
        <v>279293</v>
      </c>
      <c r="R163" s="65">
        <f t="shared" si="80"/>
        <v>0</v>
      </c>
      <c r="S163" s="65">
        <f t="shared" si="80"/>
        <v>0</v>
      </c>
      <c r="T163" s="65">
        <f t="shared" si="80"/>
        <v>279293</v>
      </c>
      <c r="U163" s="65">
        <f t="shared" si="80"/>
        <v>279293</v>
      </c>
      <c r="V163" s="65">
        <f t="shared" si="80"/>
        <v>0</v>
      </c>
      <c r="W163" s="65">
        <f t="shared" si="80"/>
        <v>0</v>
      </c>
      <c r="X163" s="65">
        <f t="shared" si="80"/>
        <v>279293</v>
      </c>
      <c r="Y163" s="65">
        <f t="shared" si="80"/>
        <v>177088</v>
      </c>
      <c r="Z163" s="66">
        <f t="shared" si="80"/>
        <v>0</v>
      </c>
      <c r="AA163" s="66">
        <f t="shared" si="80"/>
        <v>0</v>
      </c>
      <c r="AB163" s="66">
        <f t="shared" si="80"/>
        <v>93664</v>
      </c>
      <c r="AC163" s="66">
        <f t="shared" si="80"/>
        <v>28993</v>
      </c>
      <c r="AD163" s="66">
        <f t="shared" si="80"/>
        <v>54431</v>
      </c>
      <c r="AE163" s="66">
        <f t="shared" si="80"/>
        <v>0</v>
      </c>
      <c r="AF163" s="66"/>
      <c r="AG163" s="67">
        <f t="shared" si="75"/>
        <v>92675</v>
      </c>
      <c r="AH163" s="95">
        <f t="shared" si="70"/>
        <v>92675</v>
      </c>
    </row>
    <row r="164" spans="1:34" ht="30">
      <c r="A164" s="89" t="s">
        <v>73</v>
      </c>
      <c r="B164" s="54" t="s">
        <v>164</v>
      </c>
      <c r="C164" s="54"/>
      <c r="D164" s="89"/>
      <c r="E164" s="89"/>
      <c r="F164" s="89"/>
      <c r="G164" s="91"/>
      <c r="H164" s="89"/>
      <c r="I164" s="89"/>
      <c r="J164" s="89"/>
      <c r="K164" s="89"/>
      <c r="L164" s="60">
        <v>0</v>
      </c>
      <c r="M164" s="61"/>
      <c r="N164" s="61"/>
      <c r="O164" s="61"/>
      <c r="P164" s="61">
        <f>478514+47271</f>
        <v>525785</v>
      </c>
      <c r="Q164" s="60">
        <f>SUM(R164:T164)</f>
        <v>273193</v>
      </c>
      <c r="R164" s="61"/>
      <c r="S164" s="61"/>
      <c r="T164" s="61">
        <f>36915+47271+37312+4733+49756+38374+6532+52300</f>
        <v>273193</v>
      </c>
      <c r="U164" s="60">
        <f>SUM(V164:X164)</f>
        <v>273193</v>
      </c>
      <c r="V164" s="61"/>
      <c r="W164" s="61"/>
      <c r="X164" s="61">
        <f>36915+47271+37312+4733+49756+38374+6532+52300</f>
        <v>273193</v>
      </c>
      <c r="Y164" s="60">
        <f>SUM(Z164:AD164)</f>
        <v>121088</v>
      </c>
      <c r="Z164" s="57"/>
      <c r="AA164" s="57"/>
      <c r="AB164" s="57">
        <v>57664</v>
      </c>
      <c r="AC164" s="57">
        <v>8993</v>
      </c>
      <c r="AD164" s="57">
        <v>54431</v>
      </c>
      <c r="AE164" s="57"/>
      <c r="AF164" s="57"/>
      <c r="AG164" s="93">
        <f t="shared" si="75"/>
        <v>131504</v>
      </c>
      <c r="AH164" s="95">
        <f t="shared" si="70"/>
        <v>131504</v>
      </c>
    </row>
    <row r="165" spans="1:34" s="86" customFormat="1" ht="30">
      <c r="A165" s="80" t="s">
        <v>60</v>
      </c>
      <c r="B165" s="81" t="s">
        <v>166</v>
      </c>
      <c r="C165" s="81"/>
      <c r="D165" s="80"/>
      <c r="E165" s="80"/>
      <c r="F165" s="80"/>
      <c r="G165" s="82"/>
      <c r="H165" s="80"/>
      <c r="I165" s="80"/>
      <c r="J165" s="80"/>
      <c r="K165" s="80"/>
      <c r="L165" s="83">
        <f t="shared" ref="L165:AE165" si="81">SUM(L166:L167)</f>
        <v>146503</v>
      </c>
      <c r="M165" s="83">
        <f t="shared" si="81"/>
        <v>0</v>
      </c>
      <c r="N165" s="83">
        <f t="shared" si="81"/>
        <v>0</v>
      </c>
      <c r="O165" s="83">
        <f t="shared" si="81"/>
        <v>146503</v>
      </c>
      <c r="P165" s="83">
        <f t="shared" si="81"/>
        <v>23271</v>
      </c>
      <c r="Q165" s="83">
        <f t="shared" si="81"/>
        <v>6100</v>
      </c>
      <c r="R165" s="83">
        <f t="shared" si="81"/>
        <v>0</v>
      </c>
      <c r="S165" s="83">
        <f t="shared" si="81"/>
        <v>0</v>
      </c>
      <c r="T165" s="83">
        <f t="shared" si="81"/>
        <v>6100</v>
      </c>
      <c r="U165" s="83">
        <f t="shared" si="81"/>
        <v>6100</v>
      </c>
      <c r="V165" s="83">
        <f t="shared" si="81"/>
        <v>0</v>
      </c>
      <c r="W165" s="83">
        <f t="shared" si="81"/>
        <v>0</v>
      </c>
      <c r="X165" s="83">
        <f t="shared" si="81"/>
        <v>6100</v>
      </c>
      <c r="Y165" s="83">
        <f t="shared" si="81"/>
        <v>56000</v>
      </c>
      <c r="Z165" s="83">
        <f t="shared" si="81"/>
        <v>0</v>
      </c>
      <c r="AA165" s="83">
        <f t="shared" si="81"/>
        <v>0</v>
      </c>
      <c r="AB165" s="83">
        <f t="shared" si="81"/>
        <v>36000</v>
      </c>
      <c r="AC165" s="83">
        <f t="shared" si="81"/>
        <v>20000</v>
      </c>
      <c r="AD165" s="83">
        <f t="shared" si="81"/>
        <v>0</v>
      </c>
      <c r="AE165" s="83">
        <f t="shared" si="81"/>
        <v>0</v>
      </c>
      <c r="AF165" s="84"/>
      <c r="AG165" s="85">
        <f t="shared" si="75"/>
        <v>-38829</v>
      </c>
      <c r="AH165" s="95">
        <f t="shared" si="70"/>
        <v>-38829</v>
      </c>
    </row>
    <row r="166" spans="1:34" ht="135">
      <c r="A166" s="89">
        <v>1</v>
      </c>
      <c r="B166" s="54" t="s">
        <v>359</v>
      </c>
      <c r="C166" s="54"/>
      <c r="D166" s="89" t="s">
        <v>173</v>
      </c>
      <c r="E166" s="89" t="s">
        <v>360</v>
      </c>
      <c r="F166" s="89" t="s">
        <v>2</v>
      </c>
      <c r="G166" s="91" t="s">
        <v>361</v>
      </c>
      <c r="H166" s="89">
        <v>292</v>
      </c>
      <c r="I166" s="87" t="s">
        <v>362</v>
      </c>
      <c r="J166" s="89" t="s">
        <v>25</v>
      </c>
      <c r="K166" s="89" t="s">
        <v>363</v>
      </c>
      <c r="L166" s="60">
        <f>SUM(M166:O166)</f>
        <v>120757</v>
      </c>
      <c r="M166" s="61"/>
      <c r="N166" s="61"/>
      <c r="O166" s="61">
        <v>120757</v>
      </c>
      <c r="P166" s="61"/>
      <c r="Q166" s="60"/>
      <c r="R166" s="61"/>
      <c r="S166" s="61"/>
      <c r="T166" s="61"/>
      <c r="U166" s="60"/>
      <c r="V166" s="61"/>
      <c r="W166" s="61"/>
      <c r="X166" s="61"/>
      <c r="Y166" s="60">
        <f>SUM(Z166:AD166)</f>
        <v>40000</v>
      </c>
      <c r="Z166" s="57"/>
      <c r="AA166" s="57"/>
      <c r="AB166" s="57">
        <v>20000</v>
      </c>
      <c r="AC166" s="57">
        <v>20000</v>
      </c>
      <c r="AD166" s="57"/>
      <c r="AE166" s="57"/>
      <c r="AF166" s="57"/>
      <c r="AH166" s="95">
        <f t="shared" si="70"/>
        <v>-40000</v>
      </c>
    </row>
    <row r="167" spans="1:34" ht="60">
      <c r="A167" s="89">
        <v>2</v>
      </c>
      <c r="B167" s="54" t="s">
        <v>204</v>
      </c>
      <c r="C167" s="54"/>
      <c r="D167" s="89" t="s">
        <v>173</v>
      </c>
      <c r="E167" s="89" t="s">
        <v>187</v>
      </c>
      <c r="F167" s="89" t="s">
        <v>3</v>
      </c>
      <c r="G167" s="91">
        <v>7004692</v>
      </c>
      <c r="H167" s="89" t="s">
        <v>193</v>
      </c>
      <c r="I167" s="87" t="s">
        <v>205</v>
      </c>
      <c r="J167" s="89" t="s">
        <v>18</v>
      </c>
      <c r="K167" s="89" t="s">
        <v>206</v>
      </c>
      <c r="L167" s="60">
        <f>SUM(M167:O167)</f>
        <v>25746</v>
      </c>
      <c r="M167" s="61"/>
      <c r="N167" s="61"/>
      <c r="O167" s="61">
        <v>25746</v>
      </c>
      <c r="P167" s="61">
        <v>23271</v>
      </c>
      <c r="Q167" s="60">
        <f>SUM(R167:T167)</f>
        <v>6100</v>
      </c>
      <c r="R167" s="61"/>
      <c r="S167" s="61"/>
      <c r="T167" s="61">
        <f>100+6000</f>
        <v>6100</v>
      </c>
      <c r="U167" s="60">
        <f>SUM(V167:X167)</f>
        <v>6100</v>
      </c>
      <c r="V167" s="61"/>
      <c r="W167" s="61"/>
      <c r="X167" s="61">
        <f>100+6000</f>
        <v>6100</v>
      </c>
      <c r="Y167" s="60">
        <f>SUM(Z167:AD167)</f>
        <v>16000</v>
      </c>
      <c r="Z167" s="57"/>
      <c r="AA167" s="57"/>
      <c r="AB167" s="57">
        <v>16000</v>
      </c>
      <c r="AC167" s="57"/>
      <c r="AD167" s="57"/>
      <c r="AE167" s="57"/>
      <c r="AF167" s="57"/>
      <c r="AG167" s="93">
        <f t="shared" ref="AG167:AG172" si="82">P167-U167-Y167</f>
        <v>1171</v>
      </c>
      <c r="AH167" s="95">
        <f t="shared" si="70"/>
        <v>1171</v>
      </c>
    </row>
    <row r="168" spans="1:34" s="68" customFormat="1" ht="14.25">
      <c r="A168" s="62" t="s">
        <v>174</v>
      </c>
      <c r="B168" s="63" t="s">
        <v>175</v>
      </c>
      <c r="C168" s="63"/>
      <c r="D168" s="62"/>
      <c r="E168" s="62"/>
      <c r="F168" s="62"/>
      <c r="G168" s="64"/>
      <c r="H168" s="62"/>
      <c r="I168" s="62"/>
      <c r="J168" s="62"/>
      <c r="K168" s="62"/>
      <c r="L168" s="65">
        <f t="shared" ref="L168:AE168" si="83">L169+L170</f>
        <v>37024.079484000002</v>
      </c>
      <c r="M168" s="65">
        <f t="shared" si="83"/>
        <v>0</v>
      </c>
      <c r="N168" s="65">
        <f t="shared" si="83"/>
        <v>0</v>
      </c>
      <c r="O168" s="65">
        <f t="shared" si="83"/>
        <v>37024.079484000002</v>
      </c>
      <c r="P168" s="65">
        <f t="shared" si="83"/>
        <v>520573</v>
      </c>
      <c r="Q168" s="65">
        <f t="shared" si="83"/>
        <v>262452</v>
      </c>
      <c r="R168" s="65">
        <f t="shared" si="83"/>
        <v>0</v>
      </c>
      <c r="S168" s="65">
        <f t="shared" si="83"/>
        <v>0</v>
      </c>
      <c r="T168" s="65">
        <f t="shared" si="83"/>
        <v>262452</v>
      </c>
      <c r="U168" s="65">
        <f t="shared" si="83"/>
        <v>262452</v>
      </c>
      <c r="V168" s="65">
        <f t="shared" si="83"/>
        <v>0</v>
      </c>
      <c r="W168" s="65">
        <f t="shared" si="83"/>
        <v>0</v>
      </c>
      <c r="X168" s="65">
        <f t="shared" si="83"/>
        <v>262452</v>
      </c>
      <c r="Y168" s="65">
        <f t="shared" si="83"/>
        <v>130228</v>
      </c>
      <c r="Z168" s="65">
        <f t="shared" si="83"/>
        <v>0</v>
      </c>
      <c r="AA168" s="65">
        <f t="shared" si="83"/>
        <v>0</v>
      </c>
      <c r="AB168" s="65">
        <f t="shared" si="83"/>
        <v>71444</v>
      </c>
      <c r="AC168" s="65">
        <f t="shared" si="83"/>
        <v>8336</v>
      </c>
      <c r="AD168" s="65">
        <f t="shared" si="83"/>
        <v>50448</v>
      </c>
      <c r="AE168" s="65">
        <f t="shared" si="83"/>
        <v>0</v>
      </c>
      <c r="AF168" s="66"/>
      <c r="AG168" s="67">
        <f t="shared" si="82"/>
        <v>127893</v>
      </c>
      <c r="AH168" s="95">
        <f t="shared" si="70"/>
        <v>127893</v>
      </c>
    </row>
    <row r="169" spans="1:34" ht="30">
      <c r="A169" s="89" t="s">
        <v>73</v>
      </c>
      <c r="B169" s="54" t="s">
        <v>164</v>
      </c>
      <c r="C169" s="54"/>
      <c r="D169" s="89"/>
      <c r="E169" s="89"/>
      <c r="F169" s="89"/>
      <c r="G169" s="91"/>
      <c r="H169" s="89"/>
      <c r="I169" s="89"/>
      <c r="J169" s="89"/>
      <c r="K169" s="89"/>
      <c r="L169" s="60">
        <v>0</v>
      </c>
      <c r="M169" s="61"/>
      <c r="N169" s="61"/>
      <c r="O169" s="61"/>
      <c r="P169" s="61">
        <f>443501+43812</f>
        <v>487313</v>
      </c>
      <c r="Q169" s="60">
        <f>SUM(R169:T169)</f>
        <v>253202</v>
      </c>
      <c r="R169" s="61"/>
      <c r="S169" s="61"/>
      <c r="T169" s="61">
        <f>34214+43812+34581+4387+46115+35566+6054+48473</f>
        <v>253202</v>
      </c>
      <c r="U169" s="60">
        <f>SUM(V169:X169)</f>
        <v>253202</v>
      </c>
      <c r="V169" s="61"/>
      <c r="W169" s="61"/>
      <c r="X169" s="61">
        <f>34214+43812+34581+4387+46115+35566+6054+48473</f>
        <v>253202</v>
      </c>
      <c r="Y169" s="60">
        <f>SUM(Z169:AD169)</f>
        <v>112228</v>
      </c>
      <c r="Z169" s="57"/>
      <c r="AA169" s="57"/>
      <c r="AB169" s="57">
        <v>53444</v>
      </c>
      <c r="AC169" s="57">
        <v>8336</v>
      </c>
      <c r="AD169" s="57">
        <v>50448</v>
      </c>
      <c r="AE169" s="57"/>
      <c r="AF169" s="57"/>
      <c r="AG169" s="93">
        <f t="shared" si="82"/>
        <v>121883</v>
      </c>
      <c r="AH169" s="95">
        <f t="shared" si="70"/>
        <v>121883</v>
      </c>
    </row>
    <row r="170" spans="1:34" s="86" customFormat="1" ht="30">
      <c r="A170" s="80" t="s">
        <v>60</v>
      </c>
      <c r="B170" s="81" t="s">
        <v>166</v>
      </c>
      <c r="C170" s="81"/>
      <c r="D170" s="80"/>
      <c r="E170" s="80"/>
      <c r="F170" s="80"/>
      <c r="G170" s="82"/>
      <c r="H170" s="80"/>
      <c r="I170" s="80"/>
      <c r="J170" s="80"/>
      <c r="K170" s="80"/>
      <c r="L170" s="83">
        <f t="shared" ref="L170:AE170" si="84">SUM(L171:L172)</f>
        <v>37024.079484000002</v>
      </c>
      <c r="M170" s="83">
        <f t="shared" si="84"/>
        <v>0</v>
      </c>
      <c r="N170" s="83">
        <f t="shared" si="84"/>
        <v>0</v>
      </c>
      <c r="O170" s="83">
        <f t="shared" si="84"/>
        <v>37024.079484000002</v>
      </c>
      <c r="P170" s="83">
        <f t="shared" si="84"/>
        <v>33260</v>
      </c>
      <c r="Q170" s="83">
        <f t="shared" si="84"/>
        <v>9250</v>
      </c>
      <c r="R170" s="83">
        <f t="shared" si="84"/>
        <v>0</v>
      </c>
      <c r="S170" s="83">
        <f t="shared" si="84"/>
        <v>0</v>
      </c>
      <c r="T170" s="83">
        <f t="shared" si="84"/>
        <v>9250</v>
      </c>
      <c r="U170" s="83">
        <f t="shared" si="84"/>
        <v>9250</v>
      </c>
      <c r="V170" s="83">
        <f t="shared" si="84"/>
        <v>0</v>
      </c>
      <c r="W170" s="83">
        <f t="shared" si="84"/>
        <v>0</v>
      </c>
      <c r="X170" s="83">
        <f t="shared" si="84"/>
        <v>9250</v>
      </c>
      <c r="Y170" s="83">
        <f t="shared" si="84"/>
        <v>18000</v>
      </c>
      <c r="Z170" s="83">
        <f t="shared" si="84"/>
        <v>0</v>
      </c>
      <c r="AA170" s="83">
        <f t="shared" si="84"/>
        <v>0</v>
      </c>
      <c r="AB170" s="83">
        <f t="shared" si="84"/>
        <v>18000</v>
      </c>
      <c r="AC170" s="83">
        <f t="shared" si="84"/>
        <v>0</v>
      </c>
      <c r="AD170" s="83">
        <f t="shared" si="84"/>
        <v>0</v>
      </c>
      <c r="AE170" s="83">
        <f t="shared" si="84"/>
        <v>0</v>
      </c>
      <c r="AF170" s="84"/>
      <c r="AG170" s="85">
        <f t="shared" si="82"/>
        <v>6010</v>
      </c>
      <c r="AH170" s="95">
        <f t="shared" si="70"/>
        <v>6010</v>
      </c>
    </row>
    <row r="171" spans="1:34" ht="60">
      <c r="A171" s="89">
        <v>1</v>
      </c>
      <c r="B171" s="54" t="s">
        <v>191</v>
      </c>
      <c r="C171" s="54"/>
      <c r="D171" s="89" t="s">
        <v>62</v>
      </c>
      <c r="E171" s="89" t="s">
        <v>192</v>
      </c>
      <c r="F171" s="89" t="s">
        <v>3</v>
      </c>
      <c r="G171" s="91">
        <v>7004692</v>
      </c>
      <c r="H171" s="89" t="s">
        <v>193</v>
      </c>
      <c r="I171" s="89" t="s">
        <v>194</v>
      </c>
      <c r="J171" s="89" t="s">
        <v>25</v>
      </c>
      <c r="K171" s="89" t="s">
        <v>195</v>
      </c>
      <c r="L171" s="60">
        <f>SUM(M171:O171)</f>
        <v>25184.909</v>
      </c>
      <c r="M171" s="61"/>
      <c r="N171" s="61"/>
      <c r="O171" s="61">
        <v>25184.909</v>
      </c>
      <c r="P171" s="61">
        <v>22290</v>
      </c>
      <c r="Q171" s="60">
        <f>SUM(R171:T171)</f>
        <v>5150</v>
      </c>
      <c r="R171" s="61"/>
      <c r="S171" s="61"/>
      <c r="T171" s="61">
        <f>150+5000</f>
        <v>5150</v>
      </c>
      <c r="U171" s="60">
        <f>SUM(V171:X171)</f>
        <v>5150</v>
      </c>
      <c r="V171" s="61"/>
      <c r="W171" s="61"/>
      <c r="X171" s="61">
        <f>150+5000</f>
        <v>5150</v>
      </c>
      <c r="Y171" s="60">
        <f>SUM(Z171:AD171)</f>
        <v>12000</v>
      </c>
      <c r="Z171" s="57"/>
      <c r="AA171" s="57"/>
      <c r="AB171" s="57">
        <v>12000</v>
      </c>
      <c r="AC171" s="57"/>
      <c r="AD171" s="57"/>
      <c r="AE171" s="57"/>
      <c r="AF171" s="57"/>
      <c r="AG171" s="93">
        <f t="shared" si="82"/>
        <v>5140</v>
      </c>
      <c r="AH171" s="95">
        <f t="shared" si="70"/>
        <v>5140</v>
      </c>
    </row>
    <row r="172" spans="1:34" ht="60">
      <c r="A172" s="89">
        <v>2</v>
      </c>
      <c r="B172" s="54" t="s">
        <v>196</v>
      </c>
      <c r="C172" s="54"/>
      <c r="D172" s="89" t="s">
        <v>62</v>
      </c>
      <c r="E172" s="89" t="s">
        <v>192</v>
      </c>
      <c r="F172" s="89" t="s">
        <v>3</v>
      </c>
      <c r="G172" s="91">
        <v>7004686</v>
      </c>
      <c r="H172" s="89" t="s">
        <v>197</v>
      </c>
      <c r="I172" s="89" t="s">
        <v>198</v>
      </c>
      <c r="J172" s="89" t="s">
        <v>25</v>
      </c>
      <c r="K172" s="89" t="s">
        <v>199</v>
      </c>
      <c r="L172" s="60">
        <f>SUM(M172:O172)</f>
        <v>11839.170484</v>
      </c>
      <c r="M172" s="61"/>
      <c r="N172" s="61"/>
      <c r="O172" s="61">
        <v>11839.170484</v>
      </c>
      <c r="P172" s="61">
        <v>10970</v>
      </c>
      <c r="Q172" s="60">
        <f>SUM(R172:T172)</f>
        <v>4100</v>
      </c>
      <c r="R172" s="61"/>
      <c r="S172" s="61"/>
      <c r="T172" s="61">
        <f>100+4000</f>
        <v>4100</v>
      </c>
      <c r="U172" s="60">
        <f>SUM(V172:X172)</f>
        <v>4100</v>
      </c>
      <c r="V172" s="61"/>
      <c r="W172" s="61"/>
      <c r="X172" s="61">
        <f>100+4000</f>
        <v>4100</v>
      </c>
      <c r="Y172" s="60">
        <f>SUM(Z172:AD172)</f>
        <v>6000</v>
      </c>
      <c r="Z172" s="57"/>
      <c r="AA172" s="57"/>
      <c r="AB172" s="57">
        <v>6000</v>
      </c>
      <c r="AC172" s="57"/>
      <c r="AD172" s="57"/>
      <c r="AE172" s="57"/>
      <c r="AF172" s="57"/>
      <c r="AG172" s="93">
        <f t="shared" si="82"/>
        <v>870</v>
      </c>
      <c r="AH172" s="95">
        <f t="shared" si="70"/>
        <v>870</v>
      </c>
    </row>
    <row r="173" spans="1:34">
      <c r="K173" s="46"/>
    </row>
    <row r="174" spans="1:34">
      <c r="K174" s="46"/>
    </row>
    <row r="175" spans="1:34">
      <c r="K175" s="46"/>
    </row>
    <row r="176" spans="1:34">
      <c r="K176" s="46"/>
    </row>
    <row r="177" spans="1:33">
      <c r="A177" s="45"/>
      <c r="D177" s="45"/>
      <c r="E177" s="45"/>
      <c r="F177" s="45"/>
      <c r="G177" s="45"/>
      <c r="H177" s="45"/>
      <c r="I177" s="45"/>
      <c r="J177" s="45"/>
      <c r="K177" s="46"/>
      <c r="Y177" s="45"/>
      <c r="Z177" s="45"/>
      <c r="AA177" s="45"/>
      <c r="AB177" s="45"/>
      <c r="AC177" s="45"/>
      <c r="AD177" s="45"/>
      <c r="AE177" s="45"/>
      <c r="AF177" s="45"/>
      <c r="AG177" s="45"/>
    </row>
    <row r="178" spans="1:33">
      <c r="A178" s="45"/>
      <c r="D178" s="45"/>
      <c r="E178" s="45"/>
      <c r="F178" s="45"/>
      <c r="G178" s="45"/>
      <c r="H178" s="45"/>
      <c r="I178" s="45"/>
      <c r="J178" s="45"/>
      <c r="K178" s="46"/>
      <c r="Y178" s="45"/>
      <c r="Z178" s="45"/>
      <c r="AA178" s="45"/>
      <c r="AB178" s="45"/>
      <c r="AC178" s="45"/>
      <c r="AD178" s="45"/>
      <c r="AE178" s="45"/>
      <c r="AF178" s="45"/>
      <c r="AG178" s="45"/>
    </row>
    <row r="179" spans="1:33">
      <c r="A179" s="45"/>
      <c r="D179" s="45"/>
      <c r="E179" s="45"/>
      <c r="F179" s="45"/>
      <c r="G179" s="45"/>
      <c r="H179" s="45"/>
      <c r="I179" s="45"/>
      <c r="J179" s="45"/>
      <c r="K179" s="46"/>
      <c r="Y179" s="45"/>
      <c r="Z179" s="45"/>
      <c r="AA179" s="45"/>
      <c r="AB179" s="45"/>
      <c r="AC179" s="45"/>
      <c r="AD179" s="45"/>
      <c r="AE179" s="45"/>
      <c r="AF179" s="45"/>
      <c r="AG179" s="45"/>
    </row>
    <row r="180" spans="1:33">
      <c r="A180" s="45"/>
      <c r="D180" s="45"/>
      <c r="E180" s="45"/>
      <c r="F180" s="45"/>
      <c r="G180" s="45"/>
      <c r="H180" s="45"/>
      <c r="I180" s="45"/>
      <c r="J180" s="45"/>
      <c r="K180" s="46"/>
      <c r="Y180" s="45"/>
      <c r="Z180" s="45"/>
      <c r="AA180" s="45"/>
      <c r="AB180" s="45"/>
      <c r="AC180" s="45"/>
      <c r="AD180" s="45"/>
      <c r="AE180" s="45"/>
      <c r="AF180" s="45"/>
      <c r="AG180" s="45"/>
    </row>
    <row r="181" spans="1:33">
      <c r="A181" s="45"/>
      <c r="D181" s="45"/>
      <c r="E181" s="45"/>
      <c r="F181" s="45"/>
      <c r="G181" s="45"/>
      <c r="H181" s="45"/>
      <c r="I181" s="45"/>
      <c r="J181" s="45"/>
      <c r="K181" s="46"/>
      <c r="Y181" s="45"/>
      <c r="Z181" s="45"/>
      <c r="AA181" s="45"/>
      <c r="AB181" s="45"/>
      <c r="AC181" s="45"/>
      <c r="AD181" s="45"/>
      <c r="AE181" s="45"/>
      <c r="AF181" s="45"/>
      <c r="AG181" s="45"/>
    </row>
    <row r="182" spans="1:33">
      <c r="A182" s="45"/>
      <c r="D182" s="45"/>
      <c r="E182" s="45"/>
      <c r="F182" s="45"/>
      <c r="G182" s="45"/>
      <c r="H182" s="45"/>
      <c r="I182" s="45"/>
      <c r="J182" s="45"/>
      <c r="K182" s="46"/>
      <c r="Y182" s="45"/>
      <c r="Z182" s="45"/>
      <c r="AA182" s="45"/>
      <c r="AB182" s="45"/>
      <c r="AC182" s="45"/>
      <c r="AD182" s="45"/>
      <c r="AE182" s="45"/>
      <c r="AF182" s="45"/>
      <c r="AG182" s="45"/>
    </row>
    <row r="183" spans="1:33">
      <c r="A183" s="45"/>
      <c r="D183" s="45"/>
      <c r="E183" s="45"/>
      <c r="F183" s="45"/>
      <c r="G183" s="45"/>
      <c r="H183" s="45"/>
      <c r="I183" s="45"/>
      <c r="J183" s="45"/>
      <c r="K183" s="46"/>
      <c r="Y183" s="45"/>
      <c r="Z183" s="45"/>
      <c r="AA183" s="45"/>
      <c r="AB183" s="45"/>
      <c r="AC183" s="45"/>
      <c r="AD183" s="45"/>
      <c r="AE183" s="45"/>
      <c r="AF183" s="45"/>
      <c r="AG183" s="45"/>
    </row>
    <row r="184" spans="1:33">
      <c r="A184" s="45"/>
      <c r="D184" s="45"/>
      <c r="E184" s="45"/>
      <c r="F184" s="45"/>
      <c r="G184" s="45"/>
      <c r="H184" s="45"/>
      <c r="I184" s="45"/>
      <c r="J184" s="45"/>
      <c r="K184" s="46"/>
      <c r="Y184" s="45"/>
      <c r="Z184" s="45"/>
      <c r="AA184" s="45"/>
      <c r="AB184" s="45"/>
      <c r="AC184" s="45"/>
      <c r="AD184" s="45"/>
      <c r="AE184" s="45"/>
      <c r="AF184" s="45"/>
      <c r="AG184" s="45"/>
    </row>
    <row r="185" spans="1:33">
      <c r="A185" s="45"/>
      <c r="D185" s="45"/>
      <c r="E185" s="45"/>
      <c r="F185" s="45"/>
      <c r="G185" s="45"/>
      <c r="H185" s="45"/>
      <c r="I185" s="45"/>
      <c r="J185" s="45"/>
      <c r="K185" s="46"/>
      <c r="Y185" s="45"/>
      <c r="Z185" s="45"/>
      <c r="AA185" s="45"/>
      <c r="AB185" s="45"/>
      <c r="AC185" s="45"/>
      <c r="AD185" s="45"/>
      <c r="AE185" s="45"/>
      <c r="AF185" s="45"/>
      <c r="AG185" s="45"/>
    </row>
    <row r="186" spans="1:33">
      <c r="A186" s="45"/>
      <c r="D186" s="45"/>
      <c r="E186" s="45"/>
      <c r="F186" s="45"/>
      <c r="G186" s="45"/>
      <c r="H186" s="45"/>
      <c r="I186" s="45"/>
      <c r="J186" s="45"/>
      <c r="K186" s="46"/>
      <c r="Y186" s="45"/>
      <c r="Z186" s="45"/>
      <c r="AA186" s="45"/>
      <c r="AB186" s="45"/>
      <c r="AC186" s="45"/>
      <c r="AD186" s="45"/>
      <c r="AE186" s="45"/>
      <c r="AF186" s="45"/>
      <c r="AG186" s="45"/>
    </row>
    <row r="187" spans="1:33">
      <c r="A187" s="45"/>
      <c r="D187" s="45"/>
      <c r="E187" s="45"/>
      <c r="F187" s="45"/>
      <c r="G187" s="45"/>
      <c r="H187" s="45"/>
      <c r="I187" s="45"/>
      <c r="J187" s="45"/>
      <c r="K187" s="46"/>
      <c r="Y187" s="45"/>
      <c r="Z187" s="45"/>
      <c r="AA187" s="45"/>
      <c r="AB187" s="45"/>
      <c r="AC187" s="45"/>
      <c r="AD187" s="45"/>
      <c r="AE187" s="45"/>
      <c r="AF187" s="45"/>
      <c r="AG187" s="45"/>
    </row>
    <row r="188" spans="1:33">
      <c r="A188" s="45"/>
      <c r="D188" s="45"/>
      <c r="E188" s="45"/>
      <c r="F188" s="45"/>
      <c r="G188" s="45"/>
      <c r="H188" s="45"/>
      <c r="I188" s="45"/>
      <c r="J188" s="45"/>
      <c r="K188" s="46"/>
      <c r="Y188" s="45"/>
      <c r="Z188" s="45"/>
      <c r="AA188" s="45"/>
      <c r="AB188" s="45"/>
      <c r="AC188" s="45"/>
      <c r="AD188" s="45"/>
      <c r="AE188" s="45"/>
      <c r="AF188" s="45"/>
      <c r="AG188" s="45"/>
    </row>
    <row r="189" spans="1:33">
      <c r="A189" s="45"/>
      <c r="D189" s="45"/>
      <c r="E189" s="45"/>
      <c r="F189" s="45"/>
      <c r="G189" s="45"/>
      <c r="H189" s="45"/>
      <c r="I189" s="45"/>
      <c r="J189" s="45"/>
      <c r="K189" s="46"/>
      <c r="Y189" s="45"/>
      <c r="Z189" s="45"/>
      <c r="AA189" s="45"/>
      <c r="AB189" s="45"/>
      <c r="AC189" s="45"/>
      <c r="AD189" s="45"/>
      <c r="AE189" s="45"/>
      <c r="AF189" s="45"/>
      <c r="AG189" s="45"/>
    </row>
    <row r="190" spans="1:33">
      <c r="A190" s="45"/>
      <c r="D190" s="45"/>
      <c r="E190" s="45"/>
      <c r="F190" s="45"/>
      <c r="G190" s="45"/>
      <c r="H190" s="45"/>
      <c r="I190" s="45"/>
      <c r="J190" s="45"/>
      <c r="K190" s="46"/>
      <c r="Y190" s="45"/>
      <c r="Z190" s="45"/>
      <c r="AA190" s="45"/>
      <c r="AB190" s="45"/>
      <c r="AC190" s="45"/>
      <c r="AD190" s="45"/>
      <c r="AE190" s="45"/>
      <c r="AF190" s="45"/>
      <c r="AG190" s="45"/>
    </row>
    <row r="191" spans="1:33">
      <c r="A191" s="45"/>
      <c r="D191" s="45"/>
      <c r="E191" s="45"/>
      <c r="F191" s="45"/>
      <c r="G191" s="45"/>
      <c r="H191" s="45"/>
      <c r="I191" s="45"/>
      <c r="J191" s="45"/>
      <c r="K191" s="46"/>
      <c r="Y191" s="45"/>
      <c r="Z191" s="45"/>
      <c r="AA191" s="45"/>
      <c r="AB191" s="45"/>
      <c r="AC191" s="45"/>
      <c r="AD191" s="45"/>
      <c r="AE191" s="45"/>
      <c r="AF191" s="45"/>
      <c r="AG191" s="45"/>
    </row>
    <row r="192" spans="1:33">
      <c r="A192" s="45"/>
      <c r="D192" s="45"/>
      <c r="E192" s="45"/>
      <c r="F192" s="45"/>
      <c r="G192" s="45"/>
      <c r="H192" s="45"/>
      <c r="I192" s="45"/>
      <c r="J192" s="45"/>
      <c r="K192" s="46"/>
      <c r="Y192" s="45"/>
      <c r="Z192" s="45"/>
      <c r="AA192" s="45"/>
      <c r="AB192" s="45"/>
      <c r="AC192" s="45"/>
      <c r="AD192" s="45"/>
      <c r="AE192" s="45"/>
      <c r="AF192" s="45"/>
      <c r="AG192" s="45"/>
    </row>
    <row r="193" spans="1:33">
      <c r="A193" s="45"/>
      <c r="D193" s="45"/>
      <c r="E193" s="45"/>
      <c r="F193" s="45"/>
      <c r="G193" s="45"/>
      <c r="H193" s="45"/>
      <c r="I193" s="45"/>
      <c r="J193" s="45"/>
      <c r="K193" s="46"/>
      <c r="L193" s="45"/>
      <c r="Q193" s="45"/>
      <c r="U193" s="45"/>
      <c r="Y193" s="45"/>
      <c r="Z193" s="45"/>
      <c r="AA193" s="45"/>
      <c r="AB193" s="45"/>
      <c r="AC193" s="45"/>
      <c r="AD193" s="45"/>
      <c r="AE193" s="45"/>
      <c r="AF193" s="45"/>
      <c r="AG193" s="45"/>
    </row>
    <row r="194" spans="1:33">
      <c r="A194" s="45"/>
      <c r="D194" s="45"/>
      <c r="E194" s="45"/>
      <c r="F194" s="45"/>
      <c r="G194" s="45"/>
      <c r="H194" s="45"/>
      <c r="I194" s="45"/>
      <c r="J194" s="45"/>
      <c r="K194" s="46"/>
      <c r="L194" s="45"/>
      <c r="Q194" s="45"/>
      <c r="U194" s="45"/>
      <c r="Y194" s="45"/>
      <c r="Z194" s="45"/>
      <c r="AA194" s="45"/>
      <c r="AB194" s="45"/>
      <c r="AC194" s="45"/>
      <c r="AD194" s="45"/>
      <c r="AE194" s="45"/>
      <c r="AF194" s="45"/>
      <c r="AG194" s="45"/>
    </row>
    <row r="195" spans="1:33">
      <c r="A195" s="45"/>
      <c r="D195" s="45"/>
      <c r="E195" s="45"/>
      <c r="F195" s="45"/>
      <c r="G195" s="45"/>
      <c r="H195" s="45"/>
      <c r="I195" s="45"/>
      <c r="J195" s="45"/>
      <c r="K195" s="46"/>
      <c r="L195" s="45"/>
      <c r="Q195" s="45"/>
      <c r="U195" s="45"/>
      <c r="Y195" s="45"/>
      <c r="Z195" s="45"/>
      <c r="AA195" s="45"/>
      <c r="AB195" s="45"/>
      <c r="AC195" s="45"/>
      <c r="AD195" s="45"/>
      <c r="AE195" s="45"/>
      <c r="AF195" s="45"/>
      <c r="AG195" s="45"/>
    </row>
    <row r="196" spans="1:33">
      <c r="A196" s="45"/>
      <c r="D196" s="45"/>
      <c r="E196" s="45"/>
      <c r="F196" s="45"/>
      <c r="G196" s="45"/>
      <c r="H196" s="45"/>
      <c r="I196" s="45"/>
      <c r="J196" s="45"/>
      <c r="K196" s="46"/>
      <c r="L196" s="45"/>
      <c r="Q196" s="45"/>
      <c r="U196" s="45"/>
      <c r="Y196" s="45"/>
      <c r="Z196" s="45"/>
      <c r="AA196" s="45"/>
      <c r="AB196" s="45"/>
      <c r="AC196" s="45"/>
      <c r="AD196" s="45"/>
      <c r="AE196" s="45"/>
      <c r="AF196" s="45"/>
      <c r="AG196" s="45"/>
    </row>
    <row r="197" spans="1:33">
      <c r="A197" s="45"/>
      <c r="D197" s="45"/>
      <c r="E197" s="45"/>
      <c r="F197" s="45"/>
      <c r="G197" s="45"/>
      <c r="H197" s="45"/>
      <c r="I197" s="45"/>
      <c r="J197" s="45"/>
      <c r="K197" s="46"/>
      <c r="L197" s="45"/>
      <c r="Q197" s="45"/>
      <c r="U197" s="45"/>
      <c r="Y197" s="45"/>
      <c r="Z197" s="45"/>
      <c r="AA197" s="45"/>
      <c r="AB197" s="45"/>
      <c r="AC197" s="45"/>
      <c r="AD197" s="45"/>
      <c r="AE197" s="45"/>
      <c r="AF197" s="45"/>
      <c r="AG197" s="45"/>
    </row>
    <row r="198" spans="1:33">
      <c r="A198" s="45"/>
      <c r="D198" s="45"/>
      <c r="E198" s="45"/>
      <c r="F198" s="45"/>
      <c r="G198" s="45"/>
      <c r="H198" s="45"/>
      <c r="I198" s="45"/>
      <c r="J198" s="45"/>
      <c r="K198" s="46"/>
      <c r="L198" s="45"/>
      <c r="Q198" s="45"/>
      <c r="U198" s="45"/>
      <c r="Y198" s="45"/>
      <c r="Z198" s="45"/>
      <c r="AA198" s="45"/>
      <c r="AB198" s="45"/>
      <c r="AC198" s="45"/>
      <c r="AD198" s="45"/>
      <c r="AE198" s="45"/>
      <c r="AF198" s="45"/>
      <c r="AG198" s="45"/>
    </row>
    <row r="199" spans="1:33">
      <c r="A199" s="45"/>
      <c r="D199" s="45"/>
      <c r="E199" s="45"/>
      <c r="F199" s="45"/>
      <c r="G199" s="45"/>
      <c r="H199" s="45"/>
      <c r="I199" s="45"/>
      <c r="J199" s="45"/>
      <c r="K199" s="46"/>
      <c r="L199" s="45"/>
      <c r="Q199" s="45"/>
      <c r="U199" s="45"/>
      <c r="Y199" s="45"/>
      <c r="Z199" s="45"/>
      <c r="AA199" s="45"/>
      <c r="AB199" s="45"/>
      <c r="AC199" s="45"/>
      <c r="AD199" s="45"/>
      <c r="AE199" s="45"/>
      <c r="AF199" s="45"/>
      <c r="AG199" s="45"/>
    </row>
    <row r="200" spans="1:33">
      <c r="A200" s="45"/>
      <c r="D200" s="45"/>
      <c r="E200" s="45"/>
      <c r="F200" s="45"/>
      <c r="G200" s="45"/>
      <c r="H200" s="45"/>
      <c r="I200" s="45"/>
      <c r="J200" s="45"/>
      <c r="K200" s="46"/>
      <c r="L200" s="45"/>
      <c r="Q200" s="45"/>
      <c r="U200" s="45"/>
      <c r="Y200" s="45"/>
      <c r="Z200" s="45"/>
      <c r="AA200" s="45"/>
      <c r="AB200" s="45"/>
      <c r="AC200" s="45"/>
      <c r="AD200" s="45"/>
      <c r="AE200" s="45"/>
      <c r="AF200" s="45"/>
      <c r="AG200" s="45"/>
    </row>
    <row r="201" spans="1:33">
      <c r="A201" s="45"/>
      <c r="D201" s="45"/>
      <c r="E201" s="45"/>
      <c r="F201" s="45"/>
      <c r="G201" s="45"/>
      <c r="H201" s="45"/>
      <c r="I201" s="45"/>
      <c r="J201" s="45"/>
      <c r="K201" s="46"/>
      <c r="L201" s="45"/>
      <c r="Q201" s="45"/>
      <c r="U201" s="45"/>
      <c r="Y201" s="45"/>
      <c r="Z201" s="45"/>
      <c r="AA201" s="45"/>
      <c r="AB201" s="45"/>
      <c r="AC201" s="45"/>
      <c r="AD201" s="45"/>
      <c r="AE201" s="45"/>
      <c r="AF201" s="45"/>
      <c r="AG201" s="45"/>
    </row>
    <row r="202" spans="1:33">
      <c r="A202" s="45"/>
      <c r="D202" s="45"/>
      <c r="E202" s="45"/>
      <c r="F202" s="45"/>
      <c r="G202" s="45"/>
      <c r="H202" s="45"/>
      <c r="I202" s="45"/>
      <c r="J202" s="45"/>
      <c r="K202" s="46"/>
      <c r="L202" s="45"/>
      <c r="Q202" s="45"/>
      <c r="U202" s="45"/>
      <c r="Y202" s="45"/>
      <c r="Z202" s="45"/>
      <c r="AA202" s="45"/>
      <c r="AB202" s="45"/>
      <c r="AC202" s="45"/>
      <c r="AD202" s="45"/>
      <c r="AE202" s="45"/>
      <c r="AF202" s="45"/>
      <c r="AG202" s="45"/>
    </row>
    <row r="203" spans="1:33">
      <c r="A203" s="45"/>
      <c r="D203" s="45"/>
      <c r="E203" s="45"/>
      <c r="F203" s="45"/>
      <c r="G203" s="45"/>
      <c r="H203" s="45"/>
      <c r="I203" s="45"/>
      <c r="J203" s="45"/>
      <c r="K203" s="46"/>
      <c r="L203" s="45"/>
      <c r="Q203" s="45"/>
      <c r="U203" s="45"/>
      <c r="Y203" s="45"/>
      <c r="Z203" s="45"/>
      <c r="AA203" s="45"/>
      <c r="AB203" s="45"/>
      <c r="AC203" s="45"/>
      <c r="AD203" s="45"/>
      <c r="AE203" s="45"/>
      <c r="AF203" s="45"/>
      <c r="AG203" s="45"/>
    </row>
    <row r="204" spans="1:33">
      <c r="A204" s="45"/>
      <c r="D204" s="45"/>
      <c r="E204" s="45"/>
      <c r="F204" s="45"/>
      <c r="G204" s="45"/>
      <c r="H204" s="45"/>
      <c r="I204" s="45"/>
      <c r="J204" s="45"/>
      <c r="K204" s="46"/>
      <c r="L204" s="45"/>
      <c r="Q204" s="45"/>
      <c r="U204" s="45"/>
      <c r="Y204" s="45"/>
      <c r="Z204" s="45"/>
      <c r="AA204" s="45"/>
      <c r="AB204" s="45"/>
      <c r="AC204" s="45"/>
      <c r="AD204" s="45"/>
      <c r="AE204" s="45"/>
      <c r="AF204" s="45"/>
      <c r="AG204" s="45"/>
    </row>
    <row r="205" spans="1:33">
      <c r="A205" s="45"/>
      <c r="D205" s="45"/>
      <c r="E205" s="45"/>
      <c r="F205" s="45"/>
      <c r="G205" s="45"/>
      <c r="H205" s="45"/>
      <c r="I205" s="45"/>
      <c r="J205" s="45"/>
      <c r="K205" s="46"/>
      <c r="L205" s="45"/>
      <c r="Q205" s="45"/>
      <c r="U205" s="45"/>
      <c r="Y205" s="45"/>
      <c r="Z205" s="45"/>
      <c r="AA205" s="45"/>
      <c r="AB205" s="45"/>
      <c r="AC205" s="45"/>
      <c r="AD205" s="45"/>
      <c r="AE205" s="45"/>
      <c r="AF205" s="45"/>
      <c r="AG205" s="45"/>
    </row>
    <row r="206" spans="1:33">
      <c r="A206" s="45"/>
      <c r="D206" s="45"/>
      <c r="E206" s="45"/>
      <c r="F206" s="45"/>
      <c r="G206" s="45"/>
      <c r="H206" s="45"/>
      <c r="I206" s="45"/>
      <c r="J206" s="45"/>
      <c r="K206" s="46"/>
      <c r="L206" s="45"/>
      <c r="Q206" s="45"/>
      <c r="U206" s="45"/>
      <c r="Y206" s="45"/>
      <c r="Z206" s="45"/>
      <c r="AA206" s="45"/>
      <c r="AB206" s="45"/>
      <c r="AC206" s="45"/>
      <c r="AD206" s="45"/>
      <c r="AE206" s="45"/>
      <c r="AF206" s="45"/>
      <c r="AG206" s="45"/>
    </row>
    <row r="207" spans="1:33">
      <c r="A207" s="45"/>
      <c r="D207" s="45"/>
      <c r="E207" s="45"/>
      <c r="F207" s="45"/>
      <c r="G207" s="45"/>
      <c r="H207" s="45"/>
      <c r="I207" s="45"/>
      <c r="J207" s="45"/>
      <c r="K207" s="46"/>
      <c r="L207" s="45"/>
      <c r="Q207" s="45"/>
      <c r="U207" s="45"/>
      <c r="Y207" s="45"/>
      <c r="Z207" s="45"/>
      <c r="AA207" s="45"/>
      <c r="AB207" s="45"/>
      <c r="AC207" s="45"/>
      <c r="AD207" s="45"/>
      <c r="AE207" s="45"/>
      <c r="AF207" s="45"/>
      <c r="AG207" s="45"/>
    </row>
    <row r="208" spans="1:33">
      <c r="A208" s="45"/>
      <c r="D208" s="45"/>
      <c r="E208" s="45"/>
      <c r="F208" s="45"/>
      <c r="G208" s="45"/>
      <c r="H208" s="45"/>
      <c r="I208" s="45"/>
      <c r="J208" s="45"/>
      <c r="K208" s="46"/>
      <c r="L208" s="45"/>
      <c r="Q208" s="45"/>
      <c r="U208" s="45"/>
      <c r="Y208" s="45"/>
      <c r="Z208" s="45"/>
      <c r="AA208" s="45"/>
      <c r="AB208" s="45"/>
      <c r="AC208" s="45"/>
      <c r="AD208" s="45"/>
      <c r="AE208" s="45"/>
      <c r="AF208" s="45"/>
      <c r="AG208" s="45"/>
    </row>
    <row r="209" spans="1:33">
      <c r="A209" s="45"/>
      <c r="D209" s="45"/>
      <c r="E209" s="45"/>
      <c r="F209" s="45"/>
      <c r="G209" s="45"/>
      <c r="H209" s="45"/>
      <c r="I209" s="45"/>
      <c r="J209" s="45"/>
      <c r="K209" s="46"/>
      <c r="L209" s="45"/>
      <c r="Q209" s="45"/>
      <c r="U209" s="45"/>
      <c r="Y209" s="45"/>
      <c r="Z209" s="45"/>
      <c r="AA209" s="45"/>
      <c r="AB209" s="45"/>
      <c r="AC209" s="45"/>
      <c r="AD209" s="45"/>
      <c r="AE209" s="45"/>
      <c r="AF209" s="45"/>
      <c r="AG209" s="45"/>
    </row>
    <row r="210" spans="1:33">
      <c r="A210" s="45"/>
      <c r="D210" s="45"/>
      <c r="E210" s="45"/>
      <c r="F210" s="45"/>
      <c r="G210" s="45"/>
      <c r="H210" s="45"/>
      <c r="I210" s="45"/>
      <c r="J210" s="45"/>
      <c r="K210" s="46"/>
      <c r="L210" s="45"/>
      <c r="Q210" s="45"/>
      <c r="U210" s="45"/>
      <c r="Y210" s="45"/>
      <c r="Z210" s="45"/>
      <c r="AA210" s="45"/>
      <c r="AB210" s="45"/>
      <c r="AC210" s="45"/>
      <c r="AD210" s="45"/>
      <c r="AE210" s="45"/>
      <c r="AF210" s="45"/>
      <c r="AG210" s="45"/>
    </row>
    <row r="211" spans="1:33">
      <c r="A211" s="45"/>
      <c r="D211" s="45"/>
      <c r="E211" s="45"/>
      <c r="F211" s="45"/>
      <c r="G211" s="45"/>
      <c r="H211" s="45"/>
      <c r="I211" s="45"/>
      <c r="J211" s="45"/>
      <c r="K211" s="46"/>
      <c r="L211" s="45"/>
      <c r="Q211" s="45"/>
      <c r="U211" s="45"/>
      <c r="Y211" s="45"/>
      <c r="Z211" s="45"/>
      <c r="AA211" s="45"/>
      <c r="AB211" s="45"/>
      <c r="AC211" s="45"/>
      <c r="AD211" s="45"/>
      <c r="AE211" s="45"/>
      <c r="AF211" s="45"/>
      <c r="AG211" s="45"/>
    </row>
    <row r="212" spans="1:33">
      <c r="A212" s="45"/>
      <c r="D212" s="45"/>
      <c r="E212" s="45"/>
      <c r="F212" s="45"/>
      <c r="G212" s="45"/>
      <c r="H212" s="45"/>
      <c r="I212" s="45"/>
      <c r="J212" s="45"/>
      <c r="K212" s="46"/>
      <c r="L212" s="45"/>
      <c r="Q212" s="45"/>
      <c r="U212" s="45"/>
      <c r="Y212" s="45"/>
      <c r="Z212" s="45"/>
      <c r="AA212" s="45"/>
      <c r="AB212" s="45"/>
      <c r="AC212" s="45"/>
      <c r="AD212" s="45"/>
      <c r="AE212" s="45"/>
      <c r="AF212" s="45"/>
      <c r="AG212" s="45"/>
    </row>
    <row r="213" spans="1:33">
      <c r="A213" s="45"/>
      <c r="D213" s="45"/>
      <c r="E213" s="45"/>
      <c r="F213" s="45"/>
      <c r="G213" s="45"/>
      <c r="H213" s="45"/>
      <c r="I213" s="45"/>
      <c r="J213" s="45"/>
      <c r="K213" s="46"/>
      <c r="L213" s="45"/>
      <c r="Q213" s="45"/>
      <c r="U213" s="45"/>
      <c r="Y213" s="45"/>
      <c r="Z213" s="45"/>
      <c r="AA213" s="45"/>
      <c r="AB213" s="45"/>
      <c r="AC213" s="45"/>
      <c r="AD213" s="45"/>
      <c r="AE213" s="45"/>
      <c r="AF213" s="45"/>
      <c r="AG213" s="45"/>
    </row>
    <row r="214" spans="1:33">
      <c r="A214" s="45"/>
      <c r="D214" s="45"/>
      <c r="E214" s="45"/>
      <c r="F214" s="45"/>
      <c r="G214" s="45"/>
      <c r="H214" s="45"/>
      <c r="I214" s="45"/>
      <c r="J214" s="45"/>
      <c r="K214" s="46"/>
      <c r="L214" s="45"/>
      <c r="Q214" s="45"/>
      <c r="U214" s="45"/>
      <c r="Y214" s="45"/>
      <c r="Z214" s="45"/>
      <c r="AA214" s="45"/>
      <c r="AB214" s="45"/>
      <c r="AC214" s="45"/>
      <c r="AD214" s="45"/>
      <c r="AE214" s="45"/>
      <c r="AF214" s="45"/>
      <c r="AG214" s="45"/>
    </row>
    <row r="215" spans="1:33">
      <c r="A215" s="45"/>
      <c r="D215" s="45"/>
      <c r="E215" s="45"/>
      <c r="F215" s="45"/>
      <c r="G215" s="45"/>
      <c r="H215" s="45"/>
      <c r="I215" s="45"/>
      <c r="J215" s="45"/>
      <c r="K215" s="46"/>
      <c r="L215" s="45"/>
      <c r="Q215" s="45"/>
      <c r="U215" s="45"/>
      <c r="Y215" s="45"/>
      <c r="Z215" s="45"/>
      <c r="AA215" s="45"/>
      <c r="AB215" s="45"/>
      <c r="AC215" s="45"/>
      <c r="AD215" s="45"/>
      <c r="AE215" s="45"/>
      <c r="AF215" s="45"/>
      <c r="AG215" s="45"/>
    </row>
    <row r="216" spans="1:33">
      <c r="A216" s="45"/>
      <c r="D216" s="45"/>
      <c r="E216" s="45"/>
      <c r="F216" s="45"/>
      <c r="G216" s="45"/>
      <c r="H216" s="45"/>
      <c r="I216" s="45"/>
      <c r="J216" s="45"/>
      <c r="K216" s="46"/>
      <c r="L216" s="45"/>
      <c r="Q216" s="45"/>
      <c r="U216" s="45"/>
      <c r="Y216" s="45"/>
      <c r="Z216" s="45"/>
      <c r="AA216" s="45"/>
      <c r="AB216" s="45"/>
      <c r="AC216" s="45"/>
      <c r="AD216" s="45"/>
      <c r="AE216" s="45"/>
      <c r="AF216" s="45"/>
      <c r="AG216" s="45"/>
    </row>
    <row r="217" spans="1:33">
      <c r="A217" s="45"/>
      <c r="D217" s="45"/>
      <c r="E217" s="45"/>
      <c r="F217" s="45"/>
      <c r="G217" s="45"/>
      <c r="H217" s="45"/>
      <c r="I217" s="45"/>
      <c r="J217" s="45"/>
      <c r="K217" s="46"/>
      <c r="L217" s="45"/>
      <c r="Q217" s="45"/>
      <c r="U217" s="45"/>
      <c r="Y217" s="45"/>
      <c r="Z217" s="45"/>
      <c r="AA217" s="45"/>
      <c r="AB217" s="45"/>
      <c r="AC217" s="45"/>
      <c r="AD217" s="45"/>
      <c r="AE217" s="45"/>
      <c r="AF217" s="45"/>
      <c r="AG217" s="45"/>
    </row>
    <row r="218" spans="1:33">
      <c r="A218" s="45"/>
      <c r="D218" s="45"/>
      <c r="E218" s="45"/>
      <c r="F218" s="45"/>
      <c r="G218" s="45"/>
      <c r="H218" s="45"/>
      <c r="I218" s="45"/>
      <c r="J218" s="45"/>
      <c r="K218" s="46"/>
      <c r="L218" s="45"/>
      <c r="Q218" s="45"/>
      <c r="U218" s="45"/>
      <c r="Y218" s="45"/>
      <c r="Z218" s="45"/>
      <c r="AA218" s="45"/>
      <c r="AB218" s="45"/>
      <c r="AC218" s="45"/>
      <c r="AD218" s="45"/>
      <c r="AE218" s="45"/>
      <c r="AF218" s="45"/>
      <c r="AG218" s="45"/>
    </row>
    <row r="219" spans="1:33">
      <c r="A219" s="45"/>
      <c r="D219" s="45"/>
      <c r="E219" s="45"/>
      <c r="F219" s="45"/>
      <c r="G219" s="45"/>
      <c r="H219" s="45"/>
      <c r="I219" s="45"/>
      <c r="J219" s="45"/>
      <c r="K219" s="46"/>
      <c r="L219" s="45"/>
      <c r="Q219" s="45"/>
      <c r="U219" s="45"/>
      <c r="Y219" s="45"/>
      <c r="Z219" s="45"/>
      <c r="AA219" s="45"/>
      <c r="AB219" s="45"/>
      <c r="AC219" s="45"/>
      <c r="AD219" s="45"/>
      <c r="AE219" s="45"/>
      <c r="AF219" s="45"/>
      <c r="AG219" s="45"/>
    </row>
    <row r="220" spans="1:33">
      <c r="A220" s="45"/>
      <c r="D220" s="45"/>
      <c r="E220" s="45"/>
      <c r="F220" s="45"/>
      <c r="G220" s="45"/>
      <c r="H220" s="45"/>
      <c r="I220" s="45"/>
      <c r="J220" s="45"/>
      <c r="K220" s="46"/>
      <c r="L220" s="45"/>
      <c r="Q220" s="45"/>
      <c r="U220" s="45"/>
      <c r="Y220" s="45"/>
      <c r="Z220" s="45"/>
      <c r="AA220" s="45"/>
      <c r="AB220" s="45"/>
      <c r="AC220" s="45"/>
      <c r="AD220" s="45"/>
      <c r="AE220" s="45"/>
      <c r="AF220" s="45"/>
      <c r="AG220" s="45"/>
    </row>
    <row r="221" spans="1:33">
      <c r="A221" s="45"/>
      <c r="D221" s="45"/>
      <c r="E221" s="45"/>
      <c r="F221" s="45"/>
      <c r="G221" s="45"/>
      <c r="H221" s="45"/>
      <c r="I221" s="45"/>
      <c r="J221" s="45"/>
      <c r="K221" s="46"/>
      <c r="L221" s="45"/>
      <c r="Q221" s="45"/>
      <c r="U221" s="45"/>
      <c r="Y221" s="45"/>
      <c r="Z221" s="45"/>
      <c r="AA221" s="45"/>
      <c r="AB221" s="45"/>
      <c r="AC221" s="45"/>
      <c r="AD221" s="45"/>
      <c r="AE221" s="45"/>
      <c r="AF221" s="45"/>
      <c r="AG221" s="45"/>
    </row>
    <row r="224" spans="1:33">
      <c r="A224" s="45"/>
      <c r="D224" s="45"/>
      <c r="E224" s="45"/>
      <c r="F224" s="45"/>
      <c r="G224" s="45"/>
      <c r="H224" s="45"/>
      <c r="I224" s="45"/>
      <c r="J224" s="45"/>
      <c r="L224" s="45"/>
      <c r="Q224" s="45"/>
      <c r="U224" s="45"/>
      <c r="Y224" s="45"/>
      <c r="Z224" s="45"/>
      <c r="AA224" s="45"/>
      <c r="AB224" s="45"/>
      <c r="AC224" s="45"/>
      <c r="AD224" s="45"/>
      <c r="AE224" s="45"/>
      <c r="AF224" s="45"/>
      <c r="AG224" s="45"/>
    </row>
    <row r="225" spans="1:33">
      <c r="A225" s="45"/>
      <c r="D225" s="45"/>
      <c r="E225" s="45"/>
      <c r="F225" s="45"/>
      <c r="G225" s="45"/>
      <c r="H225" s="45"/>
      <c r="I225" s="45"/>
      <c r="J225" s="45"/>
      <c r="L225" s="45"/>
      <c r="Q225" s="45"/>
      <c r="U225" s="45"/>
      <c r="Y225" s="45"/>
      <c r="Z225" s="45"/>
      <c r="AA225" s="45"/>
      <c r="AB225" s="45"/>
      <c r="AC225" s="45"/>
      <c r="AD225" s="45"/>
      <c r="AE225" s="45"/>
      <c r="AF225" s="45"/>
      <c r="AG225" s="45"/>
    </row>
    <row r="229" spans="1:33">
      <c r="A229" s="45"/>
      <c r="D229" s="45"/>
      <c r="E229" s="45"/>
      <c r="F229" s="45"/>
      <c r="G229" s="45"/>
      <c r="H229" s="45"/>
      <c r="I229" s="45"/>
      <c r="J229" s="45"/>
      <c r="L229" s="45"/>
      <c r="Q229" s="45"/>
      <c r="U229" s="45"/>
      <c r="Y229" s="45"/>
      <c r="Z229" s="45"/>
      <c r="AA229" s="45"/>
      <c r="AB229" s="45"/>
      <c r="AC229" s="45"/>
      <c r="AD229" s="45"/>
      <c r="AE229" s="45"/>
      <c r="AF229" s="45"/>
      <c r="AG229" s="45"/>
    </row>
    <row r="230" spans="1:33">
      <c r="A230" s="45"/>
      <c r="D230" s="45"/>
      <c r="E230" s="45"/>
      <c r="F230" s="45"/>
      <c r="G230" s="45"/>
      <c r="H230" s="45"/>
      <c r="I230" s="45"/>
      <c r="J230" s="45"/>
      <c r="L230" s="45"/>
      <c r="Q230" s="45"/>
      <c r="U230" s="45"/>
      <c r="Y230" s="45"/>
      <c r="Z230" s="45"/>
      <c r="AA230" s="45"/>
      <c r="AB230" s="45"/>
      <c r="AC230" s="45"/>
      <c r="AD230" s="45"/>
      <c r="AE230" s="45"/>
      <c r="AF230" s="45"/>
      <c r="AG230" s="45"/>
    </row>
    <row r="237" spans="1:33">
      <c r="A237" s="45"/>
      <c r="D237" s="45"/>
      <c r="E237" s="45"/>
      <c r="F237" s="45"/>
      <c r="G237" s="45"/>
      <c r="H237" s="45"/>
      <c r="I237" s="45"/>
      <c r="J237" s="45"/>
      <c r="L237" s="45"/>
      <c r="Q237" s="45"/>
      <c r="U237" s="45"/>
      <c r="Y237" s="45"/>
      <c r="Z237" s="45"/>
      <c r="AA237" s="45"/>
      <c r="AB237" s="45"/>
      <c r="AC237" s="45"/>
      <c r="AD237" s="45"/>
      <c r="AE237" s="45"/>
      <c r="AF237" s="45"/>
      <c r="AG237" s="45"/>
    </row>
    <row r="238" spans="1:33">
      <c r="A238" s="45"/>
      <c r="D238" s="45"/>
      <c r="E238" s="45"/>
      <c r="F238" s="45"/>
      <c r="G238" s="45"/>
      <c r="H238" s="45"/>
      <c r="I238" s="45"/>
      <c r="J238" s="45"/>
      <c r="L238" s="45"/>
      <c r="Q238" s="45"/>
      <c r="U238" s="45"/>
      <c r="Y238" s="45"/>
      <c r="Z238" s="45"/>
      <c r="AA238" s="45"/>
      <c r="AB238" s="45"/>
      <c r="AC238" s="45"/>
      <c r="AD238" s="45"/>
      <c r="AE238" s="45"/>
      <c r="AF238" s="45"/>
      <c r="AG238" s="45"/>
    </row>
    <row r="239" spans="1:33">
      <c r="A239" s="45"/>
      <c r="D239" s="45"/>
      <c r="E239" s="45"/>
      <c r="F239" s="45"/>
      <c r="G239" s="45"/>
      <c r="H239" s="45"/>
      <c r="I239" s="45"/>
      <c r="J239" s="45"/>
      <c r="L239" s="45"/>
      <c r="Q239" s="45"/>
      <c r="U239" s="45"/>
      <c r="Y239" s="45"/>
      <c r="Z239" s="45"/>
      <c r="AA239" s="45"/>
      <c r="AB239" s="45"/>
      <c r="AC239" s="45"/>
      <c r="AD239" s="45"/>
      <c r="AE239" s="45"/>
      <c r="AF239" s="45"/>
      <c r="AG239" s="45"/>
    </row>
    <row r="240" spans="1:33">
      <c r="A240" s="45"/>
      <c r="D240" s="45"/>
      <c r="E240" s="45"/>
      <c r="F240" s="45"/>
      <c r="G240" s="45"/>
      <c r="H240" s="45"/>
      <c r="I240" s="45"/>
      <c r="J240" s="45"/>
      <c r="L240" s="45"/>
      <c r="Q240" s="45"/>
      <c r="U240" s="45"/>
      <c r="Y240" s="45"/>
      <c r="Z240" s="45"/>
      <c r="AA240" s="45"/>
      <c r="AB240" s="45"/>
      <c r="AC240" s="45"/>
      <c r="AD240" s="45"/>
      <c r="AE240" s="45"/>
      <c r="AF240" s="45"/>
      <c r="AG240" s="45"/>
    </row>
    <row r="241" spans="1:33">
      <c r="A241" s="45"/>
      <c r="D241" s="45"/>
      <c r="E241" s="45"/>
      <c r="F241" s="45"/>
      <c r="G241" s="45"/>
      <c r="H241" s="45"/>
      <c r="I241" s="45"/>
      <c r="J241" s="45"/>
      <c r="L241" s="45"/>
      <c r="Q241" s="45"/>
      <c r="U241" s="45"/>
      <c r="Y241" s="45"/>
      <c r="Z241" s="45"/>
      <c r="AA241" s="45"/>
      <c r="AB241" s="45"/>
      <c r="AC241" s="45"/>
      <c r="AD241" s="45"/>
      <c r="AE241" s="45"/>
      <c r="AF241" s="45"/>
      <c r="AG241" s="45"/>
    </row>
    <row r="242" spans="1:33">
      <c r="A242" s="45"/>
      <c r="D242" s="45"/>
      <c r="E242" s="45"/>
      <c r="F242" s="45"/>
      <c r="G242" s="45"/>
      <c r="H242" s="45"/>
      <c r="I242" s="45"/>
      <c r="J242" s="45"/>
      <c r="L242" s="45"/>
      <c r="Q242" s="45"/>
      <c r="U242" s="45"/>
      <c r="Y242" s="45"/>
      <c r="Z242" s="45"/>
      <c r="AA242" s="45"/>
      <c r="AB242" s="45"/>
      <c r="AC242" s="45"/>
      <c r="AD242" s="45"/>
      <c r="AE242" s="45"/>
      <c r="AF242" s="45"/>
      <c r="AG242" s="45"/>
    </row>
    <row r="243" spans="1:33">
      <c r="A243" s="45"/>
      <c r="D243" s="45"/>
      <c r="E243" s="45"/>
      <c r="F243" s="45"/>
      <c r="G243" s="45"/>
      <c r="H243" s="45"/>
      <c r="I243" s="45"/>
      <c r="J243" s="45"/>
      <c r="L243" s="45"/>
      <c r="Q243" s="45"/>
      <c r="U243" s="45"/>
      <c r="Y243" s="45"/>
      <c r="Z243" s="45"/>
      <c r="AA243" s="45"/>
      <c r="AB243" s="45"/>
      <c r="AC243" s="45"/>
      <c r="AD243" s="45"/>
      <c r="AE243" s="45"/>
      <c r="AF243" s="45"/>
      <c r="AG243" s="45"/>
    </row>
    <row r="244" spans="1:33">
      <c r="A244" s="45"/>
      <c r="D244" s="45"/>
      <c r="E244" s="45"/>
      <c r="F244" s="45"/>
      <c r="G244" s="45"/>
      <c r="H244" s="45"/>
      <c r="I244" s="45"/>
      <c r="J244" s="45"/>
      <c r="L244" s="45"/>
      <c r="Q244" s="45"/>
      <c r="U244" s="45"/>
      <c r="Y244" s="45"/>
      <c r="Z244" s="45"/>
      <c r="AA244" s="45"/>
      <c r="AB244" s="45"/>
      <c r="AC244" s="45"/>
      <c r="AD244" s="45"/>
      <c r="AE244" s="45"/>
      <c r="AF244" s="45"/>
      <c r="AG244" s="45"/>
    </row>
    <row r="245" spans="1:33">
      <c r="A245" s="45"/>
      <c r="D245" s="45"/>
      <c r="E245" s="45"/>
      <c r="F245" s="45"/>
      <c r="G245" s="45"/>
      <c r="H245" s="45"/>
      <c r="I245" s="45"/>
      <c r="J245" s="45"/>
      <c r="L245" s="45"/>
      <c r="Q245" s="45"/>
      <c r="U245" s="45"/>
      <c r="Y245" s="45"/>
      <c r="Z245" s="45"/>
      <c r="AA245" s="45"/>
      <c r="AB245" s="45"/>
      <c r="AC245" s="45"/>
      <c r="AD245" s="45"/>
      <c r="AE245" s="45"/>
      <c r="AF245" s="45"/>
      <c r="AG245" s="45"/>
    </row>
    <row r="246" spans="1:33">
      <c r="A246" s="45"/>
      <c r="D246" s="45"/>
      <c r="E246" s="45"/>
      <c r="F246" s="45"/>
      <c r="G246" s="45"/>
      <c r="H246" s="45"/>
      <c r="I246" s="45"/>
      <c r="J246" s="45"/>
      <c r="L246" s="45"/>
      <c r="Q246" s="45"/>
      <c r="U246" s="45"/>
      <c r="Y246" s="45"/>
      <c r="Z246" s="45"/>
      <c r="AA246" s="45"/>
      <c r="AB246" s="45"/>
      <c r="AC246" s="45"/>
      <c r="AD246" s="45"/>
      <c r="AE246" s="45"/>
      <c r="AF246" s="45"/>
      <c r="AG246" s="45"/>
    </row>
    <row r="247" spans="1:33">
      <c r="A247" s="45"/>
      <c r="D247" s="45"/>
      <c r="E247" s="45"/>
      <c r="F247" s="45"/>
      <c r="G247" s="45"/>
      <c r="H247" s="45"/>
      <c r="I247" s="45"/>
      <c r="J247" s="45"/>
      <c r="L247" s="45"/>
      <c r="Q247" s="45"/>
      <c r="U247" s="45"/>
      <c r="Y247" s="45"/>
      <c r="Z247" s="45"/>
      <c r="AA247" s="45"/>
      <c r="AB247" s="45"/>
      <c r="AC247" s="45"/>
      <c r="AD247" s="45"/>
      <c r="AE247" s="45"/>
      <c r="AF247" s="45"/>
      <c r="AG247" s="45"/>
    </row>
    <row r="248" spans="1:33">
      <c r="A248" s="45"/>
      <c r="D248" s="45"/>
      <c r="E248" s="45"/>
      <c r="F248" s="45"/>
      <c r="G248" s="45"/>
      <c r="H248" s="45"/>
      <c r="I248" s="45"/>
      <c r="J248" s="45"/>
      <c r="L248" s="45"/>
      <c r="Q248" s="45"/>
      <c r="U248" s="45"/>
      <c r="Y248" s="45"/>
      <c r="Z248" s="45"/>
      <c r="AA248" s="45"/>
      <c r="AB248" s="45"/>
      <c r="AC248" s="45"/>
      <c r="AD248" s="45"/>
      <c r="AE248" s="45"/>
      <c r="AF248" s="45"/>
      <c r="AG248" s="45"/>
    </row>
    <row r="249" spans="1:33">
      <c r="A249" s="45"/>
      <c r="D249" s="45"/>
      <c r="E249" s="45"/>
      <c r="F249" s="45"/>
      <c r="G249" s="45"/>
      <c r="H249" s="45"/>
      <c r="I249" s="45"/>
      <c r="J249" s="45"/>
      <c r="L249" s="45"/>
      <c r="Q249" s="45"/>
      <c r="U249" s="45"/>
      <c r="Y249" s="45"/>
      <c r="Z249" s="45"/>
      <c r="AA249" s="45"/>
      <c r="AB249" s="45"/>
      <c r="AC249" s="45"/>
      <c r="AD249" s="45"/>
      <c r="AE249" s="45"/>
      <c r="AF249" s="45"/>
      <c r="AG249" s="45"/>
    </row>
    <row r="252" spans="1:33">
      <c r="A252" s="45"/>
      <c r="D252" s="45"/>
      <c r="E252" s="45"/>
      <c r="F252" s="45"/>
      <c r="G252" s="45"/>
      <c r="H252" s="45"/>
      <c r="I252" s="45"/>
      <c r="J252" s="45"/>
      <c r="L252" s="45"/>
      <c r="Q252" s="45"/>
      <c r="U252" s="45"/>
      <c r="Y252" s="45"/>
      <c r="Z252" s="45"/>
      <c r="AA252" s="45"/>
      <c r="AB252" s="45"/>
      <c r="AC252" s="45"/>
      <c r="AD252" s="45"/>
      <c r="AE252" s="45"/>
      <c r="AF252" s="45"/>
      <c r="AG252" s="45"/>
    </row>
    <row r="253" spans="1:33">
      <c r="A253" s="45"/>
      <c r="D253" s="45"/>
      <c r="E253" s="45"/>
      <c r="F253" s="45"/>
      <c r="G253" s="45"/>
      <c r="H253" s="45"/>
      <c r="I253" s="45"/>
      <c r="J253" s="45"/>
      <c r="L253" s="45"/>
      <c r="Q253" s="45"/>
      <c r="U253" s="45"/>
      <c r="Y253" s="45"/>
      <c r="Z253" s="45"/>
      <c r="AA253" s="45"/>
      <c r="AB253" s="45"/>
      <c r="AC253" s="45"/>
      <c r="AD253" s="45"/>
      <c r="AE253" s="45"/>
      <c r="AF253" s="45"/>
      <c r="AG253" s="45"/>
    </row>
    <row r="257" spans="1:33">
      <c r="A257" s="45"/>
      <c r="D257" s="45"/>
      <c r="E257" s="45"/>
      <c r="F257" s="45"/>
      <c r="G257" s="45"/>
      <c r="H257" s="45"/>
      <c r="I257" s="45"/>
      <c r="J257" s="45"/>
      <c r="L257" s="45"/>
      <c r="Q257" s="45"/>
      <c r="U257" s="45"/>
      <c r="Y257" s="45"/>
      <c r="Z257" s="45"/>
      <c r="AA257" s="45"/>
      <c r="AB257" s="45"/>
      <c r="AC257" s="45"/>
      <c r="AD257" s="45"/>
      <c r="AE257" s="45"/>
      <c r="AF257" s="45"/>
      <c r="AG257" s="45"/>
    </row>
    <row r="258" spans="1:33">
      <c r="A258" s="45"/>
      <c r="D258" s="45"/>
      <c r="E258" s="45"/>
      <c r="F258" s="45"/>
      <c r="G258" s="45"/>
      <c r="H258" s="45"/>
      <c r="I258" s="45"/>
      <c r="J258" s="45"/>
      <c r="L258" s="45"/>
      <c r="Q258" s="45"/>
      <c r="U258" s="45"/>
      <c r="Y258" s="45"/>
      <c r="Z258" s="45"/>
      <c r="AA258" s="45"/>
      <c r="AB258" s="45"/>
      <c r="AC258" s="45"/>
      <c r="AD258" s="45"/>
      <c r="AE258" s="45"/>
      <c r="AF258" s="45"/>
      <c r="AG258" s="45"/>
    </row>
  </sheetData>
  <mergeCells count="29">
    <mergeCell ref="Q10:Q11"/>
    <mergeCell ref="A8:A11"/>
    <mergeCell ref="B8:B11"/>
    <mergeCell ref="C8:C11"/>
    <mergeCell ref="D8:D11"/>
    <mergeCell ref="E8:E11"/>
    <mergeCell ref="F8:F11"/>
    <mergeCell ref="G8:G11"/>
    <mergeCell ref="H8:H11"/>
    <mergeCell ref="I8:I11"/>
    <mergeCell ref="J8:J11"/>
    <mergeCell ref="K8:O8"/>
    <mergeCell ref="P8:P11"/>
    <mergeCell ref="A3:AF3"/>
    <mergeCell ref="A4:AE4"/>
    <mergeCell ref="AE7:AF7"/>
    <mergeCell ref="Y8:AE9"/>
    <mergeCell ref="AF8:AF11"/>
    <mergeCell ref="Y10:Y11"/>
    <mergeCell ref="Z10:AE10"/>
    <mergeCell ref="U8:X9"/>
    <mergeCell ref="R10:T10"/>
    <mergeCell ref="Q8:T9"/>
    <mergeCell ref="U10:U11"/>
    <mergeCell ref="V10:X10"/>
    <mergeCell ref="K9:K11"/>
    <mergeCell ref="L9:O9"/>
    <mergeCell ref="L10:L11"/>
    <mergeCell ref="M10:O10"/>
  </mergeCells>
  <printOptions horizontalCentered="1"/>
  <pageMargins left="0.7" right="0.5" top="0.5" bottom="0.5" header="0.3" footer="0.3"/>
  <pageSetup paperSize="9" scale="35"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AH252"/>
  <sheetViews>
    <sheetView tabSelected="1" zoomScale="70" zoomScaleNormal="70" zoomScalePageLayoutView="90" workbookViewId="0">
      <selection activeCell="L16" sqref="L16"/>
    </sheetView>
  </sheetViews>
  <sheetFormatPr defaultColWidth="8.85546875" defaultRowHeight="16.5"/>
  <cols>
    <col min="1" max="1" width="7.5703125" style="138" customWidth="1"/>
    <col min="2" max="2" width="39.5703125" style="135" customWidth="1"/>
    <col min="3" max="3" width="13.42578125" style="138" customWidth="1"/>
    <col min="4" max="4" width="12.85546875" style="138" customWidth="1"/>
    <col min="5" max="5" width="9" style="138" customWidth="1"/>
    <col min="6" max="6" width="13" style="139" customWidth="1"/>
    <col min="7" max="7" width="11.140625" style="138" customWidth="1"/>
    <col min="8" max="8" width="12.5703125" style="138" customWidth="1"/>
    <col min="9" max="9" width="13.85546875" style="138" customWidth="1"/>
    <col min="10" max="10" width="14" style="135" customWidth="1"/>
    <col min="11" max="11" width="14.85546875" style="140" customWidth="1"/>
    <col min="12" max="13" width="14.42578125" style="135" customWidth="1"/>
    <col min="14" max="14" width="12.5703125" style="135" customWidth="1"/>
    <col min="15" max="15" width="13.42578125" style="135" customWidth="1"/>
    <col min="16" max="16" width="13.5703125" style="140" customWidth="1"/>
    <col min="17" max="17" width="11.85546875" style="135" customWidth="1"/>
    <col min="18" max="18" width="13.7109375" style="135" customWidth="1"/>
    <col min="19" max="19" width="12" style="135" customWidth="1"/>
    <col min="20" max="20" width="12.85546875" style="135" customWidth="1"/>
    <col min="21" max="21" width="12" style="135" customWidth="1"/>
    <col min="22" max="22" width="11.42578125" style="203" bestFit="1" customWidth="1"/>
    <col min="23" max="23" width="11.7109375" style="135" customWidth="1"/>
    <col min="24" max="24" width="12.5703125" style="135" customWidth="1"/>
    <col min="25" max="25" width="12.42578125" style="135" customWidth="1"/>
    <col min="26" max="26" width="11.42578125" style="141" bestFit="1" customWidth="1"/>
    <col min="27" max="34" width="11.85546875" style="134" customWidth="1"/>
    <col min="35" max="35" width="8.85546875" style="135" customWidth="1"/>
    <col min="36" max="16384" width="8.85546875" style="135"/>
  </cols>
  <sheetData>
    <row r="1" spans="1:34" ht="29.85" customHeight="1">
      <c r="A1" s="262" t="s">
        <v>650</v>
      </c>
      <c r="B1" s="262"/>
      <c r="U1" s="140" t="s">
        <v>651</v>
      </c>
      <c r="AA1" s="227"/>
      <c r="AB1" s="227"/>
      <c r="AC1" s="227"/>
      <c r="AD1" s="227"/>
      <c r="AE1" s="227"/>
      <c r="AF1" s="227"/>
      <c r="AG1" s="227"/>
      <c r="AH1" s="227"/>
    </row>
    <row r="2" spans="1:34" ht="20.25">
      <c r="A2" s="263"/>
      <c r="B2" s="263"/>
      <c r="C2" s="263"/>
      <c r="D2" s="263"/>
      <c r="E2" s="263"/>
      <c r="F2" s="263"/>
      <c r="G2" s="263"/>
      <c r="H2" s="263"/>
      <c r="I2" s="263"/>
      <c r="J2" s="263"/>
      <c r="K2" s="263"/>
      <c r="L2" s="263"/>
      <c r="M2" s="263"/>
      <c r="N2" s="263"/>
      <c r="O2" s="263"/>
      <c r="P2" s="263"/>
      <c r="Q2" s="263"/>
      <c r="R2" s="263"/>
      <c r="S2" s="263"/>
      <c r="T2" s="263"/>
      <c r="U2" s="263"/>
      <c r="V2" s="263"/>
      <c r="W2" s="204"/>
      <c r="X2" s="204"/>
      <c r="Y2" s="204"/>
      <c r="Z2" s="204"/>
      <c r="AA2" s="204"/>
      <c r="AB2" s="204"/>
      <c r="AC2" s="204"/>
      <c r="AD2" s="204"/>
      <c r="AE2" s="204"/>
      <c r="AF2" s="204"/>
      <c r="AG2" s="204"/>
    </row>
    <row r="3" spans="1:34" ht="20.25">
      <c r="A3" s="263" t="s">
        <v>378</v>
      </c>
      <c r="B3" s="263"/>
      <c r="C3" s="263"/>
      <c r="D3" s="263"/>
      <c r="E3" s="263"/>
      <c r="F3" s="263"/>
      <c r="G3" s="263"/>
      <c r="H3" s="263"/>
      <c r="I3" s="263"/>
      <c r="J3" s="263"/>
      <c r="K3" s="263"/>
      <c r="L3" s="263"/>
      <c r="M3" s="263"/>
      <c r="N3" s="263"/>
      <c r="O3" s="263"/>
      <c r="P3" s="263"/>
      <c r="Q3" s="263"/>
      <c r="R3" s="263"/>
      <c r="S3" s="263"/>
      <c r="T3" s="263"/>
      <c r="U3" s="263"/>
      <c r="V3" s="263"/>
      <c r="W3" s="204"/>
      <c r="X3" s="204"/>
      <c r="Y3" s="204"/>
      <c r="Z3" s="204"/>
      <c r="AA3" s="204"/>
      <c r="AB3" s="204"/>
      <c r="AC3" s="204"/>
      <c r="AD3" s="204"/>
      <c r="AE3" s="204"/>
      <c r="AF3" s="204"/>
      <c r="AG3" s="204"/>
    </row>
    <row r="4" spans="1:34" ht="20.25">
      <c r="A4" s="264" t="s">
        <v>652</v>
      </c>
      <c r="B4" s="264"/>
      <c r="C4" s="264"/>
      <c r="D4" s="264"/>
      <c r="E4" s="264"/>
      <c r="F4" s="264"/>
      <c r="G4" s="264"/>
      <c r="H4" s="264"/>
      <c r="I4" s="264"/>
      <c r="J4" s="264"/>
      <c r="K4" s="264"/>
      <c r="L4" s="264"/>
      <c r="M4" s="264"/>
      <c r="N4" s="264"/>
      <c r="O4" s="264"/>
      <c r="P4" s="264"/>
      <c r="Q4" s="264"/>
      <c r="R4" s="264"/>
      <c r="S4" s="264"/>
      <c r="T4" s="264"/>
      <c r="U4" s="264"/>
      <c r="V4" s="264"/>
      <c r="W4" s="136"/>
      <c r="X4" s="136"/>
      <c r="Y4" s="136"/>
      <c r="Z4" s="136"/>
      <c r="AA4" s="136"/>
      <c r="AB4" s="136"/>
      <c r="AC4" s="136"/>
      <c r="AD4" s="136"/>
      <c r="AE4" s="136"/>
      <c r="AF4" s="136"/>
      <c r="AG4" s="136"/>
    </row>
    <row r="5" spans="1:34">
      <c r="A5" s="137"/>
      <c r="B5" s="137"/>
      <c r="C5" s="137"/>
      <c r="D5" s="137"/>
      <c r="E5" s="137"/>
      <c r="F5" s="137"/>
      <c r="G5" s="137"/>
      <c r="H5" s="137"/>
      <c r="I5" s="137"/>
      <c r="J5" s="137"/>
      <c r="K5" s="137"/>
      <c r="L5" s="137"/>
      <c r="M5" s="137"/>
      <c r="N5" s="137"/>
      <c r="O5" s="137"/>
      <c r="P5" s="137"/>
      <c r="Q5" s="137"/>
      <c r="R5" s="137"/>
      <c r="S5" s="137"/>
      <c r="T5" s="137"/>
      <c r="U5" s="137"/>
      <c r="V5" s="137"/>
      <c r="W5" s="136"/>
      <c r="X5" s="136"/>
      <c r="Y5" s="136"/>
      <c r="Z5" s="136"/>
      <c r="AA5" s="136"/>
      <c r="AB5" s="136"/>
      <c r="AC5" s="136"/>
      <c r="AD5" s="136"/>
      <c r="AE5" s="136"/>
      <c r="AF5" s="136"/>
      <c r="AG5" s="136"/>
    </row>
    <row r="6" spans="1:34" ht="27.75" customHeight="1">
      <c r="L6" s="140"/>
      <c r="M6" s="140"/>
      <c r="N6" s="140"/>
      <c r="O6" s="140"/>
      <c r="Q6" s="140"/>
      <c r="R6" s="265" t="s">
        <v>268</v>
      </c>
      <c r="S6" s="265"/>
      <c r="T6" s="265"/>
      <c r="U6" s="265"/>
      <c r="V6" s="265"/>
      <c r="W6" s="140"/>
      <c r="X6" s="140"/>
      <c r="Y6" s="140"/>
      <c r="Z6" s="140"/>
      <c r="AA6" s="140"/>
      <c r="AB6" s="140"/>
      <c r="AC6" s="140"/>
      <c r="AD6" s="140"/>
      <c r="AE6" s="140"/>
      <c r="AF6" s="140"/>
      <c r="AG6" s="140"/>
    </row>
    <row r="7" spans="1:34" ht="28.5" customHeight="1">
      <c r="A7" s="242" t="s">
        <v>0</v>
      </c>
      <c r="B7" s="242" t="s">
        <v>7</v>
      </c>
      <c r="C7" s="243" t="s">
        <v>39</v>
      </c>
      <c r="D7" s="243" t="s">
        <v>177</v>
      </c>
      <c r="E7" s="243" t="s">
        <v>623</v>
      </c>
      <c r="F7" s="248" t="s">
        <v>624</v>
      </c>
      <c r="G7" s="243" t="s">
        <v>40</v>
      </c>
      <c r="H7" s="242" t="s">
        <v>625</v>
      </c>
      <c r="I7" s="242"/>
      <c r="J7" s="242"/>
      <c r="K7" s="243" t="s">
        <v>626</v>
      </c>
      <c r="L7" s="243" t="s">
        <v>627</v>
      </c>
      <c r="M7" s="255" t="s">
        <v>628</v>
      </c>
      <c r="N7" s="256"/>
      <c r="O7" s="255" t="s">
        <v>629</v>
      </c>
      <c r="P7" s="259"/>
      <c r="Q7" s="259"/>
      <c r="R7" s="259"/>
      <c r="S7" s="259"/>
      <c r="T7" s="224"/>
      <c r="U7" s="224"/>
      <c r="V7" s="242" t="s">
        <v>630</v>
      </c>
      <c r="AA7" s="226"/>
      <c r="AB7" s="226"/>
      <c r="AC7" s="142" t="e">
        <f>1464800-#REF!</f>
        <v>#REF!</v>
      </c>
      <c r="AD7" s="142" t="e">
        <f>400000-#REF!</f>
        <v>#REF!</v>
      </c>
      <c r="AE7" s="142" t="e">
        <f>1300000-#REF!</f>
        <v>#REF!</v>
      </c>
      <c r="AF7" s="241" t="s">
        <v>4</v>
      </c>
      <c r="AG7" s="241"/>
      <c r="AH7" s="226"/>
    </row>
    <row r="8" spans="1:34" ht="28.5" customHeight="1">
      <c r="A8" s="242"/>
      <c r="B8" s="242"/>
      <c r="C8" s="244"/>
      <c r="D8" s="244"/>
      <c r="E8" s="244"/>
      <c r="F8" s="249"/>
      <c r="G8" s="244"/>
      <c r="H8" s="242" t="s">
        <v>631</v>
      </c>
      <c r="I8" s="242" t="s">
        <v>632</v>
      </c>
      <c r="J8" s="242"/>
      <c r="K8" s="244"/>
      <c r="L8" s="244"/>
      <c r="M8" s="257"/>
      <c r="N8" s="258"/>
      <c r="O8" s="260"/>
      <c r="P8" s="261"/>
      <c r="Q8" s="261"/>
      <c r="R8" s="261"/>
      <c r="S8" s="261"/>
      <c r="T8" s="225"/>
      <c r="U8" s="225"/>
      <c r="V8" s="242"/>
      <c r="Z8" s="135"/>
      <c r="AA8" s="135"/>
      <c r="AB8" s="135"/>
      <c r="AC8" s="135"/>
      <c r="AD8" s="135"/>
      <c r="AE8" s="135"/>
      <c r="AF8" s="135"/>
      <c r="AG8" s="135"/>
      <c r="AH8" s="135"/>
    </row>
    <row r="9" spans="1:34" ht="28.5" customHeight="1">
      <c r="A9" s="242"/>
      <c r="B9" s="242"/>
      <c r="C9" s="244"/>
      <c r="D9" s="244"/>
      <c r="E9" s="244"/>
      <c r="F9" s="249"/>
      <c r="G9" s="244"/>
      <c r="H9" s="242"/>
      <c r="I9" s="243" t="s">
        <v>10</v>
      </c>
      <c r="J9" s="243" t="s">
        <v>379</v>
      </c>
      <c r="K9" s="244"/>
      <c r="L9" s="244"/>
      <c r="M9" s="243" t="s">
        <v>10</v>
      </c>
      <c r="N9" s="243" t="s">
        <v>379</v>
      </c>
      <c r="O9" s="251" t="s">
        <v>633</v>
      </c>
      <c r="P9" s="252" t="s">
        <v>634</v>
      </c>
      <c r="Q9" s="253"/>
      <c r="R9" s="253"/>
      <c r="S9" s="253"/>
      <c r="T9" s="253"/>
      <c r="U9" s="254"/>
      <c r="V9" s="242"/>
      <c r="Z9" s="135"/>
      <c r="AA9" s="135"/>
      <c r="AB9" s="135"/>
      <c r="AC9" s="135"/>
      <c r="AD9" s="135"/>
      <c r="AE9" s="135"/>
      <c r="AF9" s="135"/>
      <c r="AG9" s="135"/>
      <c r="AH9" s="135"/>
    </row>
    <row r="10" spans="1:34" ht="28.5" customHeight="1">
      <c r="A10" s="242"/>
      <c r="B10" s="242"/>
      <c r="C10" s="244"/>
      <c r="D10" s="244"/>
      <c r="E10" s="244"/>
      <c r="F10" s="249"/>
      <c r="G10" s="244"/>
      <c r="H10" s="242"/>
      <c r="I10" s="244"/>
      <c r="J10" s="246"/>
      <c r="K10" s="244"/>
      <c r="L10" s="244"/>
      <c r="M10" s="244"/>
      <c r="N10" s="246"/>
      <c r="O10" s="251"/>
      <c r="P10" s="242" t="s">
        <v>635</v>
      </c>
      <c r="Q10" s="242" t="s">
        <v>636</v>
      </c>
      <c r="R10" s="242" t="s">
        <v>637</v>
      </c>
      <c r="S10" s="242" t="s">
        <v>642</v>
      </c>
      <c r="T10" s="243" t="s">
        <v>44</v>
      </c>
      <c r="U10" s="243" t="s">
        <v>45</v>
      </c>
      <c r="V10" s="242"/>
      <c r="AA10" s="226"/>
      <c r="AB10" s="226"/>
      <c r="AC10" s="226"/>
      <c r="AD10" s="226"/>
      <c r="AE10" s="226"/>
      <c r="AF10" s="226"/>
      <c r="AG10" s="226"/>
      <c r="AH10" s="226"/>
    </row>
    <row r="11" spans="1:34" ht="48.95" customHeight="1">
      <c r="A11" s="242"/>
      <c r="B11" s="242"/>
      <c r="C11" s="245"/>
      <c r="D11" s="245"/>
      <c r="E11" s="245"/>
      <c r="F11" s="250"/>
      <c r="G11" s="245"/>
      <c r="H11" s="242"/>
      <c r="I11" s="245"/>
      <c r="J11" s="247"/>
      <c r="K11" s="245"/>
      <c r="L11" s="245"/>
      <c r="M11" s="245"/>
      <c r="N11" s="247"/>
      <c r="O11" s="251"/>
      <c r="P11" s="242"/>
      <c r="Q11" s="242"/>
      <c r="R11" s="242"/>
      <c r="S11" s="242"/>
      <c r="T11" s="245"/>
      <c r="U11" s="245"/>
      <c r="V11" s="242"/>
      <c r="AA11" s="226"/>
      <c r="AB11" s="226"/>
      <c r="AC11" s="226"/>
      <c r="AD11" s="226"/>
      <c r="AE11" s="226"/>
      <c r="AF11" s="226"/>
      <c r="AG11" s="226"/>
      <c r="AH11" s="226"/>
    </row>
    <row r="12" spans="1:34" ht="23.25" customHeight="1">
      <c r="A12" s="143"/>
      <c r="B12" s="144" t="s">
        <v>286</v>
      </c>
      <c r="C12" s="144"/>
      <c r="D12" s="145"/>
      <c r="E12" s="144"/>
      <c r="F12" s="146"/>
      <c r="G12" s="144"/>
      <c r="H12" s="147"/>
      <c r="I12" s="148">
        <f t="shared" ref="I12:S12" si="0">I13+I14+I17+I15</f>
        <v>23762120.418483999</v>
      </c>
      <c r="J12" s="148">
        <f t="shared" si="0"/>
        <v>11265929.418483999</v>
      </c>
      <c r="K12" s="148">
        <f t="shared" si="0"/>
        <v>15926616</v>
      </c>
      <c r="L12" s="148">
        <f t="shared" si="0"/>
        <v>8334938</v>
      </c>
      <c r="M12" s="148">
        <f t="shared" si="0"/>
        <v>12315585</v>
      </c>
      <c r="N12" s="148">
        <f t="shared" si="0"/>
        <v>6056366</v>
      </c>
      <c r="O12" s="148">
        <f>O13+O14+O17+O15+O16</f>
        <v>6401093</v>
      </c>
      <c r="P12" s="148">
        <f t="shared" si="0"/>
        <v>1464800</v>
      </c>
      <c r="Q12" s="148">
        <f t="shared" si="0"/>
        <v>700000</v>
      </c>
      <c r="R12" s="148">
        <f t="shared" si="0"/>
        <v>1390000</v>
      </c>
      <c r="S12" s="148">
        <f t="shared" si="0"/>
        <v>733700</v>
      </c>
      <c r="T12" s="148">
        <f>T13+T14+T17+T15+T16</f>
        <v>1386600</v>
      </c>
      <c r="U12" s="148">
        <f>U13+U14+U17+U15+U16</f>
        <v>725993</v>
      </c>
      <c r="V12" s="149"/>
      <c r="Z12" s="135"/>
      <c r="AA12" s="135"/>
      <c r="AB12" s="135"/>
      <c r="AC12" s="135"/>
      <c r="AD12" s="135"/>
      <c r="AE12" s="135"/>
      <c r="AF12" s="135"/>
      <c r="AG12" s="135"/>
      <c r="AH12" s="135"/>
    </row>
    <row r="13" spans="1:34" ht="24.75" customHeight="1">
      <c r="A13" s="144" t="s">
        <v>73</v>
      </c>
      <c r="B13" s="145" t="s">
        <v>51</v>
      </c>
      <c r="C13" s="144"/>
      <c r="D13" s="145"/>
      <c r="E13" s="144"/>
      <c r="F13" s="146"/>
      <c r="G13" s="144"/>
      <c r="H13" s="144"/>
      <c r="I13" s="150"/>
      <c r="J13" s="150"/>
      <c r="K13" s="150">
        <v>225000</v>
      </c>
      <c r="L13" s="148">
        <f>105000+30000+30000+30000</f>
        <v>195000</v>
      </c>
      <c r="M13" s="148">
        <f t="shared" ref="M13:N13" si="1">105000+30000+30000+30000</f>
        <v>195000</v>
      </c>
      <c r="N13" s="148">
        <f t="shared" si="1"/>
        <v>195000</v>
      </c>
      <c r="O13" s="151">
        <f>SUM(P13:S13)</f>
        <v>30000</v>
      </c>
      <c r="P13" s="152"/>
      <c r="Q13" s="152">
        <v>30000</v>
      </c>
      <c r="R13" s="152"/>
      <c r="S13" s="152"/>
      <c r="T13" s="152"/>
      <c r="U13" s="152"/>
      <c r="V13" s="149"/>
      <c r="Z13" s="135"/>
      <c r="AA13" s="135"/>
      <c r="AB13" s="135"/>
      <c r="AC13" s="135"/>
      <c r="AD13" s="135"/>
      <c r="AE13" s="135"/>
      <c r="AF13" s="135"/>
      <c r="AG13" s="135"/>
      <c r="AH13" s="135"/>
    </row>
    <row r="14" spans="1:34" ht="42.75" customHeight="1">
      <c r="A14" s="153" t="s">
        <v>60</v>
      </c>
      <c r="B14" s="154" t="s">
        <v>350</v>
      </c>
      <c r="C14" s="153"/>
      <c r="D14" s="154"/>
      <c r="E14" s="153"/>
      <c r="F14" s="155"/>
      <c r="G14" s="153"/>
      <c r="H14" s="153"/>
      <c r="I14" s="156"/>
      <c r="J14" s="156"/>
      <c r="K14" s="156">
        <f>111140+20000</f>
        <v>131140</v>
      </c>
      <c r="L14" s="151">
        <v>81060</v>
      </c>
      <c r="M14" s="151">
        <v>81060</v>
      </c>
      <c r="N14" s="151">
        <v>81060</v>
      </c>
      <c r="O14" s="151">
        <f>SUM(P14:S14)</f>
        <v>50080</v>
      </c>
      <c r="P14" s="151">
        <v>50080</v>
      </c>
      <c r="Q14" s="151"/>
      <c r="R14" s="151"/>
      <c r="S14" s="151"/>
      <c r="T14" s="151"/>
      <c r="U14" s="151"/>
      <c r="V14" s="157"/>
      <c r="AA14" s="226"/>
      <c r="AB14" s="226"/>
      <c r="AC14" s="226"/>
      <c r="AD14" s="226"/>
      <c r="AE14" s="226"/>
      <c r="AF14" s="226"/>
      <c r="AG14" s="226"/>
      <c r="AH14" s="226"/>
    </row>
    <row r="15" spans="1:34" ht="66" hidden="1">
      <c r="A15" s="153" t="s">
        <v>67</v>
      </c>
      <c r="B15" s="154" t="s">
        <v>331</v>
      </c>
      <c r="C15" s="153"/>
      <c r="D15" s="154"/>
      <c r="E15" s="153"/>
      <c r="F15" s="155"/>
      <c r="G15" s="153"/>
      <c r="H15" s="153"/>
      <c r="I15" s="156"/>
      <c r="J15" s="156"/>
      <c r="K15" s="156"/>
      <c r="L15" s="151"/>
      <c r="M15" s="151"/>
      <c r="N15" s="151"/>
      <c r="O15" s="151">
        <f>SUM(P15:S15)</f>
        <v>0</v>
      </c>
      <c r="P15" s="151"/>
      <c r="Q15" s="151"/>
      <c r="R15" s="151"/>
      <c r="S15" s="151"/>
      <c r="T15" s="151"/>
      <c r="U15" s="151"/>
      <c r="V15" s="157"/>
      <c r="AA15" s="226"/>
      <c r="AB15" s="226"/>
      <c r="AC15" s="226"/>
      <c r="AD15" s="226"/>
      <c r="AE15" s="226"/>
      <c r="AF15" s="226"/>
      <c r="AG15" s="226"/>
      <c r="AH15" s="226"/>
    </row>
    <row r="16" spans="1:34" ht="43.5" customHeight="1">
      <c r="A16" s="144" t="s">
        <v>67</v>
      </c>
      <c r="B16" s="154" t="s">
        <v>643</v>
      </c>
      <c r="C16" s="153"/>
      <c r="D16" s="154"/>
      <c r="E16" s="153"/>
      <c r="F16" s="155"/>
      <c r="G16" s="153"/>
      <c r="H16" s="153"/>
      <c r="I16" s="156"/>
      <c r="J16" s="156"/>
      <c r="K16" s="156"/>
      <c r="L16" s="151"/>
      <c r="M16" s="151"/>
      <c r="N16" s="151"/>
      <c r="O16" s="151">
        <f>SUM(P16:U16)</f>
        <v>2112593</v>
      </c>
      <c r="P16" s="151"/>
      <c r="Q16" s="151"/>
      <c r="R16" s="151"/>
      <c r="S16" s="151"/>
      <c r="T16" s="151">
        <v>1386600</v>
      </c>
      <c r="U16" s="151">
        <v>725993</v>
      </c>
      <c r="V16" s="157"/>
      <c r="AA16" s="226"/>
      <c r="AB16" s="226"/>
      <c r="AC16" s="226"/>
      <c r="AD16" s="226"/>
      <c r="AE16" s="226"/>
      <c r="AF16" s="226"/>
      <c r="AG16" s="226"/>
      <c r="AH16" s="226"/>
    </row>
    <row r="17" spans="1:34" ht="41.25" customHeight="1">
      <c r="A17" s="144" t="s">
        <v>380</v>
      </c>
      <c r="B17" s="145" t="s">
        <v>381</v>
      </c>
      <c r="C17" s="144"/>
      <c r="D17" s="145"/>
      <c r="E17" s="144"/>
      <c r="F17" s="146"/>
      <c r="G17" s="144"/>
      <c r="H17" s="144"/>
      <c r="I17" s="148">
        <f t="shared" ref="I17:Q17" si="2">I18+I187</f>
        <v>23762120.418483999</v>
      </c>
      <c r="J17" s="148">
        <f t="shared" si="2"/>
        <v>11265929.418483999</v>
      </c>
      <c r="K17" s="148">
        <f t="shared" si="2"/>
        <v>15570476</v>
      </c>
      <c r="L17" s="148">
        <f t="shared" si="2"/>
        <v>8058878</v>
      </c>
      <c r="M17" s="148">
        <f t="shared" si="2"/>
        <v>12039525</v>
      </c>
      <c r="N17" s="148">
        <f t="shared" si="2"/>
        <v>5780306</v>
      </c>
      <c r="O17" s="151">
        <f t="shared" si="2"/>
        <v>4208420</v>
      </c>
      <c r="P17" s="148">
        <f t="shared" si="2"/>
        <v>1414720</v>
      </c>
      <c r="Q17" s="148">
        <f t="shared" si="2"/>
        <v>670000</v>
      </c>
      <c r="R17" s="148">
        <f>R18+R187</f>
        <v>1390000</v>
      </c>
      <c r="S17" s="148">
        <f>S18+S187</f>
        <v>733700</v>
      </c>
      <c r="T17" s="148"/>
      <c r="U17" s="148"/>
      <c r="V17" s="158"/>
      <c r="AA17" s="226"/>
      <c r="AB17" s="226"/>
      <c r="AC17" s="226"/>
      <c r="AD17" s="226"/>
      <c r="AE17" s="226"/>
      <c r="AF17" s="226"/>
      <c r="AG17" s="226"/>
      <c r="AH17" s="226"/>
    </row>
    <row r="18" spans="1:34" ht="27.75" customHeight="1">
      <c r="A18" s="144" t="s">
        <v>1</v>
      </c>
      <c r="B18" s="145" t="s">
        <v>58</v>
      </c>
      <c r="C18" s="144"/>
      <c r="D18" s="145"/>
      <c r="E18" s="144"/>
      <c r="F18" s="146"/>
      <c r="G18" s="144"/>
      <c r="H18" s="144"/>
      <c r="I18" s="151">
        <f>I19+I37+I49+I52+I62+I74+I77+I82+I89+I92+I106+I112+I118+I128+I137+I141+I150+I153+I160+I168+I173+I178+I98</f>
        <v>21322164.318999998</v>
      </c>
      <c r="J18" s="151">
        <f t="shared" ref="J18:S18" si="3">J19+J37+J49+J52+J62+J74+J77+J82+J89+J92+J106+J112+J118+J128+J137+J141+J150+J153+J160+J168+J173+J178+J98</f>
        <v>8908973.3189999983</v>
      </c>
      <c r="K18" s="151">
        <f t="shared" si="3"/>
        <v>9516427</v>
      </c>
      <c r="L18" s="151">
        <f t="shared" si="3"/>
        <v>4109267</v>
      </c>
      <c r="M18" s="151">
        <f t="shared" si="3"/>
        <v>10867855</v>
      </c>
      <c r="N18" s="151">
        <f t="shared" si="3"/>
        <v>4673876</v>
      </c>
      <c r="O18" s="151">
        <f>O19+O37+O49+O52+O62+O74+O77+O82+O89+O92+O106+O112+O118+O128+O137+O141+O150+O153+O160+O168+O173+O178+O98+O183</f>
        <v>2437140</v>
      </c>
      <c r="P18" s="151">
        <f t="shared" si="3"/>
        <v>593828</v>
      </c>
      <c r="Q18" s="151">
        <f>Q19+Q37+Q49+Q52+Q62+Q74+Q77+Q82+Q89+Q92+Q106+Q112+Q118+Q128+Q137+Q141+Q150+Q153+Q160+Q168+Q173+Q178+Q98+Q183</f>
        <v>344490</v>
      </c>
      <c r="R18" s="151">
        <f t="shared" si="3"/>
        <v>765122</v>
      </c>
      <c r="S18" s="151">
        <f t="shared" si="3"/>
        <v>733700</v>
      </c>
      <c r="T18" s="151"/>
      <c r="U18" s="151"/>
      <c r="V18" s="158"/>
      <c r="Z18" s="135"/>
      <c r="AA18" s="135"/>
      <c r="AB18" s="135"/>
      <c r="AC18" s="135"/>
      <c r="AD18" s="135"/>
      <c r="AE18" s="135"/>
      <c r="AF18" s="135"/>
      <c r="AG18" s="135"/>
      <c r="AH18" s="135"/>
    </row>
    <row r="19" spans="1:34" ht="39.200000000000003" customHeight="1">
      <c r="A19" s="159" t="s">
        <v>5</v>
      </c>
      <c r="B19" s="160" t="s">
        <v>382</v>
      </c>
      <c r="C19" s="159"/>
      <c r="D19" s="160"/>
      <c r="E19" s="159"/>
      <c r="F19" s="161"/>
      <c r="G19" s="159"/>
      <c r="H19" s="159"/>
      <c r="I19" s="162">
        <f t="shared" ref="I19:S19" si="4">I20+I27</f>
        <v>722736.34</v>
      </c>
      <c r="J19" s="162">
        <f t="shared" si="4"/>
        <v>622736.34</v>
      </c>
      <c r="K19" s="162">
        <f t="shared" si="4"/>
        <v>548756</v>
      </c>
      <c r="L19" s="162">
        <f t="shared" si="4"/>
        <v>387701</v>
      </c>
      <c r="M19" s="162">
        <f t="shared" si="4"/>
        <v>472766</v>
      </c>
      <c r="N19" s="162">
        <f t="shared" si="4"/>
        <v>434766</v>
      </c>
      <c r="O19" s="163">
        <f t="shared" si="4"/>
        <v>112451</v>
      </c>
      <c r="P19" s="162">
        <f t="shared" si="4"/>
        <v>1723</v>
      </c>
      <c r="Q19" s="162">
        <f t="shared" si="4"/>
        <v>55480</v>
      </c>
      <c r="R19" s="162">
        <f t="shared" si="4"/>
        <v>55248</v>
      </c>
      <c r="S19" s="162">
        <f t="shared" si="4"/>
        <v>0</v>
      </c>
      <c r="T19" s="162"/>
      <c r="U19" s="162"/>
      <c r="V19" s="164"/>
      <c r="Z19" s="135"/>
      <c r="AA19" s="135"/>
      <c r="AB19" s="135"/>
      <c r="AC19" s="135"/>
      <c r="AD19" s="135"/>
      <c r="AE19" s="135"/>
      <c r="AF19" s="135"/>
      <c r="AG19" s="135"/>
      <c r="AH19" s="135"/>
    </row>
    <row r="20" spans="1:34" ht="44.45" customHeight="1">
      <c r="A20" s="144" t="s">
        <v>73</v>
      </c>
      <c r="B20" s="145" t="s">
        <v>383</v>
      </c>
      <c r="C20" s="144"/>
      <c r="D20" s="145"/>
      <c r="E20" s="144"/>
      <c r="F20" s="146"/>
      <c r="G20" s="144"/>
      <c r="H20" s="144"/>
      <c r="I20" s="148">
        <f t="shared" ref="I20:S20" si="5">SUM(I21:I26)</f>
        <v>251316.345</v>
      </c>
      <c r="J20" s="148">
        <f t="shared" si="5"/>
        <v>251316.345</v>
      </c>
      <c r="K20" s="148">
        <f t="shared" si="5"/>
        <v>192002</v>
      </c>
      <c r="L20" s="148">
        <f t="shared" si="5"/>
        <v>171100</v>
      </c>
      <c r="M20" s="148">
        <f t="shared" si="5"/>
        <v>218165</v>
      </c>
      <c r="N20" s="148">
        <f t="shared" si="5"/>
        <v>218165</v>
      </c>
      <c r="O20" s="151">
        <f t="shared" si="5"/>
        <v>10052</v>
      </c>
      <c r="P20" s="148">
        <f t="shared" si="5"/>
        <v>303</v>
      </c>
      <c r="Q20" s="148">
        <f t="shared" si="5"/>
        <v>358</v>
      </c>
      <c r="R20" s="148">
        <f t="shared" si="5"/>
        <v>9391</v>
      </c>
      <c r="S20" s="148">
        <f t="shared" si="5"/>
        <v>0</v>
      </c>
      <c r="T20" s="148"/>
      <c r="U20" s="148"/>
      <c r="V20" s="165"/>
      <c r="AA20" s="226"/>
      <c r="AB20" s="226"/>
      <c r="AC20" s="226"/>
      <c r="AD20" s="226"/>
      <c r="AE20" s="226"/>
      <c r="AF20" s="226"/>
      <c r="AG20" s="226"/>
      <c r="AH20" s="226"/>
    </row>
    <row r="21" spans="1:34" ht="66">
      <c r="A21" s="166">
        <v>1</v>
      </c>
      <c r="B21" s="167" t="s">
        <v>121</v>
      </c>
      <c r="C21" s="166" t="s">
        <v>29</v>
      </c>
      <c r="D21" s="166" t="s">
        <v>181</v>
      </c>
      <c r="E21" s="166" t="s">
        <v>2</v>
      </c>
      <c r="F21" s="168">
        <v>7467957</v>
      </c>
      <c r="G21" s="166" t="s">
        <v>494</v>
      </c>
      <c r="H21" s="166" t="s">
        <v>122</v>
      </c>
      <c r="I21" s="169">
        <v>106848</v>
      </c>
      <c r="J21" s="169">
        <v>106848</v>
      </c>
      <c r="K21" s="169">
        <v>98198</v>
      </c>
      <c r="L21" s="170">
        <f>5000+31382+32000+5000+10000</f>
        <v>83382</v>
      </c>
      <c r="M21" s="170">
        <v>88162</v>
      </c>
      <c r="N21" s="170">
        <v>88162</v>
      </c>
      <c r="O21" s="151">
        <f t="shared" ref="O21:O26" si="6">SUM(P21:S21)</f>
        <v>6500</v>
      </c>
      <c r="P21" s="170"/>
      <c r="Q21" s="170"/>
      <c r="R21" s="170">
        <v>6500</v>
      </c>
      <c r="S21" s="170"/>
      <c r="T21" s="170"/>
      <c r="U21" s="170"/>
      <c r="V21" s="165"/>
      <c r="AA21" s="226"/>
      <c r="AB21" s="226"/>
      <c r="AC21" s="226"/>
      <c r="AD21" s="226"/>
      <c r="AE21" s="226"/>
      <c r="AF21" s="226"/>
      <c r="AG21" s="226"/>
      <c r="AH21" s="226"/>
    </row>
    <row r="22" spans="1:34" ht="66">
      <c r="A22" s="166">
        <v>2</v>
      </c>
      <c r="B22" s="167" t="s">
        <v>384</v>
      </c>
      <c r="C22" s="166" t="s">
        <v>32</v>
      </c>
      <c r="D22" s="166" t="s">
        <v>181</v>
      </c>
      <c r="E22" s="166" t="s">
        <v>2</v>
      </c>
      <c r="F22" s="168">
        <v>7559186</v>
      </c>
      <c r="G22" s="166" t="s">
        <v>25</v>
      </c>
      <c r="H22" s="166" t="s">
        <v>495</v>
      </c>
      <c r="I22" s="169">
        <v>18881</v>
      </c>
      <c r="J22" s="169">
        <v>18881</v>
      </c>
      <c r="K22" s="170">
        <v>17000</v>
      </c>
      <c r="L22" s="170">
        <v>15400</v>
      </c>
      <c r="M22" s="170">
        <v>15400</v>
      </c>
      <c r="N22" s="170">
        <v>15400</v>
      </c>
      <c r="O22" s="151">
        <f t="shared" si="6"/>
        <v>196</v>
      </c>
      <c r="P22" s="170"/>
      <c r="Q22" s="170"/>
      <c r="R22" s="170">
        <v>196</v>
      </c>
      <c r="S22" s="170"/>
      <c r="T22" s="170"/>
      <c r="U22" s="170"/>
      <c r="V22" s="171"/>
      <c r="AA22" s="226"/>
      <c r="AB22" s="226"/>
      <c r="AC22" s="226"/>
      <c r="AD22" s="226"/>
      <c r="AE22" s="226"/>
      <c r="AF22" s="226"/>
      <c r="AG22" s="226"/>
      <c r="AH22" s="226"/>
    </row>
    <row r="23" spans="1:34" ht="82.5">
      <c r="A23" s="166">
        <v>3</v>
      </c>
      <c r="B23" s="167" t="s">
        <v>385</v>
      </c>
      <c r="C23" s="166" t="s">
        <v>17</v>
      </c>
      <c r="D23" s="166" t="s">
        <v>181</v>
      </c>
      <c r="E23" s="166" t="s">
        <v>3</v>
      </c>
      <c r="F23" s="168">
        <v>7545451</v>
      </c>
      <c r="G23" s="166" t="s">
        <v>25</v>
      </c>
      <c r="H23" s="166" t="s">
        <v>496</v>
      </c>
      <c r="I23" s="169">
        <v>5150</v>
      </c>
      <c r="J23" s="169">
        <v>5150</v>
      </c>
      <c r="K23" s="170">
        <f>4900+15</f>
        <v>4915</v>
      </c>
      <c r="L23" s="170">
        <v>4805</v>
      </c>
      <c r="M23" s="170">
        <v>4805</v>
      </c>
      <c r="N23" s="170">
        <v>4805</v>
      </c>
      <c r="O23" s="151">
        <f t="shared" si="6"/>
        <v>60</v>
      </c>
      <c r="P23" s="170">
        <v>60</v>
      </c>
      <c r="Q23" s="170"/>
      <c r="R23" s="170"/>
      <c r="S23" s="170"/>
      <c r="T23" s="170"/>
      <c r="U23" s="170"/>
      <c r="V23" s="171"/>
      <c r="AA23" s="226"/>
      <c r="AB23" s="226"/>
      <c r="AC23" s="226"/>
      <c r="AD23" s="226"/>
      <c r="AE23" s="226"/>
      <c r="AF23" s="226"/>
      <c r="AG23" s="226"/>
      <c r="AH23" s="226"/>
    </row>
    <row r="24" spans="1:34" ht="165">
      <c r="A24" s="166">
        <v>4</v>
      </c>
      <c r="B24" s="167" t="s">
        <v>386</v>
      </c>
      <c r="C24" s="166" t="s">
        <v>17</v>
      </c>
      <c r="D24" s="166" t="s">
        <v>181</v>
      </c>
      <c r="E24" s="166" t="s">
        <v>2</v>
      </c>
      <c r="F24" s="168">
        <v>7466191</v>
      </c>
      <c r="G24" s="166" t="s">
        <v>315</v>
      </c>
      <c r="H24" s="166" t="s">
        <v>497</v>
      </c>
      <c r="I24" s="169">
        <v>73311</v>
      </c>
      <c r="J24" s="169">
        <v>73311</v>
      </c>
      <c r="K24" s="170">
        <v>26600</v>
      </c>
      <c r="L24" s="170">
        <f>24831+481</f>
        <v>25312</v>
      </c>
      <c r="M24" s="170">
        <f>67116+481</f>
        <v>67597</v>
      </c>
      <c r="N24" s="170">
        <f>67116+481</f>
        <v>67597</v>
      </c>
      <c r="O24" s="151">
        <f t="shared" si="6"/>
        <v>358</v>
      </c>
      <c r="P24" s="170"/>
      <c r="Q24" s="170">
        <v>358</v>
      </c>
      <c r="R24" s="170"/>
      <c r="S24" s="170"/>
      <c r="T24" s="170"/>
      <c r="U24" s="170"/>
      <c r="V24" s="166" t="s">
        <v>638</v>
      </c>
      <c r="AA24" s="226"/>
      <c r="AB24" s="226"/>
      <c r="AC24" s="226"/>
      <c r="AD24" s="226"/>
      <c r="AE24" s="226"/>
      <c r="AF24" s="226"/>
      <c r="AG24" s="226"/>
      <c r="AH24" s="226"/>
    </row>
    <row r="25" spans="1:34" ht="82.5">
      <c r="A25" s="166">
        <v>5</v>
      </c>
      <c r="B25" s="172" t="s">
        <v>146</v>
      </c>
      <c r="C25" s="173" t="s">
        <v>29</v>
      </c>
      <c r="D25" s="173" t="s">
        <v>181</v>
      </c>
      <c r="E25" s="173" t="s">
        <v>3</v>
      </c>
      <c r="F25" s="174">
        <v>7551347</v>
      </c>
      <c r="G25" s="173" t="s">
        <v>25</v>
      </c>
      <c r="H25" s="173" t="s">
        <v>498</v>
      </c>
      <c r="I25" s="175">
        <v>41481.345000000001</v>
      </c>
      <c r="J25" s="175">
        <v>41481.345000000001</v>
      </c>
      <c r="K25" s="176">
        <v>39695</v>
      </c>
      <c r="L25" s="176">
        <v>36850</v>
      </c>
      <c r="M25" s="176">
        <v>36850</v>
      </c>
      <c r="N25" s="176">
        <v>36850</v>
      </c>
      <c r="O25" s="151">
        <f t="shared" si="6"/>
        <v>2695</v>
      </c>
      <c r="P25" s="170"/>
      <c r="Q25" s="170"/>
      <c r="R25" s="170">
        <v>2695</v>
      </c>
      <c r="S25" s="170"/>
      <c r="T25" s="170"/>
      <c r="U25" s="170"/>
      <c r="V25" s="165"/>
      <c r="AA25" s="226"/>
      <c r="AB25" s="226"/>
      <c r="AC25" s="226"/>
      <c r="AD25" s="226"/>
      <c r="AE25" s="226"/>
      <c r="AF25" s="226"/>
      <c r="AG25" s="226"/>
      <c r="AH25" s="226"/>
    </row>
    <row r="26" spans="1:34" ht="99">
      <c r="A26" s="166">
        <v>6</v>
      </c>
      <c r="B26" s="167" t="s">
        <v>240</v>
      </c>
      <c r="C26" s="166" t="s">
        <v>29</v>
      </c>
      <c r="D26" s="166" t="s">
        <v>181</v>
      </c>
      <c r="E26" s="166" t="s">
        <v>3</v>
      </c>
      <c r="F26" s="168">
        <v>7537986</v>
      </c>
      <c r="G26" s="166" t="s">
        <v>25</v>
      </c>
      <c r="H26" s="166" t="s">
        <v>241</v>
      </c>
      <c r="I26" s="169">
        <v>5645</v>
      </c>
      <c r="J26" s="169">
        <v>5645</v>
      </c>
      <c r="K26" s="170">
        <v>5594</v>
      </c>
      <c r="L26" s="170">
        <f>2500+151+1300+1000+400</f>
        <v>5351</v>
      </c>
      <c r="M26" s="170">
        <v>5351</v>
      </c>
      <c r="N26" s="170">
        <v>5351</v>
      </c>
      <c r="O26" s="151">
        <f t="shared" si="6"/>
        <v>243</v>
      </c>
      <c r="P26" s="170">
        <v>243</v>
      </c>
      <c r="Q26" s="170"/>
      <c r="R26" s="170"/>
      <c r="S26" s="170"/>
      <c r="T26" s="170"/>
      <c r="U26" s="170"/>
      <c r="V26" s="165"/>
      <c r="AA26" s="226"/>
      <c r="AB26" s="226"/>
      <c r="AC26" s="226"/>
      <c r="AD26" s="226"/>
      <c r="AE26" s="226"/>
      <c r="AF26" s="226"/>
      <c r="AG26" s="226"/>
      <c r="AH26" s="226"/>
    </row>
    <row r="27" spans="1:34" ht="33">
      <c r="A27" s="144" t="s">
        <v>60</v>
      </c>
      <c r="B27" s="145" t="s">
        <v>387</v>
      </c>
      <c r="C27" s="144"/>
      <c r="D27" s="145"/>
      <c r="E27" s="144"/>
      <c r="F27" s="146"/>
      <c r="G27" s="144"/>
      <c r="H27" s="144"/>
      <c r="I27" s="148">
        <f t="shared" ref="I27:S27" si="7">SUM(I28:I36)</f>
        <v>471419.995</v>
      </c>
      <c r="J27" s="148">
        <f t="shared" si="7"/>
        <v>371419.995</v>
      </c>
      <c r="K27" s="148">
        <f t="shared" si="7"/>
        <v>356754</v>
      </c>
      <c r="L27" s="148">
        <f t="shared" si="7"/>
        <v>216601</v>
      </c>
      <c r="M27" s="148">
        <f t="shared" si="7"/>
        <v>254601</v>
      </c>
      <c r="N27" s="148">
        <f t="shared" si="7"/>
        <v>216601</v>
      </c>
      <c r="O27" s="151">
        <f t="shared" si="7"/>
        <v>102399</v>
      </c>
      <c r="P27" s="148">
        <f t="shared" si="7"/>
        <v>1420</v>
      </c>
      <c r="Q27" s="148">
        <f t="shared" si="7"/>
        <v>55122</v>
      </c>
      <c r="R27" s="148">
        <f t="shared" si="7"/>
        <v>45857</v>
      </c>
      <c r="S27" s="148">
        <f t="shared" si="7"/>
        <v>0</v>
      </c>
      <c r="T27" s="148"/>
      <c r="U27" s="148"/>
      <c r="V27" s="165"/>
      <c r="AA27" s="226"/>
      <c r="AB27" s="226"/>
      <c r="AC27" s="226"/>
      <c r="AD27" s="226"/>
      <c r="AE27" s="226"/>
      <c r="AF27" s="226"/>
      <c r="AG27" s="226"/>
      <c r="AH27" s="226"/>
    </row>
    <row r="28" spans="1:34" ht="66">
      <c r="A28" s="166">
        <v>1</v>
      </c>
      <c r="B28" s="167" t="s">
        <v>144</v>
      </c>
      <c r="C28" s="166" t="s">
        <v>29</v>
      </c>
      <c r="D28" s="166" t="s">
        <v>181</v>
      </c>
      <c r="E28" s="166" t="s">
        <v>2</v>
      </c>
      <c r="F28" s="168">
        <v>7559191</v>
      </c>
      <c r="G28" s="166" t="s">
        <v>34</v>
      </c>
      <c r="H28" s="166" t="s">
        <v>231</v>
      </c>
      <c r="I28" s="170">
        <v>149783</v>
      </c>
      <c r="J28" s="170">
        <v>149783</v>
      </c>
      <c r="K28" s="169">
        <v>146942</v>
      </c>
      <c r="L28" s="170">
        <f>1800+30000+5000+64849</f>
        <v>101649</v>
      </c>
      <c r="M28" s="170">
        <v>101649</v>
      </c>
      <c r="N28" s="170">
        <v>101649</v>
      </c>
      <c r="O28" s="151">
        <f t="shared" ref="O28:O36" si="8">SUM(P28:S28)</f>
        <v>45043</v>
      </c>
      <c r="P28" s="170"/>
      <c r="Q28" s="170"/>
      <c r="R28" s="170">
        <v>45043</v>
      </c>
      <c r="S28" s="170"/>
      <c r="T28" s="170"/>
      <c r="U28" s="170"/>
      <c r="V28" s="165"/>
      <c r="AA28" s="226"/>
      <c r="AB28" s="226"/>
      <c r="AC28" s="226"/>
      <c r="AD28" s="226"/>
      <c r="AE28" s="226"/>
      <c r="AF28" s="226"/>
      <c r="AG28" s="226"/>
      <c r="AH28" s="226"/>
    </row>
    <row r="29" spans="1:34" ht="65.25" customHeight="1">
      <c r="A29" s="166">
        <v>2</v>
      </c>
      <c r="B29" s="167" t="s">
        <v>115</v>
      </c>
      <c r="C29" s="166" t="s">
        <v>29</v>
      </c>
      <c r="D29" s="166" t="s">
        <v>181</v>
      </c>
      <c r="E29" s="166" t="s">
        <v>3</v>
      </c>
      <c r="F29" s="168">
        <v>7541959</v>
      </c>
      <c r="G29" s="166" t="s">
        <v>34</v>
      </c>
      <c r="H29" s="166" t="s">
        <v>116</v>
      </c>
      <c r="I29" s="177">
        <v>42503</v>
      </c>
      <c r="J29" s="177">
        <v>42503</v>
      </c>
      <c r="K29" s="169">
        <v>41261</v>
      </c>
      <c r="L29" s="170">
        <f>10000+16700+13000-9366</f>
        <v>30334</v>
      </c>
      <c r="M29" s="170">
        <f>39700-9366</f>
        <v>30334</v>
      </c>
      <c r="N29" s="170">
        <f>39700-9366</f>
        <v>30334</v>
      </c>
      <c r="O29" s="151">
        <f t="shared" si="8"/>
        <v>10777</v>
      </c>
      <c r="P29" s="170"/>
      <c r="Q29" s="170">
        <v>10777</v>
      </c>
      <c r="R29" s="170"/>
      <c r="S29" s="170"/>
      <c r="T29" s="170"/>
      <c r="U29" s="170"/>
      <c r="V29" s="165"/>
      <c r="AA29" s="226"/>
      <c r="AB29" s="226"/>
      <c r="AC29" s="226"/>
      <c r="AD29" s="226"/>
      <c r="AE29" s="226"/>
      <c r="AF29" s="226"/>
      <c r="AG29" s="226"/>
      <c r="AH29" s="226"/>
    </row>
    <row r="30" spans="1:34" ht="83.25" customHeight="1">
      <c r="A30" s="166">
        <v>3</v>
      </c>
      <c r="B30" s="167" t="s">
        <v>87</v>
      </c>
      <c r="C30" s="166" t="s">
        <v>499</v>
      </c>
      <c r="D30" s="166" t="s">
        <v>181</v>
      </c>
      <c r="E30" s="166" t="s">
        <v>3</v>
      </c>
      <c r="F30" s="168">
        <v>7545459</v>
      </c>
      <c r="G30" s="166" t="s">
        <v>18</v>
      </c>
      <c r="H30" s="166" t="s">
        <v>89</v>
      </c>
      <c r="I30" s="177">
        <v>21395</v>
      </c>
      <c r="J30" s="177">
        <v>21395</v>
      </c>
      <c r="K30" s="177">
        <v>20895</v>
      </c>
      <c r="L30" s="170">
        <f>300+6300+10700</f>
        <v>17300</v>
      </c>
      <c r="M30" s="170">
        <v>17300</v>
      </c>
      <c r="N30" s="170">
        <v>17300</v>
      </c>
      <c r="O30" s="151">
        <f t="shared" si="8"/>
        <v>3395</v>
      </c>
      <c r="P30" s="170"/>
      <c r="Q30" s="170">
        <v>3395</v>
      </c>
      <c r="R30" s="170"/>
      <c r="S30" s="170"/>
      <c r="T30" s="170"/>
      <c r="U30" s="170"/>
      <c r="V30" s="158"/>
      <c r="AA30" s="226"/>
      <c r="AB30" s="226"/>
      <c r="AC30" s="226"/>
      <c r="AD30" s="226"/>
      <c r="AE30" s="226"/>
      <c r="AF30" s="226"/>
      <c r="AG30" s="226"/>
      <c r="AH30" s="226"/>
    </row>
    <row r="31" spans="1:34" ht="132">
      <c r="A31" s="166">
        <v>4</v>
      </c>
      <c r="B31" s="167" t="s">
        <v>90</v>
      </c>
      <c r="C31" s="166" t="s">
        <v>29</v>
      </c>
      <c r="D31" s="166" t="s">
        <v>181</v>
      </c>
      <c r="E31" s="166" t="s">
        <v>3</v>
      </c>
      <c r="F31" s="168">
        <v>7613999</v>
      </c>
      <c r="G31" s="166" t="s">
        <v>18</v>
      </c>
      <c r="H31" s="166" t="s">
        <v>500</v>
      </c>
      <c r="I31" s="177">
        <v>22520</v>
      </c>
      <c r="J31" s="177">
        <v>22520</v>
      </c>
      <c r="K31" s="177">
        <f>9646+12300</f>
        <v>21946</v>
      </c>
      <c r="L31" s="170">
        <f>5000+4000+496+2000</f>
        <v>11496</v>
      </c>
      <c r="M31" s="170">
        <f>9496+2000</f>
        <v>11496</v>
      </c>
      <c r="N31" s="170">
        <f>9496+2000</f>
        <v>11496</v>
      </c>
      <c r="O31" s="151">
        <f t="shared" si="8"/>
        <v>10300</v>
      </c>
      <c r="P31" s="170"/>
      <c r="Q31" s="170">
        <v>10300</v>
      </c>
      <c r="R31" s="170"/>
      <c r="S31" s="170"/>
      <c r="T31" s="170"/>
      <c r="U31" s="170"/>
      <c r="V31" s="158"/>
      <c r="AA31" s="226"/>
      <c r="AB31" s="226"/>
      <c r="AC31" s="226"/>
      <c r="AD31" s="226"/>
      <c r="AE31" s="226"/>
      <c r="AF31" s="226"/>
      <c r="AG31" s="226"/>
      <c r="AH31" s="226"/>
    </row>
    <row r="32" spans="1:34" ht="132">
      <c r="A32" s="166">
        <v>5</v>
      </c>
      <c r="B32" s="167" t="s">
        <v>19</v>
      </c>
      <c r="C32" s="166" t="s">
        <v>17</v>
      </c>
      <c r="D32" s="166" t="s">
        <v>181</v>
      </c>
      <c r="E32" s="166" t="s">
        <v>2</v>
      </c>
      <c r="F32" s="168">
        <v>7466791</v>
      </c>
      <c r="G32" s="166" t="s">
        <v>34</v>
      </c>
      <c r="H32" s="166" t="s">
        <v>20</v>
      </c>
      <c r="I32" s="177">
        <v>137185</v>
      </c>
      <c r="J32" s="177">
        <f>137185-100000</f>
        <v>37185</v>
      </c>
      <c r="K32" s="177">
        <v>35650</v>
      </c>
      <c r="L32" s="170">
        <v>25000</v>
      </c>
      <c r="M32" s="170">
        <v>63000</v>
      </c>
      <c r="N32" s="170">
        <v>25000</v>
      </c>
      <c r="O32" s="151">
        <f t="shared" si="8"/>
        <v>10650</v>
      </c>
      <c r="P32" s="170"/>
      <c r="Q32" s="170">
        <f>12300-1650</f>
        <v>10650</v>
      </c>
      <c r="R32" s="170"/>
      <c r="S32" s="170"/>
      <c r="T32" s="170"/>
      <c r="U32" s="170"/>
      <c r="V32" s="158"/>
      <c r="AA32" s="226"/>
      <c r="AB32" s="226"/>
      <c r="AC32" s="226"/>
      <c r="AD32" s="226"/>
      <c r="AE32" s="226"/>
      <c r="AF32" s="226"/>
      <c r="AG32" s="226"/>
      <c r="AH32" s="226"/>
    </row>
    <row r="33" spans="1:34" ht="66">
      <c r="A33" s="166">
        <v>6</v>
      </c>
      <c r="B33" s="167" t="s">
        <v>388</v>
      </c>
      <c r="C33" s="166" t="s">
        <v>29</v>
      </c>
      <c r="D33" s="166" t="s">
        <v>181</v>
      </c>
      <c r="E33" s="166" t="s">
        <v>3</v>
      </c>
      <c r="F33" s="168">
        <v>7678816</v>
      </c>
      <c r="G33" s="166" t="s">
        <v>225</v>
      </c>
      <c r="H33" s="166" t="s">
        <v>501</v>
      </c>
      <c r="I33" s="177">
        <v>4424.8450000000003</v>
      </c>
      <c r="J33" s="177">
        <v>4424.8450000000003</v>
      </c>
      <c r="K33" s="177">
        <v>4300</v>
      </c>
      <c r="L33" s="170">
        <v>3000</v>
      </c>
      <c r="M33" s="170">
        <v>3000</v>
      </c>
      <c r="N33" s="170">
        <v>3000</v>
      </c>
      <c r="O33" s="151">
        <f t="shared" si="8"/>
        <v>1200</v>
      </c>
      <c r="P33" s="170">
        <v>1200</v>
      </c>
      <c r="Q33" s="170"/>
      <c r="R33" s="170"/>
      <c r="S33" s="170"/>
      <c r="T33" s="170"/>
      <c r="U33" s="170"/>
      <c r="V33" s="158"/>
      <c r="AA33" s="226"/>
      <c r="AB33" s="226"/>
      <c r="AC33" s="226"/>
      <c r="AD33" s="226"/>
      <c r="AE33" s="226"/>
      <c r="AF33" s="226"/>
      <c r="AG33" s="226"/>
      <c r="AH33" s="226"/>
    </row>
    <row r="34" spans="1:34" ht="49.5">
      <c r="A34" s="166">
        <v>7</v>
      </c>
      <c r="B34" s="167" t="s">
        <v>389</v>
      </c>
      <c r="C34" s="166" t="s">
        <v>29</v>
      </c>
      <c r="D34" s="166" t="s">
        <v>181</v>
      </c>
      <c r="E34" s="166" t="s">
        <v>3</v>
      </c>
      <c r="F34" s="168">
        <v>7744558</v>
      </c>
      <c r="G34" s="166" t="s">
        <v>502</v>
      </c>
      <c r="H34" s="166" t="s">
        <v>503</v>
      </c>
      <c r="I34" s="177">
        <v>1159</v>
      </c>
      <c r="J34" s="177">
        <v>1159</v>
      </c>
      <c r="K34" s="170">
        <v>1260</v>
      </c>
      <c r="L34" s="170">
        <v>1000</v>
      </c>
      <c r="M34" s="170">
        <v>1000</v>
      </c>
      <c r="N34" s="170">
        <v>1000</v>
      </c>
      <c r="O34" s="151">
        <f t="shared" si="8"/>
        <v>220</v>
      </c>
      <c r="P34" s="170">
        <v>220</v>
      </c>
      <c r="Q34" s="170"/>
      <c r="R34" s="170"/>
      <c r="S34" s="170"/>
      <c r="T34" s="170"/>
      <c r="U34" s="170"/>
      <c r="V34" s="158"/>
      <c r="AA34" s="226"/>
      <c r="AB34" s="226"/>
      <c r="AC34" s="226"/>
      <c r="AD34" s="226"/>
      <c r="AE34" s="226"/>
      <c r="AF34" s="226"/>
      <c r="AG34" s="226"/>
      <c r="AH34" s="226"/>
    </row>
    <row r="35" spans="1:34" ht="78" customHeight="1">
      <c r="A35" s="166">
        <v>8</v>
      </c>
      <c r="B35" s="172" t="s">
        <v>390</v>
      </c>
      <c r="C35" s="173" t="s">
        <v>29</v>
      </c>
      <c r="D35" s="173" t="s">
        <v>181</v>
      </c>
      <c r="E35" s="173" t="s">
        <v>3</v>
      </c>
      <c r="F35" s="174">
        <v>7559032</v>
      </c>
      <c r="G35" s="173" t="s">
        <v>22</v>
      </c>
      <c r="H35" s="173" t="s">
        <v>504</v>
      </c>
      <c r="I35" s="175">
        <v>29722.15</v>
      </c>
      <c r="J35" s="175">
        <v>29722.15</v>
      </c>
      <c r="K35" s="176">
        <v>27500</v>
      </c>
      <c r="L35" s="176">
        <v>24822</v>
      </c>
      <c r="M35" s="176">
        <v>24822</v>
      </c>
      <c r="N35" s="176">
        <v>24822</v>
      </c>
      <c r="O35" s="151">
        <f t="shared" si="8"/>
        <v>814</v>
      </c>
      <c r="P35" s="170"/>
      <c r="Q35" s="170"/>
      <c r="R35" s="170">
        <v>814</v>
      </c>
      <c r="S35" s="170"/>
      <c r="T35" s="170"/>
      <c r="U35" s="170"/>
      <c r="V35" s="158"/>
      <c r="AA35" s="226"/>
      <c r="AB35" s="226"/>
      <c r="AC35" s="226"/>
      <c r="AD35" s="226"/>
      <c r="AE35" s="226"/>
      <c r="AF35" s="226"/>
      <c r="AG35" s="226"/>
      <c r="AH35" s="226"/>
    </row>
    <row r="36" spans="1:34" ht="74.25" customHeight="1">
      <c r="A36" s="166">
        <v>9</v>
      </c>
      <c r="B36" s="167" t="s">
        <v>391</v>
      </c>
      <c r="C36" s="166" t="s">
        <v>62</v>
      </c>
      <c r="D36" s="166" t="s">
        <v>181</v>
      </c>
      <c r="E36" s="166" t="s">
        <v>3</v>
      </c>
      <c r="F36" s="168">
        <v>7604915</v>
      </c>
      <c r="G36" s="166" t="s">
        <v>502</v>
      </c>
      <c r="H36" s="166" t="s">
        <v>505</v>
      </c>
      <c r="I36" s="177">
        <v>62728</v>
      </c>
      <c r="J36" s="177">
        <v>62728</v>
      </c>
      <c r="K36" s="177">
        <v>57000</v>
      </c>
      <c r="L36" s="170">
        <v>2000</v>
      </c>
      <c r="M36" s="170">
        <v>2000</v>
      </c>
      <c r="N36" s="170">
        <v>2000</v>
      </c>
      <c r="O36" s="151">
        <f t="shared" si="8"/>
        <v>20000</v>
      </c>
      <c r="P36" s="177"/>
      <c r="Q36" s="177">
        <f>20000</f>
        <v>20000</v>
      </c>
      <c r="R36" s="177"/>
      <c r="S36" s="177"/>
      <c r="T36" s="177"/>
      <c r="U36" s="177"/>
      <c r="V36" s="158"/>
      <c r="AA36" s="226"/>
      <c r="AB36" s="226"/>
      <c r="AC36" s="226"/>
      <c r="AD36" s="226"/>
      <c r="AE36" s="226"/>
      <c r="AF36" s="226"/>
      <c r="AG36" s="226"/>
      <c r="AH36" s="226"/>
    </row>
    <row r="37" spans="1:34" ht="44.45" customHeight="1">
      <c r="A37" s="159" t="s">
        <v>6</v>
      </c>
      <c r="B37" s="160" t="s">
        <v>392</v>
      </c>
      <c r="C37" s="159"/>
      <c r="D37" s="160"/>
      <c r="E37" s="159"/>
      <c r="F37" s="161"/>
      <c r="G37" s="159"/>
      <c r="H37" s="159"/>
      <c r="I37" s="162">
        <f t="shared" ref="I37:S37" si="9">I38+I41+I46</f>
        <v>4069582.7259999998</v>
      </c>
      <c r="J37" s="162">
        <f t="shared" si="9"/>
        <v>2738511.7259999998</v>
      </c>
      <c r="K37" s="162">
        <f t="shared" si="9"/>
        <v>1249654</v>
      </c>
      <c r="L37" s="162">
        <f t="shared" si="9"/>
        <v>973854</v>
      </c>
      <c r="M37" s="162">
        <f t="shared" si="9"/>
        <v>2368119</v>
      </c>
      <c r="N37" s="162">
        <f t="shared" si="9"/>
        <v>1082037</v>
      </c>
      <c r="O37" s="163">
        <f t="shared" si="9"/>
        <v>344213</v>
      </c>
      <c r="P37" s="162">
        <f t="shared" si="9"/>
        <v>0</v>
      </c>
      <c r="Q37" s="162">
        <f t="shared" si="9"/>
        <v>90213</v>
      </c>
      <c r="R37" s="162">
        <f t="shared" si="9"/>
        <v>175000</v>
      </c>
      <c r="S37" s="162">
        <f t="shared" si="9"/>
        <v>79000</v>
      </c>
      <c r="T37" s="162"/>
      <c r="U37" s="162"/>
      <c r="V37" s="164"/>
      <c r="AA37" s="226"/>
      <c r="AB37" s="226"/>
      <c r="AC37" s="226"/>
      <c r="AD37" s="226"/>
      <c r="AE37" s="226"/>
      <c r="AF37" s="226"/>
      <c r="AG37" s="226"/>
      <c r="AH37" s="226"/>
    </row>
    <row r="38" spans="1:34" ht="46.5" customHeight="1">
      <c r="A38" s="144" t="s">
        <v>73</v>
      </c>
      <c r="B38" s="145" t="s">
        <v>383</v>
      </c>
      <c r="C38" s="144"/>
      <c r="D38" s="145"/>
      <c r="E38" s="144"/>
      <c r="F38" s="146"/>
      <c r="G38" s="144"/>
      <c r="H38" s="144"/>
      <c r="I38" s="148">
        <f t="shared" ref="I38:S38" si="10">SUM(I39:I40)</f>
        <v>837695</v>
      </c>
      <c r="J38" s="148">
        <f t="shared" si="10"/>
        <v>837695</v>
      </c>
      <c r="K38" s="148">
        <f t="shared" si="10"/>
        <v>370673</v>
      </c>
      <c r="L38" s="148">
        <f t="shared" si="10"/>
        <v>355582</v>
      </c>
      <c r="M38" s="148">
        <f t="shared" si="10"/>
        <v>681533</v>
      </c>
      <c r="N38" s="148">
        <f t="shared" si="10"/>
        <v>681533</v>
      </c>
      <c r="O38" s="151">
        <f t="shared" si="10"/>
        <v>15091</v>
      </c>
      <c r="P38" s="148">
        <f t="shared" si="10"/>
        <v>0</v>
      </c>
      <c r="Q38" s="148">
        <f t="shared" si="10"/>
        <v>15091</v>
      </c>
      <c r="R38" s="148">
        <f t="shared" si="10"/>
        <v>0</v>
      </c>
      <c r="S38" s="148">
        <f t="shared" si="10"/>
        <v>0</v>
      </c>
      <c r="T38" s="148"/>
      <c r="U38" s="148"/>
      <c r="V38" s="165"/>
      <c r="AA38" s="226"/>
      <c r="AB38" s="226"/>
      <c r="AC38" s="226"/>
      <c r="AD38" s="226"/>
      <c r="AE38" s="226"/>
      <c r="AF38" s="226"/>
      <c r="AG38" s="226"/>
      <c r="AH38" s="226"/>
    </row>
    <row r="39" spans="1:34" ht="115.5">
      <c r="A39" s="166">
        <v>1</v>
      </c>
      <c r="B39" s="167" t="s">
        <v>393</v>
      </c>
      <c r="C39" s="166" t="s">
        <v>14</v>
      </c>
      <c r="D39" s="166" t="s">
        <v>181</v>
      </c>
      <c r="E39" s="166" t="s">
        <v>2</v>
      </c>
      <c r="F39" s="168">
        <v>7044456</v>
      </c>
      <c r="G39" s="166" t="s">
        <v>506</v>
      </c>
      <c r="H39" s="166" t="s">
        <v>507</v>
      </c>
      <c r="I39" s="177">
        <v>291221</v>
      </c>
      <c r="J39" s="177">
        <v>291221</v>
      </c>
      <c r="K39" s="170">
        <v>65371</v>
      </c>
      <c r="L39" s="170">
        <v>61000</v>
      </c>
      <c r="M39" s="170">
        <v>259727</v>
      </c>
      <c r="N39" s="170">
        <v>259727</v>
      </c>
      <c r="O39" s="151">
        <f>SUM(P39:S39)</f>
        <v>4371</v>
      </c>
      <c r="P39" s="170"/>
      <c r="Q39" s="170">
        <v>4371</v>
      </c>
      <c r="R39" s="170"/>
      <c r="S39" s="170"/>
      <c r="T39" s="170"/>
      <c r="U39" s="170"/>
      <c r="V39" s="166" t="s">
        <v>638</v>
      </c>
      <c r="AA39" s="226"/>
      <c r="AB39" s="226"/>
      <c r="AC39" s="226"/>
      <c r="AD39" s="226"/>
      <c r="AE39" s="226"/>
      <c r="AF39" s="226"/>
      <c r="AG39" s="226"/>
      <c r="AH39" s="226"/>
    </row>
    <row r="40" spans="1:34" ht="117" customHeight="1">
      <c r="A40" s="166">
        <v>2</v>
      </c>
      <c r="B40" s="167" t="s">
        <v>394</v>
      </c>
      <c r="C40" s="166" t="s">
        <v>79</v>
      </c>
      <c r="D40" s="166" t="s">
        <v>181</v>
      </c>
      <c r="E40" s="166" t="s">
        <v>2</v>
      </c>
      <c r="F40" s="168">
        <v>7175437</v>
      </c>
      <c r="G40" s="166" t="s">
        <v>508</v>
      </c>
      <c r="H40" s="166" t="s">
        <v>509</v>
      </c>
      <c r="I40" s="177">
        <v>546474</v>
      </c>
      <c r="J40" s="177">
        <v>546474</v>
      </c>
      <c r="K40" s="170">
        <v>305302</v>
      </c>
      <c r="L40" s="170">
        <f>11900+150000+45678+74004+13000</f>
        <v>294582</v>
      </c>
      <c r="M40" s="170">
        <v>421806</v>
      </c>
      <c r="N40" s="170">
        <v>421806</v>
      </c>
      <c r="O40" s="151">
        <f>SUM(P40:S40)</f>
        <v>10720</v>
      </c>
      <c r="P40" s="170"/>
      <c r="Q40" s="170">
        <v>10720</v>
      </c>
      <c r="R40" s="170"/>
      <c r="S40" s="170"/>
      <c r="T40" s="170"/>
      <c r="U40" s="170"/>
      <c r="V40" s="166" t="s">
        <v>638</v>
      </c>
      <c r="AA40" s="226"/>
      <c r="AB40" s="226"/>
      <c r="AC40" s="226"/>
      <c r="AD40" s="226"/>
      <c r="AE40" s="226"/>
      <c r="AF40" s="226"/>
      <c r="AG40" s="226"/>
      <c r="AH40" s="226"/>
    </row>
    <row r="41" spans="1:34" ht="45" customHeight="1">
      <c r="A41" s="144" t="s">
        <v>60</v>
      </c>
      <c r="B41" s="145" t="s">
        <v>395</v>
      </c>
      <c r="C41" s="144"/>
      <c r="D41" s="145"/>
      <c r="E41" s="144"/>
      <c r="F41" s="146"/>
      <c r="G41" s="144"/>
      <c r="H41" s="144"/>
      <c r="I41" s="148">
        <f t="shared" ref="I41:S41" si="11">SUM(I42:I45)</f>
        <v>1971145.726</v>
      </c>
      <c r="J41" s="148">
        <f t="shared" si="11"/>
        <v>1259737.726</v>
      </c>
      <c r="K41" s="148">
        <f t="shared" si="11"/>
        <v>492981</v>
      </c>
      <c r="L41" s="148">
        <f t="shared" si="11"/>
        <v>383558</v>
      </c>
      <c r="M41" s="148">
        <f t="shared" si="11"/>
        <v>1141911</v>
      </c>
      <c r="N41" s="148">
        <f t="shared" si="11"/>
        <v>400504</v>
      </c>
      <c r="O41" s="151">
        <f t="shared" si="11"/>
        <v>100122</v>
      </c>
      <c r="P41" s="148">
        <f t="shared" si="11"/>
        <v>0</v>
      </c>
      <c r="Q41" s="148">
        <f t="shared" si="11"/>
        <v>25122</v>
      </c>
      <c r="R41" s="148">
        <f t="shared" si="11"/>
        <v>75000</v>
      </c>
      <c r="S41" s="148">
        <f t="shared" si="11"/>
        <v>0</v>
      </c>
      <c r="T41" s="148"/>
      <c r="U41" s="148"/>
      <c r="V41" s="164"/>
      <c r="AA41" s="226"/>
      <c r="AB41" s="226"/>
      <c r="AC41" s="226"/>
      <c r="AD41" s="226"/>
      <c r="AE41" s="226"/>
      <c r="AF41" s="226"/>
      <c r="AG41" s="226"/>
      <c r="AH41" s="226"/>
    </row>
    <row r="42" spans="1:34" ht="115.5">
      <c r="A42" s="166">
        <v>1</v>
      </c>
      <c r="B42" s="167" t="s">
        <v>396</v>
      </c>
      <c r="C42" s="166" t="s">
        <v>510</v>
      </c>
      <c r="D42" s="166" t="s">
        <v>181</v>
      </c>
      <c r="E42" s="166" t="s">
        <v>1</v>
      </c>
      <c r="F42" s="168">
        <v>7010736</v>
      </c>
      <c r="G42" s="166" t="s">
        <v>511</v>
      </c>
      <c r="H42" s="166" t="s">
        <v>512</v>
      </c>
      <c r="I42" s="177">
        <v>1554509</v>
      </c>
      <c r="J42" s="177">
        <f>1554509-711408</f>
        <v>843101</v>
      </c>
      <c r="K42" s="170">
        <f>105052-14242</f>
        <v>90810</v>
      </c>
      <c r="L42" s="170">
        <v>30810</v>
      </c>
      <c r="M42" s="170">
        <v>772217</v>
      </c>
      <c r="N42" s="170">
        <v>30810</v>
      </c>
      <c r="O42" s="151">
        <f>SUM(P42:S42)</f>
        <v>60000</v>
      </c>
      <c r="P42" s="170"/>
      <c r="Q42" s="170"/>
      <c r="R42" s="170">
        <v>60000</v>
      </c>
      <c r="S42" s="170"/>
      <c r="T42" s="170"/>
      <c r="U42" s="170"/>
      <c r="V42" s="158"/>
      <c r="AA42" s="226"/>
      <c r="AB42" s="226"/>
      <c r="AC42" s="226"/>
      <c r="AD42" s="226"/>
      <c r="AE42" s="226"/>
      <c r="AF42" s="226"/>
      <c r="AG42" s="226"/>
      <c r="AH42" s="226"/>
    </row>
    <row r="43" spans="1:34" ht="66">
      <c r="A43" s="166">
        <v>2</v>
      </c>
      <c r="B43" s="167" t="s">
        <v>113</v>
      </c>
      <c r="C43" s="166" t="s">
        <v>29</v>
      </c>
      <c r="D43" s="166" t="s">
        <v>181</v>
      </c>
      <c r="E43" s="166" t="s">
        <v>3</v>
      </c>
      <c r="F43" s="168">
        <v>7435684</v>
      </c>
      <c r="G43" s="166" t="s">
        <v>22</v>
      </c>
      <c r="H43" s="166" t="s">
        <v>114</v>
      </c>
      <c r="I43" s="177">
        <v>141607</v>
      </c>
      <c r="J43" s="177">
        <v>141607</v>
      </c>
      <c r="K43" s="169">
        <f>129990+8205</f>
        <v>138195</v>
      </c>
      <c r="L43" s="170">
        <f>13500+25000+81027+5073</f>
        <v>124600</v>
      </c>
      <c r="M43" s="170">
        <v>125000</v>
      </c>
      <c r="N43" s="170">
        <v>125000</v>
      </c>
      <c r="O43" s="151">
        <f>SUM(P43:S43)</f>
        <v>13595</v>
      </c>
      <c r="P43" s="170"/>
      <c r="Q43" s="170">
        <v>13595</v>
      </c>
      <c r="R43" s="170"/>
      <c r="S43" s="170"/>
      <c r="T43" s="170"/>
      <c r="U43" s="170"/>
      <c r="V43" s="166"/>
      <c r="AA43" s="226"/>
      <c r="AB43" s="226"/>
      <c r="AC43" s="226"/>
      <c r="AD43" s="226"/>
      <c r="AE43" s="226"/>
      <c r="AF43" s="226"/>
      <c r="AG43" s="226"/>
      <c r="AH43" s="226"/>
    </row>
    <row r="44" spans="1:34" ht="115.5">
      <c r="A44" s="166">
        <v>3</v>
      </c>
      <c r="B44" s="167" t="s">
        <v>397</v>
      </c>
      <c r="C44" s="166" t="s">
        <v>29</v>
      </c>
      <c r="D44" s="166" t="s">
        <v>181</v>
      </c>
      <c r="E44" s="166" t="s">
        <v>2</v>
      </c>
      <c r="F44" s="168">
        <v>7008114</v>
      </c>
      <c r="G44" s="166" t="s">
        <v>494</v>
      </c>
      <c r="H44" s="166" t="s">
        <v>513</v>
      </c>
      <c r="I44" s="177">
        <v>175545</v>
      </c>
      <c r="J44" s="177">
        <v>175545</v>
      </c>
      <c r="K44" s="170">
        <f>158000+6691</f>
        <v>164691</v>
      </c>
      <c r="L44" s="170">
        <v>149691</v>
      </c>
      <c r="M44" s="170">
        <v>150337</v>
      </c>
      <c r="N44" s="170">
        <v>150337</v>
      </c>
      <c r="O44" s="151">
        <f>SUM(P44:S44)</f>
        <v>15000</v>
      </c>
      <c r="P44" s="170"/>
      <c r="Q44" s="170"/>
      <c r="R44" s="170">
        <v>15000</v>
      </c>
      <c r="S44" s="170"/>
      <c r="T44" s="170"/>
      <c r="U44" s="170"/>
      <c r="V44" s="166"/>
      <c r="AA44" s="226"/>
      <c r="AB44" s="226"/>
      <c r="AC44" s="226"/>
      <c r="AD44" s="226"/>
      <c r="AE44" s="226"/>
      <c r="AF44" s="226"/>
      <c r="AG44" s="226"/>
      <c r="AH44" s="226"/>
    </row>
    <row r="45" spans="1:34" ht="132">
      <c r="A45" s="166">
        <v>4</v>
      </c>
      <c r="B45" s="167" t="s">
        <v>82</v>
      </c>
      <c r="C45" s="166" t="s">
        <v>514</v>
      </c>
      <c r="D45" s="166" t="s">
        <v>181</v>
      </c>
      <c r="E45" s="166" t="s">
        <v>2</v>
      </c>
      <c r="F45" s="168">
        <v>7564436</v>
      </c>
      <c r="G45" s="166" t="s">
        <v>34</v>
      </c>
      <c r="H45" s="166" t="s">
        <v>84</v>
      </c>
      <c r="I45" s="177">
        <v>99484.725999999995</v>
      </c>
      <c r="J45" s="177">
        <v>99484.725999999995</v>
      </c>
      <c r="K45" s="177">
        <v>99285</v>
      </c>
      <c r="L45" s="170">
        <f>94357-15900</f>
        <v>78457</v>
      </c>
      <c r="M45" s="170">
        <v>94357</v>
      </c>
      <c r="N45" s="170">
        <v>94357</v>
      </c>
      <c r="O45" s="151">
        <f>SUM(P45:S45)</f>
        <v>11527</v>
      </c>
      <c r="P45" s="170"/>
      <c r="Q45" s="170">
        <v>11527</v>
      </c>
      <c r="R45" s="170"/>
      <c r="S45" s="170"/>
      <c r="T45" s="170"/>
      <c r="U45" s="170"/>
      <c r="V45" s="166" t="s">
        <v>639</v>
      </c>
      <c r="AA45" s="226"/>
      <c r="AB45" s="226"/>
      <c r="AC45" s="226"/>
      <c r="AD45" s="226"/>
      <c r="AE45" s="226"/>
      <c r="AF45" s="226"/>
      <c r="AG45" s="226"/>
      <c r="AH45" s="226"/>
    </row>
    <row r="46" spans="1:34" ht="47.25" customHeight="1">
      <c r="A46" s="144" t="s">
        <v>67</v>
      </c>
      <c r="B46" s="145" t="s">
        <v>398</v>
      </c>
      <c r="C46" s="144"/>
      <c r="D46" s="145"/>
      <c r="E46" s="144"/>
      <c r="F46" s="146"/>
      <c r="G46" s="144"/>
      <c r="H46" s="144"/>
      <c r="I46" s="148">
        <f t="shared" ref="I46:S46" si="12">SUM(I47:I48)</f>
        <v>1260742</v>
      </c>
      <c r="J46" s="148">
        <f t="shared" si="12"/>
        <v>641079</v>
      </c>
      <c r="K46" s="148">
        <f t="shared" si="12"/>
        <v>386000</v>
      </c>
      <c r="L46" s="148">
        <f t="shared" si="12"/>
        <v>234714</v>
      </c>
      <c r="M46" s="148">
        <f t="shared" si="12"/>
        <v>544675</v>
      </c>
      <c r="N46" s="148"/>
      <c r="O46" s="151">
        <f t="shared" si="12"/>
        <v>229000</v>
      </c>
      <c r="P46" s="148">
        <f t="shared" si="12"/>
        <v>0</v>
      </c>
      <c r="Q46" s="148">
        <f t="shared" si="12"/>
        <v>50000</v>
      </c>
      <c r="R46" s="148">
        <f t="shared" si="12"/>
        <v>100000</v>
      </c>
      <c r="S46" s="148">
        <f t="shared" si="12"/>
        <v>79000</v>
      </c>
      <c r="T46" s="148"/>
      <c r="U46" s="148"/>
      <c r="V46" s="164"/>
      <c r="AA46" s="226"/>
      <c r="AB46" s="226"/>
      <c r="AC46" s="226"/>
      <c r="AD46" s="226"/>
      <c r="AE46" s="226"/>
      <c r="AF46" s="226"/>
      <c r="AG46" s="226"/>
      <c r="AH46" s="226"/>
    </row>
    <row r="47" spans="1:34" ht="49.5">
      <c r="A47" s="166">
        <v>1</v>
      </c>
      <c r="B47" s="167" t="s">
        <v>69</v>
      </c>
      <c r="C47" s="166" t="s">
        <v>515</v>
      </c>
      <c r="D47" s="166" t="s">
        <v>181</v>
      </c>
      <c r="E47" s="166" t="s">
        <v>2</v>
      </c>
      <c r="F47" s="168">
        <v>7403787</v>
      </c>
      <c r="G47" s="166" t="s">
        <v>22</v>
      </c>
      <c r="H47" s="166" t="s">
        <v>71</v>
      </c>
      <c r="I47" s="177">
        <v>810742</v>
      </c>
      <c r="J47" s="178">
        <v>341079</v>
      </c>
      <c r="K47" s="177">
        <f>336000+208109-208109</f>
        <v>336000</v>
      </c>
      <c r="L47" s="170">
        <f>84714+150000</f>
        <v>234714</v>
      </c>
      <c r="M47" s="170">
        <v>394675</v>
      </c>
      <c r="N47" s="170">
        <f>85014+150000+74731-74731</f>
        <v>235014</v>
      </c>
      <c r="O47" s="151">
        <f>SUM(P47:S47)</f>
        <v>179000</v>
      </c>
      <c r="P47" s="179"/>
      <c r="Q47" s="179"/>
      <c r="R47" s="179">
        <v>100000</v>
      </c>
      <c r="S47" s="179">
        <v>79000</v>
      </c>
      <c r="T47" s="179"/>
      <c r="U47" s="179"/>
      <c r="V47" s="158"/>
      <c r="AA47" s="226"/>
      <c r="AB47" s="226"/>
      <c r="AC47" s="226"/>
      <c r="AD47" s="226"/>
      <c r="AE47" s="226"/>
      <c r="AF47" s="226"/>
      <c r="AG47" s="226"/>
      <c r="AH47" s="226"/>
    </row>
    <row r="48" spans="1:34" ht="49.5">
      <c r="A48" s="166">
        <v>2</v>
      </c>
      <c r="B48" s="167" t="s">
        <v>399</v>
      </c>
      <c r="C48" s="166" t="s">
        <v>79</v>
      </c>
      <c r="D48" s="166" t="s">
        <v>181</v>
      </c>
      <c r="E48" s="166" t="s">
        <v>2</v>
      </c>
      <c r="F48" s="168">
        <v>7743135</v>
      </c>
      <c r="G48" s="166" t="s">
        <v>219</v>
      </c>
      <c r="H48" s="166" t="s">
        <v>516</v>
      </c>
      <c r="I48" s="177">
        <v>450000</v>
      </c>
      <c r="J48" s="177">
        <f>450000-150000</f>
        <v>300000</v>
      </c>
      <c r="K48" s="177">
        <v>50000</v>
      </c>
      <c r="L48" s="170"/>
      <c r="M48" s="170">
        <v>150000</v>
      </c>
      <c r="N48" s="170"/>
      <c r="O48" s="151">
        <f>SUM(P48:S48)</f>
        <v>50000</v>
      </c>
      <c r="P48" s="170"/>
      <c r="Q48" s="170">
        <v>50000</v>
      </c>
      <c r="R48" s="170"/>
      <c r="S48" s="170"/>
      <c r="T48" s="170"/>
      <c r="U48" s="170"/>
      <c r="V48" s="158"/>
      <c r="AA48" s="226"/>
      <c r="AB48" s="226"/>
      <c r="AC48" s="226"/>
      <c r="AD48" s="226"/>
      <c r="AE48" s="226"/>
      <c r="AF48" s="226"/>
      <c r="AG48" s="226"/>
      <c r="AH48" s="226"/>
    </row>
    <row r="49" spans="1:34" ht="33.75" customHeight="1">
      <c r="A49" s="159" t="s">
        <v>24</v>
      </c>
      <c r="B49" s="160" t="s">
        <v>349</v>
      </c>
      <c r="C49" s="159"/>
      <c r="D49" s="160"/>
      <c r="E49" s="159"/>
      <c r="F49" s="161"/>
      <c r="G49" s="159"/>
      <c r="H49" s="159"/>
      <c r="I49" s="162">
        <f t="shared" ref="I49:S50" si="13">I50</f>
        <v>7843195</v>
      </c>
      <c r="J49" s="162">
        <f t="shared" si="13"/>
        <v>1917795</v>
      </c>
      <c r="K49" s="162">
        <f t="shared" si="13"/>
        <v>5129565</v>
      </c>
      <c r="L49" s="162">
        <f t="shared" si="13"/>
        <v>1358762</v>
      </c>
      <c r="M49" s="162">
        <f t="shared" si="13"/>
        <v>3241726</v>
      </c>
      <c r="N49" s="162">
        <f t="shared" si="13"/>
        <v>1405016</v>
      </c>
      <c r="O49" s="163">
        <f t="shared" si="13"/>
        <v>1100656</v>
      </c>
      <c r="P49" s="162">
        <f t="shared" si="13"/>
        <v>230722</v>
      </c>
      <c r="Q49" s="162">
        <f t="shared" si="13"/>
        <v>95035</v>
      </c>
      <c r="R49" s="162">
        <f t="shared" si="13"/>
        <v>120199</v>
      </c>
      <c r="S49" s="162">
        <f t="shared" si="13"/>
        <v>654700</v>
      </c>
      <c r="T49" s="162"/>
      <c r="U49" s="162"/>
      <c r="V49" s="164"/>
      <c r="AA49" s="226"/>
      <c r="AB49" s="226"/>
      <c r="AC49" s="226"/>
      <c r="AD49" s="226"/>
      <c r="AE49" s="226"/>
      <c r="AF49" s="226"/>
      <c r="AG49" s="226"/>
      <c r="AH49" s="226"/>
    </row>
    <row r="50" spans="1:34" ht="48.2" customHeight="1">
      <c r="A50" s="144" t="s">
        <v>60</v>
      </c>
      <c r="B50" s="145" t="s">
        <v>398</v>
      </c>
      <c r="C50" s="144"/>
      <c r="D50" s="145"/>
      <c r="E50" s="144"/>
      <c r="F50" s="146"/>
      <c r="G50" s="144"/>
      <c r="H50" s="144"/>
      <c r="I50" s="148">
        <f t="shared" si="13"/>
        <v>7843195</v>
      </c>
      <c r="J50" s="148">
        <f t="shared" si="13"/>
        <v>1917795</v>
      </c>
      <c r="K50" s="148">
        <f t="shared" si="13"/>
        <v>5129565</v>
      </c>
      <c r="L50" s="148">
        <f t="shared" si="13"/>
        <v>1358762</v>
      </c>
      <c r="M50" s="148">
        <f t="shared" si="13"/>
        <v>3241726</v>
      </c>
      <c r="N50" s="148">
        <f t="shared" si="13"/>
        <v>1405016</v>
      </c>
      <c r="O50" s="151">
        <f t="shared" si="13"/>
        <v>1100656</v>
      </c>
      <c r="P50" s="148">
        <f t="shared" si="13"/>
        <v>230722</v>
      </c>
      <c r="Q50" s="148">
        <f t="shared" si="13"/>
        <v>95035</v>
      </c>
      <c r="R50" s="148">
        <f t="shared" si="13"/>
        <v>120199</v>
      </c>
      <c r="S50" s="148">
        <f t="shared" si="13"/>
        <v>654700</v>
      </c>
      <c r="T50" s="148"/>
      <c r="U50" s="148"/>
      <c r="V50" s="165"/>
      <c r="AA50" s="226"/>
      <c r="AB50" s="226"/>
      <c r="AC50" s="226"/>
      <c r="AD50" s="226"/>
      <c r="AE50" s="226"/>
      <c r="AF50" s="226"/>
      <c r="AG50" s="226"/>
      <c r="AH50" s="226"/>
    </row>
    <row r="51" spans="1:34" ht="132">
      <c r="A51" s="180">
        <v>1</v>
      </c>
      <c r="B51" s="181" t="s">
        <v>400</v>
      </c>
      <c r="C51" s="180" t="s">
        <v>38</v>
      </c>
      <c r="D51" s="180" t="s">
        <v>181</v>
      </c>
      <c r="E51" s="180" t="s">
        <v>1</v>
      </c>
      <c r="F51" s="171">
        <v>7488650</v>
      </c>
      <c r="G51" s="180" t="s">
        <v>148</v>
      </c>
      <c r="H51" s="182" t="s">
        <v>517</v>
      </c>
      <c r="I51" s="183">
        <v>7843195</v>
      </c>
      <c r="J51" s="178">
        <v>1917795</v>
      </c>
      <c r="K51" s="169">
        <f>1380000+504000-32435+3278000</f>
        <v>5129565</v>
      </c>
      <c r="L51" s="183">
        <f>5000+300000+469746+584016</f>
        <v>1358762</v>
      </c>
      <c r="M51" s="183">
        <f>3291842+24884-75000</f>
        <v>3241726</v>
      </c>
      <c r="N51" s="183">
        <f>821000+584016</f>
        <v>1405016</v>
      </c>
      <c r="O51" s="151">
        <f>SUM(P51:S51)</f>
        <v>1100656</v>
      </c>
      <c r="P51" s="183">
        <f>328370-33385-25263-39000</f>
        <v>230722</v>
      </c>
      <c r="Q51" s="183">
        <f>60000+33385+1650</f>
        <v>95035</v>
      </c>
      <c r="R51" s="183">
        <f>98714-19165+39000+1650</f>
        <v>120199</v>
      </c>
      <c r="S51" s="183">
        <f>669000-14300</f>
        <v>654700</v>
      </c>
      <c r="T51" s="183"/>
      <c r="U51" s="183"/>
      <c r="V51" s="165"/>
      <c r="AA51" s="226"/>
      <c r="AB51" s="226"/>
      <c r="AC51" s="226"/>
      <c r="AD51" s="226"/>
      <c r="AE51" s="226"/>
      <c r="AF51" s="226"/>
      <c r="AG51" s="226"/>
      <c r="AH51" s="226"/>
    </row>
    <row r="52" spans="1:34" ht="28.5" customHeight="1">
      <c r="A52" s="159" t="s">
        <v>26</v>
      </c>
      <c r="B52" s="160" t="s">
        <v>401</v>
      </c>
      <c r="C52" s="159"/>
      <c r="D52" s="160"/>
      <c r="E52" s="159"/>
      <c r="F52" s="161"/>
      <c r="G52" s="159"/>
      <c r="H52" s="159"/>
      <c r="I52" s="162">
        <f t="shared" ref="I52:S52" si="14">I53+I57</f>
        <v>82997</v>
      </c>
      <c r="J52" s="162">
        <f t="shared" si="14"/>
        <v>82997</v>
      </c>
      <c r="K52" s="162">
        <f t="shared" si="14"/>
        <v>79010</v>
      </c>
      <c r="L52" s="162">
        <f t="shared" si="14"/>
        <v>53491</v>
      </c>
      <c r="M52" s="162">
        <f t="shared" si="14"/>
        <v>53491</v>
      </c>
      <c r="N52" s="162">
        <f t="shared" si="14"/>
        <v>53491</v>
      </c>
      <c r="O52" s="163">
        <f t="shared" si="14"/>
        <v>23127</v>
      </c>
      <c r="P52" s="162">
        <f t="shared" si="14"/>
        <v>23127</v>
      </c>
      <c r="Q52" s="162">
        <f t="shared" si="14"/>
        <v>0</v>
      </c>
      <c r="R52" s="162">
        <f t="shared" si="14"/>
        <v>0</v>
      </c>
      <c r="S52" s="162">
        <f t="shared" si="14"/>
        <v>0</v>
      </c>
      <c r="T52" s="162"/>
      <c r="U52" s="162"/>
      <c r="V52" s="164"/>
      <c r="AA52" s="226"/>
      <c r="AB52" s="226"/>
      <c r="AC52" s="226"/>
      <c r="AD52" s="226"/>
      <c r="AE52" s="226"/>
      <c r="AF52" s="226"/>
      <c r="AG52" s="226"/>
      <c r="AH52" s="226"/>
    </row>
    <row r="53" spans="1:34" ht="51.75" customHeight="1">
      <c r="A53" s="144" t="s">
        <v>73</v>
      </c>
      <c r="B53" s="145" t="s">
        <v>383</v>
      </c>
      <c r="C53" s="144"/>
      <c r="D53" s="145"/>
      <c r="E53" s="144"/>
      <c r="F53" s="146"/>
      <c r="G53" s="144"/>
      <c r="H53" s="184"/>
      <c r="I53" s="148">
        <f t="shared" ref="I53:S53" si="15">SUM(I54:I56)</f>
        <v>57675</v>
      </c>
      <c r="J53" s="148">
        <f t="shared" si="15"/>
        <v>57675</v>
      </c>
      <c r="K53" s="148">
        <f t="shared" si="15"/>
        <v>54220</v>
      </c>
      <c r="L53" s="148">
        <f t="shared" si="15"/>
        <v>53491</v>
      </c>
      <c r="M53" s="148">
        <f t="shared" si="15"/>
        <v>53491</v>
      </c>
      <c r="N53" s="148">
        <f t="shared" si="15"/>
        <v>53491</v>
      </c>
      <c r="O53" s="151">
        <f t="shared" si="15"/>
        <v>729</v>
      </c>
      <c r="P53" s="148">
        <f t="shared" si="15"/>
        <v>729</v>
      </c>
      <c r="Q53" s="148">
        <f t="shared" si="15"/>
        <v>0</v>
      </c>
      <c r="R53" s="148">
        <f t="shared" si="15"/>
        <v>0</v>
      </c>
      <c r="S53" s="148">
        <f t="shared" si="15"/>
        <v>0</v>
      </c>
      <c r="T53" s="148"/>
      <c r="U53" s="148"/>
      <c r="V53" s="165"/>
      <c r="AA53" s="226"/>
      <c r="AB53" s="226"/>
      <c r="AC53" s="226"/>
      <c r="AD53" s="226"/>
      <c r="AE53" s="226"/>
      <c r="AF53" s="226"/>
      <c r="AG53" s="226"/>
      <c r="AH53" s="226"/>
    </row>
    <row r="54" spans="1:34" ht="66">
      <c r="A54" s="166">
        <v>1</v>
      </c>
      <c r="B54" s="167" t="s">
        <v>158</v>
      </c>
      <c r="C54" s="166" t="s">
        <v>79</v>
      </c>
      <c r="D54" s="166" t="s">
        <v>181</v>
      </c>
      <c r="E54" s="166" t="s">
        <v>3</v>
      </c>
      <c r="F54" s="168">
        <v>7004686</v>
      </c>
      <c r="G54" s="166" t="s">
        <v>18</v>
      </c>
      <c r="H54" s="166" t="s">
        <v>159</v>
      </c>
      <c r="I54" s="169">
        <v>43249</v>
      </c>
      <c r="J54" s="169">
        <v>43249</v>
      </c>
      <c r="K54" s="169">
        <f>43249-2918</f>
        <v>40331</v>
      </c>
      <c r="L54" s="170">
        <f>42000-1909</f>
        <v>40091</v>
      </c>
      <c r="M54" s="170">
        <f>42000-1909</f>
        <v>40091</v>
      </c>
      <c r="N54" s="170">
        <f>42000-1909</f>
        <v>40091</v>
      </c>
      <c r="O54" s="151">
        <f>SUM(P54:S54)</f>
        <v>240</v>
      </c>
      <c r="P54" s="170">
        <v>240</v>
      </c>
      <c r="Q54" s="170"/>
      <c r="R54" s="170"/>
      <c r="S54" s="170"/>
      <c r="T54" s="170"/>
      <c r="U54" s="170"/>
      <c r="V54" s="165"/>
      <c r="AA54" s="226"/>
      <c r="AB54" s="226"/>
      <c r="AC54" s="226"/>
      <c r="AD54" s="226"/>
      <c r="AE54" s="226"/>
      <c r="AF54" s="226"/>
      <c r="AG54" s="226"/>
      <c r="AH54" s="226"/>
    </row>
    <row r="55" spans="1:34" ht="81.75" customHeight="1">
      <c r="A55" s="166">
        <v>2</v>
      </c>
      <c r="B55" s="167" t="s">
        <v>402</v>
      </c>
      <c r="C55" s="166" t="s">
        <v>14</v>
      </c>
      <c r="D55" s="166" t="s">
        <v>181</v>
      </c>
      <c r="E55" s="166" t="s">
        <v>3</v>
      </c>
      <c r="F55" s="168">
        <v>7004686</v>
      </c>
      <c r="G55" s="166" t="s">
        <v>18</v>
      </c>
      <c r="H55" s="166" t="s">
        <v>518</v>
      </c>
      <c r="I55" s="169">
        <v>11007</v>
      </c>
      <c r="J55" s="169">
        <v>11007</v>
      </c>
      <c r="K55" s="169">
        <f>8766+1704</f>
        <v>10470</v>
      </c>
      <c r="L55" s="170">
        <f>8400+2000</f>
        <v>10400</v>
      </c>
      <c r="M55" s="170">
        <f>8400+2000</f>
        <v>10400</v>
      </c>
      <c r="N55" s="170">
        <f>8400+2000</f>
        <v>10400</v>
      </c>
      <c r="O55" s="151">
        <f>SUM(P55:S55)</f>
        <v>70</v>
      </c>
      <c r="P55" s="170">
        <v>70</v>
      </c>
      <c r="Q55" s="170"/>
      <c r="R55" s="170"/>
      <c r="S55" s="170"/>
      <c r="T55" s="170"/>
      <c r="U55" s="170"/>
      <c r="V55" s="166"/>
      <c r="AA55" s="226"/>
      <c r="AB55" s="226"/>
      <c r="AC55" s="226"/>
      <c r="AD55" s="226"/>
      <c r="AE55" s="226"/>
      <c r="AF55" s="226"/>
      <c r="AG55" s="226"/>
      <c r="AH55" s="226"/>
    </row>
    <row r="56" spans="1:34" ht="66">
      <c r="A56" s="166">
        <v>3</v>
      </c>
      <c r="B56" s="167" t="s">
        <v>403</v>
      </c>
      <c r="C56" s="166" t="s">
        <v>32</v>
      </c>
      <c r="D56" s="166" t="s">
        <v>181</v>
      </c>
      <c r="E56" s="166" t="s">
        <v>3</v>
      </c>
      <c r="F56" s="168">
        <v>7004686</v>
      </c>
      <c r="G56" s="166" t="s">
        <v>225</v>
      </c>
      <c r="H56" s="166" t="s">
        <v>519</v>
      </c>
      <c r="I56" s="169">
        <v>3419</v>
      </c>
      <c r="J56" s="169">
        <v>3419</v>
      </c>
      <c r="K56" s="170">
        <v>3419</v>
      </c>
      <c r="L56" s="170">
        <v>3000</v>
      </c>
      <c r="M56" s="170">
        <v>3000</v>
      </c>
      <c r="N56" s="170">
        <v>3000</v>
      </c>
      <c r="O56" s="151">
        <f>SUM(P56:S56)</f>
        <v>419</v>
      </c>
      <c r="P56" s="170">
        <v>419</v>
      </c>
      <c r="Q56" s="170"/>
      <c r="R56" s="170"/>
      <c r="S56" s="170"/>
      <c r="T56" s="170"/>
      <c r="U56" s="170"/>
      <c r="V56" s="166"/>
      <c r="AA56" s="226"/>
      <c r="AB56" s="226"/>
      <c r="AC56" s="226"/>
      <c r="AD56" s="226"/>
      <c r="AE56" s="226"/>
      <c r="AF56" s="226"/>
      <c r="AG56" s="226"/>
      <c r="AH56" s="226"/>
    </row>
    <row r="57" spans="1:34" ht="31.7" customHeight="1">
      <c r="A57" s="144" t="s">
        <v>67</v>
      </c>
      <c r="B57" s="145" t="s">
        <v>101</v>
      </c>
      <c r="C57" s="144"/>
      <c r="D57" s="145"/>
      <c r="E57" s="144"/>
      <c r="F57" s="146"/>
      <c r="G57" s="144"/>
      <c r="H57" s="144"/>
      <c r="I57" s="148">
        <f t="shared" ref="I57:S57" si="16">SUM(I58:I61)</f>
        <v>25322</v>
      </c>
      <c r="J57" s="148">
        <f t="shared" si="16"/>
        <v>25322</v>
      </c>
      <c r="K57" s="148">
        <f t="shared" si="16"/>
        <v>24790</v>
      </c>
      <c r="L57" s="148">
        <f t="shared" si="16"/>
        <v>0</v>
      </c>
      <c r="M57" s="148">
        <f t="shared" si="16"/>
        <v>0</v>
      </c>
      <c r="N57" s="148">
        <f t="shared" si="16"/>
        <v>0</v>
      </c>
      <c r="O57" s="151">
        <f t="shared" si="16"/>
        <v>22398</v>
      </c>
      <c r="P57" s="148">
        <f t="shared" si="16"/>
        <v>22398</v>
      </c>
      <c r="Q57" s="148">
        <f t="shared" si="16"/>
        <v>0</v>
      </c>
      <c r="R57" s="148">
        <f t="shared" si="16"/>
        <v>0</v>
      </c>
      <c r="S57" s="148">
        <f t="shared" si="16"/>
        <v>0</v>
      </c>
      <c r="T57" s="148"/>
      <c r="U57" s="148"/>
      <c r="V57" s="165"/>
      <c r="AA57" s="226"/>
      <c r="AB57" s="226"/>
      <c r="AC57" s="226"/>
      <c r="AD57" s="226"/>
      <c r="AE57" s="226"/>
      <c r="AF57" s="226"/>
      <c r="AG57" s="226"/>
      <c r="AH57" s="226"/>
    </row>
    <row r="58" spans="1:34" ht="82.5">
      <c r="A58" s="166">
        <v>1</v>
      </c>
      <c r="B58" s="167" t="s">
        <v>404</v>
      </c>
      <c r="C58" s="166" t="s">
        <v>14</v>
      </c>
      <c r="D58" s="166" t="s">
        <v>181</v>
      </c>
      <c r="E58" s="166" t="s">
        <v>3</v>
      </c>
      <c r="F58" s="168">
        <v>7004686</v>
      </c>
      <c r="G58" s="166" t="s">
        <v>520</v>
      </c>
      <c r="H58" s="166" t="s">
        <v>521</v>
      </c>
      <c r="I58" s="169">
        <v>6654</v>
      </c>
      <c r="J58" s="169">
        <v>6654</v>
      </c>
      <c r="K58" s="169">
        <f>3000+3677</f>
        <v>6677</v>
      </c>
      <c r="L58" s="170"/>
      <c r="M58" s="170"/>
      <c r="N58" s="170"/>
      <c r="O58" s="151">
        <f>SUM(P58:S58)</f>
        <v>6500</v>
      </c>
      <c r="P58" s="169">
        <v>6500</v>
      </c>
      <c r="Q58" s="169"/>
      <c r="R58" s="169"/>
      <c r="S58" s="169"/>
      <c r="T58" s="169"/>
      <c r="U58" s="169"/>
      <c r="V58" s="165"/>
      <c r="AA58" s="226"/>
      <c r="AB58" s="226"/>
      <c r="AC58" s="226"/>
      <c r="AD58" s="226"/>
      <c r="AE58" s="226"/>
      <c r="AF58" s="226"/>
      <c r="AG58" s="226"/>
      <c r="AH58" s="226"/>
    </row>
    <row r="59" spans="1:34" ht="66">
      <c r="A59" s="166">
        <v>2</v>
      </c>
      <c r="B59" s="167" t="s">
        <v>405</v>
      </c>
      <c r="C59" s="166" t="s">
        <v>79</v>
      </c>
      <c r="D59" s="166" t="s">
        <v>181</v>
      </c>
      <c r="E59" s="166" t="s">
        <v>3</v>
      </c>
      <c r="F59" s="168">
        <v>7004686</v>
      </c>
      <c r="G59" s="166" t="s">
        <v>520</v>
      </c>
      <c r="H59" s="166" t="s">
        <v>522</v>
      </c>
      <c r="I59" s="169">
        <v>2605</v>
      </c>
      <c r="J59" s="169">
        <v>2605</v>
      </c>
      <c r="K59" s="169">
        <v>2600</v>
      </c>
      <c r="L59" s="170"/>
      <c r="M59" s="170"/>
      <c r="N59" s="170"/>
      <c r="O59" s="151">
        <f>SUM(P59:S59)</f>
        <v>2485</v>
      </c>
      <c r="P59" s="169">
        <v>2485</v>
      </c>
      <c r="Q59" s="169"/>
      <c r="R59" s="169"/>
      <c r="S59" s="169"/>
      <c r="T59" s="169"/>
      <c r="U59" s="169"/>
      <c r="V59" s="165"/>
      <c r="AA59" s="226"/>
      <c r="AB59" s="226"/>
      <c r="AC59" s="226"/>
      <c r="AD59" s="226"/>
      <c r="AE59" s="226"/>
      <c r="AF59" s="226"/>
      <c r="AG59" s="226"/>
      <c r="AH59" s="226"/>
    </row>
    <row r="60" spans="1:34" ht="66">
      <c r="A60" s="166">
        <v>3</v>
      </c>
      <c r="B60" s="167" t="s">
        <v>406</v>
      </c>
      <c r="C60" s="166" t="s">
        <v>14</v>
      </c>
      <c r="D60" s="166" t="s">
        <v>181</v>
      </c>
      <c r="E60" s="166" t="s">
        <v>3</v>
      </c>
      <c r="F60" s="168">
        <v>7004686</v>
      </c>
      <c r="G60" s="166" t="s">
        <v>520</v>
      </c>
      <c r="H60" s="166" t="s">
        <v>523</v>
      </c>
      <c r="I60" s="169">
        <v>5158</v>
      </c>
      <c r="J60" s="169">
        <v>5158</v>
      </c>
      <c r="K60" s="169">
        <f>2500+2508</f>
        <v>5008</v>
      </c>
      <c r="L60" s="170"/>
      <c r="M60" s="170"/>
      <c r="N60" s="170"/>
      <c r="O60" s="151">
        <f>SUM(P60:S60)</f>
        <v>5008</v>
      </c>
      <c r="P60" s="169">
        <v>5008</v>
      </c>
      <c r="Q60" s="169"/>
      <c r="R60" s="169"/>
      <c r="S60" s="169"/>
      <c r="T60" s="169"/>
      <c r="U60" s="169"/>
      <c r="V60" s="165"/>
      <c r="AA60" s="226"/>
      <c r="AB60" s="226"/>
      <c r="AC60" s="226"/>
      <c r="AD60" s="226"/>
      <c r="AE60" s="226"/>
      <c r="AF60" s="226"/>
      <c r="AG60" s="226"/>
      <c r="AH60" s="226"/>
    </row>
    <row r="61" spans="1:34" ht="66">
      <c r="A61" s="166">
        <v>4</v>
      </c>
      <c r="B61" s="167" t="s">
        <v>407</v>
      </c>
      <c r="C61" s="166" t="s">
        <v>32</v>
      </c>
      <c r="D61" s="166" t="s">
        <v>181</v>
      </c>
      <c r="E61" s="166" t="s">
        <v>3</v>
      </c>
      <c r="F61" s="168">
        <v>7004686</v>
      </c>
      <c r="G61" s="166" t="s">
        <v>520</v>
      </c>
      <c r="H61" s="166" t="s">
        <v>524</v>
      </c>
      <c r="I61" s="169">
        <v>10905</v>
      </c>
      <c r="J61" s="169">
        <v>10905</v>
      </c>
      <c r="K61" s="169">
        <f>5000+5505</f>
        <v>10505</v>
      </c>
      <c r="L61" s="170"/>
      <c r="M61" s="170"/>
      <c r="N61" s="170"/>
      <c r="O61" s="151">
        <f>SUM(P61:S61)</f>
        <v>8405</v>
      </c>
      <c r="P61" s="169">
        <f>10505-2100</f>
        <v>8405</v>
      </c>
      <c r="Q61" s="169"/>
      <c r="R61" s="169"/>
      <c r="S61" s="169"/>
      <c r="T61" s="169"/>
      <c r="U61" s="169"/>
      <c r="V61" s="165"/>
      <c r="AA61" s="226"/>
      <c r="AB61" s="226"/>
      <c r="AC61" s="226"/>
      <c r="AD61" s="226"/>
      <c r="AE61" s="226"/>
      <c r="AF61" s="226"/>
      <c r="AG61" s="226"/>
      <c r="AH61" s="226"/>
    </row>
    <row r="62" spans="1:34" ht="28.5" customHeight="1">
      <c r="A62" s="159" t="s">
        <v>28</v>
      </c>
      <c r="B62" s="160" t="s">
        <v>408</v>
      </c>
      <c r="C62" s="159"/>
      <c r="D62" s="160"/>
      <c r="E62" s="159"/>
      <c r="F62" s="161"/>
      <c r="G62" s="159"/>
      <c r="H62" s="159"/>
      <c r="I62" s="162">
        <f t="shared" ref="I62:S62" si="17">I63+I69+I72</f>
        <v>181616.253</v>
      </c>
      <c r="J62" s="162">
        <f t="shared" si="17"/>
        <v>119381.253</v>
      </c>
      <c r="K62" s="162">
        <f t="shared" si="17"/>
        <v>119412</v>
      </c>
      <c r="L62" s="162">
        <f t="shared" si="17"/>
        <v>53902</v>
      </c>
      <c r="M62" s="162">
        <f t="shared" si="17"/>
        <v>53902</v>
      </c>
      <c r="N62" s="162">
        <f t="shared" si="17"/>
        <v>53902</v>
      </c>
      <c r="O62" s="163">
        <f t="shared" si="17"/>
        <v>38342</v>
      </c>
      <c r="P62" s="162">
        <f t="shared" si="17"/>
        <v>38342</v>
      </c>
      <c r="Q62" s="162">
        <f t="shared" si="17"/>
        <v>0</v>
      </c>
      <c r="R62" s="162">
        <f t="shared" si="17"/>
        <v>0</v>
      </c>
      <c r="S62" s="162">
        <f t="shared" si="17"/>
        <v>0</v>
      </c>
      <c r="T62" s="162"/>
      <c r="U62" s="162"/>
      <c r="V62" s="164"/>
      <c r="AA62" s="226"/>
      <c r="AB62" s="226"/>
      <c r="AC62" s="226"/>
      <c r="AD62" s="226"/>
      <c r="AE62" s="226"/>
      <c r="AF62" s="226"/>
      <c r="AG62" s="226"/>
      <c r="AH62" s="226"/>
    </row>
    <row r="63" spans="1:34" ht="43.5" customHeight="1">
      <c r="A63" s="144" t="s">
        <v>73</v>
      </c>
      <c r="B63" s="145" t="s">
        <v>383</v>
      </c>
      <c r="C63" s="144"/>
      <c r="D63" s="145"/>
      <c r="E63" s="144"/>
      <c r="F63" s="146"/>
      <c r="G63" s="144"/>
      <c r="H63" s="144"/>
      <c r="I63" s="148">
        <f t="shared" ref="I63:S63" si="18">SUM(I64:I68)</f>
        <v>51678.252999999997</v>
      </c>
      <c r="J63" s="148">
        <f t="shared" si="18"/>
        <v>51678.252999999997</v>
      </c>
      <c r="K63" s="148">
        <f t="shared" si="18"/>
        <v>51030</v>
      </c>
      <c r="L63" s="148">
        <f t="shared" si="18"/>
        <v>47554</v>
      </c>
      <c r="M63" s="148">
        <f t="shared" si="18"/>
        <v>47554</v>
      </c>
      <c r="N63" s="148">
        <f t="shared" si="18"/>
        <v>47554</v>
      </c>
      <c r="O63" s="151">
        <f t="shared" si="18"/>
        <v>2842</v>
      </c>
      <c r="P63" s="148">
        <f t="shared" si="18"/>
        <v>2842</v>
      </c>
      <c r="Q63" s="148">
        <f t="shared" si="18"/>
        <v>0</v>
      </c>
      <c r="R63" s="148">
        <f t="shared" si="18"/>
        <v>0</v>
      </c>
      <c r="S63" s="148">
        <f t="shared" si="18"/>
        <v>0</v>
      </c>
      <c r="T63" s="148"/>
      <c r="U63" s="148"/>
      <c r="V63" s="165"/>
      <c r="AA63" s="226"/>
      <c r="AB63" s="226"/>
      <c r="AC63" s="226"/>
      <c r="AD63" s="226"/>
      <c r="AE63" s="226"/>
      <c r="AF63" s="226"/>
      <c r="AG63" s="226"/>
      <c r="AH63" s="226"/>
    </row>
    <row r="64" spans="1:34" ht="132">
      <c r="A64" s="180">
        <v>1</v>
      </c>
      <c r="B64" s="181" t="s">
        <v>409</v>
      </c>
      <c r="C64" s="180" t="s">
        <v>64</v>
      </c>
      <c r="D64" s="180" t="s">
        <v>181</v>
      </c>
      <c r="E64" s="180" t="s">
        <v>3</v>
      </c>
      <c r="F64" s="171">
        <v>7004692</v>
      </c>
      <c r="G64" s="180" t="s">
        <v>225</v>
      </c>
      <c r="H64" s="180" t="s">
        <v>525</v>
      </c>
      <c r="I64" s="169">
        <v>22723</v>
      </c>
      <c r="J64" s="169">
        <v>22723</v>
      </c>
      <c r="K64" s="183">
        <v>22669</v>
      </c>
      <c r="L64" s="183">
        <f>22262-1230</f>
        <v>21032</v>
      </c>
      <c r="M64" s="183">
        <f>22262-1230</f>
        <v>21032</v>
      </c>
      <c r="N64" s="183">
        <f>22262-1230</f>
        <v>21032</v>
      </c>
      <c r="O64" s="151">
        <f>SUM(P64:S64)</f>
        <v>1632</v>
      </c>
      <c r="P64" s="183">
        <v>1632</v>
      </c>
      <c r="Q64" s="183"/>
      <c r="R64" s="183"/>
      <c r="S64" s="183"/>
      <c r="T64" s="183"/>
      <c r="U64" s="183"/>
      <c r="V64" s="165"/>
      <c r="AA64" s="226"/>
      <c r="AB64" s="226"/>
      <c r="AC64" s="226"/>
      <c r="AD64" s="226"/>
      <c r="AE64" s="226"/>
      <c r="AF64" s="226"/>
      <c r="AG64" s="226"/>
      <c r="AH64" s="226"/>
    </row>
    <row r="65" spans="1:34" ht="66">
      <c r="A65" s="180">
        <v>2</v>
      </c>
      <c r="B65" s="185" t="s">
        <v>156</v>
      </c>
      <c r="C65" s="180" t="s">
        <v>38</v>
      </c>
      <c r="D65" s="180" t="s">
        <v>181</v>
      </c>
      <c r="E65" s="180" t="s">
        <v>3</v>
      </c>
      <c r="F65" s="171">
        <v>7004692</v>
      </c>
      <c r="G65" s="180" t="s">
        <v>153</v>
      </c>
      <c r="H65" s="180" t="s">
        <v>526</v>
      </c>
      <c r="I65" s="169">
        <v>12365</v>
      </c>
      <c r="J65" s="169">
        <v>12365</v>
      </c>
      <c r="K65" s="183">
        <v>12000</v>
      </c>
      <c r="L65" s="183">
        <f>12500-981</f>
        <v>11519</v>
      </c>
      <c r="M65" s="183">
        <f>12500-981</f>
        <v>11519</v>
      </c>
      <c r="N65" s="183">
        <f>12500-981</f>
        <v>11519</v>
      </c>
      <c r="O65" s="151">
        <f>SUM(P65:S65)</f>
        <v>60</v>
      </c>
      <c r="P65" s="183">
        <v>60</v>
      </c>
      <c r="Q65" s="183"/>
      <c r="R65" s="183"/>
      <c r="S65" s="183"/>
      <c r="T65" s="183"/>
      <c r="U65" s="183"/>
      <c r="V65" s="165"/>
      <c r="AA65" s="226"/>
      <c r="AB65" s="226"/>
      <c r="AC65" s="226"/>
      <c r="AD65" s="226"/>
      <c r="AE65" s="226"/>
      <c r="AF65" s="226"/>
      <c r="AG65" s="226"/>
      <c r="AH65" s="226"/>
    </row>
    <row r="66" spans="1:34" ht="66">
      <c r="A66" s="180">
        <v>3</v>
      </c>
      <c r="B66" s="186" t="s">
        <v>410</v>
      </c>
      <c r="C66" s="180" t="s">
        <v>14</v>
      </c>
      <c r="D66" s="180" t="s">
        <v>181</v>
      </c>
      <c r="E66" s="180" t="s">
        <v>3</v>
      </c>
      <c r="F66" s="171">
        <v>7004692</v>
      </c>
      <c r="G66" s="180" t="s">
        <v>153</v>
      </c>
      <c r="H66" s="180" t="s">
        <v>527</v>
      </c>
      <c r="I66" s="169">
        <v>2598</v>
      </c>
      <c r="J66" s="169">
        <v>2598</v>
      </c>
      <c r="K66" s="183">
        <v>2500</v>
      </c>
      <c r="L66" s="183">
        <f>2500-497</f>
        <v>2003</v>
      </c>
      <c r="M66" s="183">
        <f>2500-497</f>
        <v>2003</v>
      </c>
      <c r="N66" s="183">
        <f>2500-497</f>
        <v>2003</v>
      </c>
      <c r="O66" s="151">
        <f>SUM(P66:S66)</f>
        <v>400</v>
      </c>
      <c r="P66" s="183">
        <v>400</v>
      </c>
      <c r="Q66" s="183"/>
      <c r="R66" s="183"/>
      <c r="S66" s="183"/>
      <c r="T66" s="183"/>
      <c r="U66" s="183"/>
      <c r="V66" s="165"/>
      <c r="AA66" s="226"/>
      <c r="AB66" s="226"/>
      <c r="AC66" s="226"/>
      <c r="AD66" s="226"/>
      <c r="AE66" s="226"/>
      <c r="AF66" s="226"/>
      <c r="AG66" s="226"/>
      <c r="AH66" s="226"/>
    </row>
    <row r="67" spans="1:34" ht="82.5">
      <c r="A67" s="180">
        <v>4</v>
      </c>
      <c r="B67" s="185" t="s">
        <v>411</v>
      </c>
      <c r="C67" s="180" t="s">
        <v>38</v>
      </c>
      <c r="D67" s="180" t="s">
        <v>181</v>
      </c>
      <c r="E67" s="180" t="s">
        <v>3</v>
      </c>
      <c r="F67" s="171">
        <v>7004692</v>
      </c>
      <c r="G67" s="180" t="s">
        <v>225</v>
      </c>
      <c r="H67" s="180" t="s">
        <v>528</v>
      </c>
      <c r="I67" s="169">
        <v>12731.253000000001</v>
      </c>
      <c r="J67" s="169">
        <v>12731.253000000001</v>
      </c>
      <c r="K67" s="183">
        <v>12650</v>
      </c>
      <c r="L67" s="183">
        <v>12000</v>
      </c>
      <c r="M67" s="183">
        <v>12000</v>
      </c>
      <c r="N67" s="183">
        <v>12000</v>
      </c>
      <c r="O67" s="151">
        <f>SUM(P67:S67)</f>
        <v>600</v>
      </c>
      <c r="P67" s="183">
        <v>600</v>
      </c>
      <c r="Q67" s="183"/>
      <c r="R67" s="183"/>
      <c r="S67" s="183"/>
      <c r="T67" s="183"/>
      <c r="U67" s="183"/>
      <c r="V67" s="165"/>
      <c r="AA67" s="226"/>
      <c r="AB67" s="226"/>
      <c r="AC67" s="226"/>
      <c r="AD67" s="226"/>
      <c r="AE67" s="226"/>
      <c r="AF67" s="226"/>
      <c r="AG67" s="226"/>
      <c r="AH67" s="226"/>
    </row>
    <row r="68" spans="1:34" ht="49.5">
      <c r="A68" s="180">
        <v>5</v>
      </c>
      <c r="B68" s="181" t="s">
        <v>211</v>
      </c>
      <c r="C68" s="180" t="s">
        <v>13</v>
      </c>
      <c r="D68" s="180" t="s">
        <v>181</v>
      </c>
      <c r="E68" s="180" t="s">
        <v>3</v>
      </c>
      <c r="F68" s="171">
        <v>7004692</v>
      </c>
      <c r="G68" s="180" t="s">
        <v>225</v>
      </c>
      <c r="H68" s="180" t="s">
        <v>226</v>
      </c>
      <c r="I68" s="169">
        <v>1261</v>
      </c>
      <c r="J68" s="169">
        <v>1261</v>
      </c>
      <c r="K68" s="169">
        <v>1211</v>
      </c>
      <c r="L68" s="183">
        <v>1000</v>
      </c>
      <c r="M68" s="183">
        <v>1000</v>
      </c>
      <c r="N68" s="183">
        <v>1000</v>
      </c>
      <c r="O68" s="151">
        <f>SUM(P68:S68)</f>
        <v>150</v>
      </c>
      <c r="P68" s="183">
        <v>150</v>
      </c>
      <c r="Q68" s="183"/>
      <c r="R68" s="183"/>
      <c r="S68" s="183"/>
      <c r="T68" s="183"/>
      <c r="U68" s="183"/>
      <c r="V68" s="165"/>
      <c r="AA68" s="226"/>
      <c r="AB68" s="226"/>
      <c r="AC68" s="226"/>
      <c r="AD68" s="226"/>
      <c r="AE68" s="226"/>
      <c r="AF68" s="226"/>
      <c r="AG68" s="226"/>
      <c r="AH68" s="226"/>
    </row>
    <row r="69" spans="1:34" ht="46.5" customHeight="1">
      <c r="A69" s="144" t="s">
        <v>60</v>
      </c>
      <c r="B69" s="145" t="s">
        <v>412</v>
      </c>
      <c r="C69" s="144"/>
      <c r="D69" s="145"/>
      <c r="E69" s="144"/>
      <c r="F69" s="146"/>
      <c r="G69" s="144"/>
      <c r="H69" s="144"/>
      <c r="I69" s="148">
        <f t="shared" ref="I69:S69" si="19">SUM(I70:I71)</f>
        <v>124135</v>
      </c>
      <c r="J69" s="148">
        <f t="shared" si="19"/>
        <v>61900</v>
      </c>
      <c r="K69" s="148">
        <f t="shared" si="19"/>
        <v>61982</v>
      </c>
      <c r="L69" s="148">
        <f t="shared" si="19"/>
        <v>6348</v>
      </c>
      <c r="M69" s="148">
        <f t="shared" si="19"/>
        <v>6348</v>
      </c>
      <c r="N69" s="148">
        <f t="shared" si="19"/>
        <v>6348</v>
      </c>
      <c r="O69" s="151">
        <f t="shared" si="19"/>
        <v>30000</v>
      </c>
      <c r="P69" s="148">
        <f t="shared" si="19"/>
        <v>30000</v>
      </c>
      <c r="Q69" s="148">
        <f t="shared" si="19"/>
        <v>0</v>
      </c>
      <c r="R69" s="148">
        <f t="shared" si="19"/>
        <v>0</v>
      </c>
      <c r="S69" s="148">
        <f t="shared" si="19"/>
        <v>0</v>
      </c>
      <c r="T69" s="148"/>
      <c r="U69" s="148"/>
      <c r="V69" s="146">
        <f>SUM(V70:V71)</f>
        <v>0</v>
      </c>
      <c r="AA69" s="226"/>
      <c r="AB69" s="226"/>
      <c r="AC69" s="226"/>
      <c r="AD69" s="226"/>
      <c r="AE69" s="226"/>
      <c r="AF69" s="226"/>
      <c r="AG69" s="226"/>
      <c r="AH69" s="226"/>
    </row>
    <row r="70" spans="1:34" ht="66">
      <c r="A70" s="166">
        <v>1</v>
      </c>
      <c r="B70" s="167" t="s">
        <v>413</v>
      </c>
      <c r="C70" s="166" t="s">
        <v>64</v>
      </c>
      <c r="D70" s="166" t="s">
        <v>181</v>
      </c>
      <c r="E70" s="166" t="s">
        <v>2</v>
      </c>
      <c r="F70" s="168">
        <v>7004692</v>
      </c>
      <c r="G70" s="166" t="s">
        <v>502</v>
      </c>
      <c r="H70" s="166" t="s">
        <v>529</v>
      </c>
      <c r="I70" s="169">
        <v>86172</v>
      </c>
      <c r="J70" s="169">
        <v>43000</v>
      </c>
      <c r="K70" s="169">
        <f>10000+33000</f>
        <v>43000</v>
      </c>
      <c r="L70" s="170">
        <v>5000</v>
      </c>
      <c r="M70" s="170">
        <v>5000</v>
      </c>
      <c r="N70" s="170">
        <v>5000</v>
      </c>
      <c r="O70" s="151">
        <f>SUM(P70:S70)</f>
        <v>20000</v>
      </c>
      <c r="P70" s="170">
        <v>20000</v>
      </c>
      <c r="Q70" s="170"/>
      <c r="R70" s="170"/>
      <c r="S70" s="170"/>
      <c r="T70" s="170"/>
      <c r="U70" s="170"/>
      <c r="V70" s="165"/>
      <c r="AA70" s="226"/>
      <c r="AB70" s="226"/>
      <c r="AC70" s="226"/>
      <c r="AD70" s="226"/>
      <c r="AE70" s="226"/>
      <c r="AF70" s="226"/>
      <c r="AG70" s="226"/>
      <c r="AH70" s="226"/>
    </row>
    <row r="71" spans="1:34" ht="82.5">
      <c r="A71" s="166">
        <v>2</v>
      </c>
      <c r="B71" s="167" t="s">
        <v>414</v>
      </c>
      <c r="C71" s="166" t="s">
        <v>14</v>
      </c>
      <c r="D71" s="166" t="s">
        <v>181</v>
      </c>
      <c r="E71" s="166" t="s">
        <v>3</v>
      </c>
      <c r="F71" s="168">
        <v>7004692</v>
      </c>
      <c r="G71" s="166" t="s">
        <v>502</v>
      </c>
      <c r="H71" s="166" t="s">
        <v>530</v>
      </c>
      <c r="I71" s="169">
        <v>37963</v>
      </c>
      <c r="J71" s="169">
        <v>18900</v>
      </c>
      <c r="K71" s="169">
        <f>10000+8982</f>
        <v>18982</v>
      </c>
      <c r="L71" s="170">
        <f>5000-3652</f>
        <v>1348</v>
      </c>
      <c r="M71" s="170">
        <f>5000-3652</f>
        <v>1348</v>
      </c>
      <c r="N71" s="170">
        <f>5000-3652</f>
        <v>1348</v>
      </c>
      <c r="O71" s="151">
        <f>SUM(P71:S71)</f>
        <v>10000</v>
      </c>
      <c r="P71" s="170">
        <v>10000</v>
      </c>
      <c r="Q71" s="170"/>
      <c r="R71" s="170"/>
      <c r="S71" s="170"/>
      <c r="T71" s="170"/>
      <c r="U71" s="170"/>
      <c r="V71" s="165"/>
      <c r="AA71" s="226"/>
      <c r="AB71" s="226"/>
      <c r="AC71" s="226"/>
      <c r="AD71" s="226"/>
      <c r="AE71" s="226"/>
      <c r="AF71" s="226"/>
      <c r="AG71" s="226"/>
      <c r="AH71" s="226"/>
    </row>
    <row r="72" spans="1:34" ht="34.5" customHeight="1">
      <c r="A72" s="144" t="s">
        <v>67</v>
      </c>
      <c r="B72" s="145" t="s">
        <v>101</v>
      </c>
      <c r="C72" s="144"/>
      <c r="D72" s="145"/>
      <c r="E72" s="144"/>
      <c r="F72" s="146"/>
      <c r="G72" s="144"/>
      <c r="H72" s="144"/>
      <c r="I72" s="148">
        <f t="shared" ref="I72:S72" si="20">I73</f>
        <v>5803</v>
      </c>
      <c r="J72" s="148">
        <f t="shared" si="20"/>
        <v>5803</v>
      </c>
      <c r="K72" s="148">
        <f t="shared" si="20"/>
        <v>6400</v>
      </c>
      <c r="L72" s="148">
        <f t="shared" si="20"/>
        <v>0</v>
      </c>
      <c r="M72" s="148">
        <f t="shared" si="20"/>
        <v>0</v>
      </c>
      <c r="N72" s="148">
        <f t="shared" si="20"/>
        <v>0</v>
      </c>
      <c r="O72" s="151">
        <f t="shared" si="20"/>
        <v>5500</v>
      </c>
      <c r="P72" s="148">
        <f t="shared" si="20"/>
        <v>5500</v>
      </c>
      <c r="Q72" s="148">
        <f t="shared" si="20"/>
        <v>0</v>
      </c>
      <c r="R72" s="148">
        <f t="shared" si="20"/>
        <v>0</v>
      </c>
      <c r="S72" s="148">
        <f t="shared" si="20"/>
        <v>0</v>
      </c>
      <c r="T72" s="148"/>
      <c r="U72" s="148"/>
      <c r="V72" s="165"/>
      <c r="AA72" s="226"/>
      <c r="AB72" s="226"/>
      <c r="AC72" s="226"/>
      <c r="AD72" s="226"/>
      <c r="AE72" s="226"/>
      <c r="AF72" s="226"/>
      <c r="AG72" s="226"/>
      <c r="AH72" s="226"/>
    </row>
    <row r="73" spans="1:34" ht="66">
      <c r="A73" s="166">
        <v>1</v>
      </c>
      <c r="B73" s="187" t="s">
        <v>415</v>
      </c>
      <c r="C73" s="166" t="s">
        <v>14</v>
      </c>
      <c r="D73" s="166" t="s">
        <v>181</v>
      </c>
      <c r="E73" s="166" t="s">
        <v>3</v>
      </c>
      <c r="F73" s="168">
        <v>7004692</v>
      </c>
      <c r="G73" s="166" t="s">
        <v>502</v>
      </c>
      <c r="H73" s="166" t="s">
        <v>531</v>
      </c>
      <c r="I73" s="169">
        <v>5803</v>
      </c>
      <c r="J73" s="169">
        <v>5803</v>
      </c>
      <c r="K73" s="170">
        <v>6400</v>
      </c>
      <c r="L73" s="170"/>
      <c r="M73" s="170"/>
      <c r="N73" s="170"/>
      <c r="O73" s="151">
        <f>SUM(P73:S73)</f>
        <v>5500</v>
      </c>
      <c r="P73" s="170">
        <v>5500</v>
      </c>
      <c r="Q73" s="170"/>
      <c r="R73" s="170"/>
      <c r="S73" s="170"/>
      <c r="T73" s="170"/>
      <c r="U73" s="170"/>
      <c r="V73" s="165"/>
      <c r="AA73" s="226"/>
      <c r="AB73" s="226"/>
      <c r="AC73" s="226"/>
      <c r="AD73" s="226"/>
      <c r="AE73" s="226"/>
      <c r="AF73" s="226"/>
      <c r="AG73" s="226"/>
      <c r="AH73" s="226"/>
    </row>
    <row r="74" spans="1:34" ht="41.25" customHeight="1">
      <c r="A74" s="159" t="s">
        <v>30</v>
      </c>
      <c r="B74" s="160" t="s">
        <v>416</v>
      </c>
      <c r="C74" s="159"/>
      <c r="D74" s="160"/>
      <c r="E74" s="159"/>
      <c r="F74" s="161"/>
      <c r="G74" s="159"/>
      <c r="H74" s="159"/>
      <c r="I74" s="162">
        <f t="shared" ref="I74:S75" si="21">I75</f>
        <v>494278</v>
      </c>
      <c r="J74" s="162">
        <f t="shared" si="21"/>
        <v>281325</v>
      </c>
      <c r="K74" s="162">
        <f t="shared" si="21"/>
        <v>26000</v>
      </c>
      <c r="L74" s="162">
        <f t="shared" si="21"/>
        <v>23500</v>
      </c>
      <c r="M74" s="162">
        <f t="shared" si="21"/>
        <v>453720</v>
      </c>
      <c r="N74" s="162">
        <f t="shared" si="21"/>
        <v>174002</v>
      </c>
      <c r="O74" s="163">
        <f t="shared" si="21"/>
        <v>2000</v>
      </c>
      <c r="P74" s="162">
        <f t="shared" si="21"/>
        <v>0</v>
      </c>
      <c r="Q74" s="162">
        <f t="shared" si="21"/>
        <v>2000</v>
      </c>
      <c r="R74" s="162">
        <f t="shared" si="21"/>
        <v>0</v>
      </c>
      <c r="S74" s="162">
        <f t="shared" si="21"/>
        <v>0</v>
      </c>
      <c r="T74" s="162"/>
      <c r="U74" s="162"/>
      <c r="V74" s="164"/>
      <c r="AA74" s="226"/>
      <c r="AB74" s="226"/>
      <c r="AC74" s="226"/>
      <c r="AD74" s="226"/>
      <c r="AE74" s="226"/>
      <c r="AF74" s="226"/>
      <c r="AG74" s="226"/>
      <c r="AH74" s="226"/>
    </row>
    <row r="75" spans="1:34" ht="43.5" customHeight="1">
      <c r="A75" s="144" t="s">
        <v>73</v>
      </c>
      <c r="B75" s="145" t="s">
        <v>383</v>
      </c>
      <c r="C75" s="144"/>
      <c r="D75" s="145"/>
      <c r="E75" s="144"/>
      <c r="F75" s="146"/>
      <c r="G75" s="144"/>
      <c r="H75" s="144"/>
      <c r="I75" s="148">
        <f t="shared" si="21"/>
        <v>494278</v>
      </c>
      <c r="J75" s="148">
        <f t="shared" si="21"/>
        <v>281325</v>
      </c>
      <c r="K75" s="148">
        <f t="shared" si="21"/>
        <v>26000</v>
      </c>
      <c r="L75" s="148">
        <f t="shared" si="21"/>
        <v>23500</v>
      </c>
      <c r="M75" s="148">
        <f t="shared" si="21"/>
        <v>453720</v>
      </c>
      <c r="N75" s="148">
        <f t="shared" si="21"/>
        <v>174002</v>
      </c>
      <c r="O75" s="151">
        <f>SUM(P75:S75)</f>
        <v>2000</v>
      </c>
      <c r="P75" s="148">
        <f>P76</f>
        <v>0</v>
      </c>
      <c r="Q75" s="148">
        <f>Q76</f>
        <v>2000</v>
      </c>
      <c r="R75" s="148">
        <f>R76</f>
        <v>0</v>
      </c>
      <c r="S75" s="148">
        <f>S76</f>
        <v>0</v>
      </c>
      <c r="T75" s="148"/>
      <c r="U75" s="148"/>
      <c r="V75" s="165"/>
      <c r="AA75" s="226"/>
      <c r="AB75" s="226"/>
      <c r="AC75" s="226"/>
      <c r="AD75" s="226"/>
      <c r="AE75" s="226"/>
      <c r="AF75" s="226"/>
      <c r="AG75" s="226"/>
      <c r="AH75" s="226"/>
    </row>
    <row r="76" spans="1:34" ht="99">
      <c r="A76" s="166">
        <v>1</v>
      </c>
      <c r="B76" s="187" t="s">
        <v>417</v>
      </c>
      <c r="C76" s="166" t="s">
        <v>14</v>
      </c>
      <c r="D76" s="166" t="s">
        <v>181</v>
      </c>
      <c r="E76" s="166" t="s">
        <v>2</v>
      </c>
      <c r="F76" s="168">
        <v>7055397</v>
      </c>
      <c r="G76" s="166" t="s">
        <v>532</v>
      </c>
      <c r="H76" s="166" t="s">
        <v>533</v>
      </c>
      <c r="I76" s="169">
        <v>494278</v>
      </c>
      <c r="J76" s="169">
        <v>281325</v>
      </c>
      <c r="K76" s="170">
        <v>26000</v>
      </c>
      <c r="L76" s="170">
        <f>7000+6500+8500+1500</f>
        <v>23500</v>
      </c>
      <c r="M76" s="170">
        <v>453720</v>
      </c>
      <c r="N76" s="170">
        <f>172502+1500</f>
        <v>174002</v>
      </c>
      <c r="O76" s="151">
        <f>SUM(P76:S76)</f>
        <v>2000</v>
      </c>
      <c r="P76" s="170"/>
      <c r="Q76" s="170">
        <v>2000</v>
      </c>
      <c r="R76" s="170"/>
      <c r="S76" s="170"/>
      <c r="T76" s="170"/>
      <c r="U76" s="170"/>
      <c r="V76" s="180" t="s">
        <v>638</v>
      </c>
      <c r="AA76" s="226"/>
      <c r="AB76" s="226"/>
      <c r="AC76" s="226"/>
      <c r="AD76" s="226"/>
      <c r="AE76" s="226"/>
      <c r="AF76" s="226"/>
      <c r="AG76" s="226"/>
      <c r="AH76" s="226"/>
    </row>
    <row r="77" spans="1:34" ht="28.5" customHeight="1">
      <c r="A77" s="159" t="s">
        <v>31</v>
      </c>
      <c r="B77" s="160" t="s">
        <v>418</v>
      </c>
      <c r="C77" s="159"/>
      <c r="D77" s="160"/>
      <c r="E77" s="159"/>
      <c r="F77" s="161"/>
      <c r="G77" s="159"/>
      <c r="H77" s="159"/>
      <c r="I77" s="162">
        <f t="shared" ref="I77:S77" si="22">I78</f>
        <v>457917</v>
      </c>
      <c r="J77" s="162">
        <f t="shared" si="22"/>
        <v>89855</v>
      </c>
      <c r="K77" s="162">
        <f t="shared" si="22"/>
        <v>54063</v>
      </c>
      <c r="L77" s="162">
        <f t="shared" si="22"/>
        <v>29200</v>
      </c>
      <c r="M77" s="162">
        <f t="shared" si="22"/>
        <v>218666</v>
      </c>
      <c r="N77" s="162">
        <f t="shared" si="22"/>
        <v>29200</v>
      </c>
      <c r="O77" s="162">
        <f t="shared" si="22"/>
        <v>17099</v>
      </c>
      <c r="P77" s="162">
        <f t="shared" si="22"/>
        <v>0</v>
      </c>
      <c r="Q77" s="162">
        <f t="shared" si="22"/>
        <v>0</v>
      </c>
      <c r="R77" s="162">
        <f t="shared" si="22"/>
        <v>17099</v>
      </c>
      <c r="S77" s="162">
        <f t="shared" si="22"/>
        <v>0</v>
      </c>
      <c r="T77" s="162"/>
      <c r="U77" s="162"/>
      <c r="V77" s="164"/>
      <c r="AA77" s="226"/>
      <c r="AB77" s="226"/>
      <c r="AC77" s="226"/>
      <c r="AD77" s="226"/>
      <c r="AE77" s="226"/>
      <c r="AF77" s="226"/>
      <c r="AG77" s="226"/>
      <c r="AH77" s="226"/>
    </row>
    <row r="78" spans="1:34" ht="42.75" customHeight="1">
      <c r="A78" s="144" t="s">
        <v>60</v>
      </c>
      <c r="B78" s="145" t="s">
        <v>419</v>
      </c>
      <c r="C78" s="144"/>
      <c r="D78" s="145"/>
      <c r="E78" s="144"/>
      <c r="F78" s="146"/>
      <c r="G78" s="144"/>
      <c r="H78" s="144"/>
      <c r="I78" s="148">
        <f t="shared" ref="I78:S78" si="23">SUM(I79:I81)</f>
        <v>457917</v>
      </c>
      <c r="J78" s="148">
        <f t="shared" si="23"/>
        <v>89855</v>
      </c>
      <c r="K78" s="148">
        <f t="shared" si="23"/>
        <v>54063</v>
      </c>
      <c r="L78" s="148">
        <f t="shared" si="23"/>
        <v>29200</v>
      </c>
      <c r="M78" s="148">
        <f t="shared" si="23"/>
        <v>218666</v>
      </c>
      <c r="N78" s="148">
        <f t="shared" si="23"/>
        <v>29200</v>
      </c>
      <c r="O78" s="148">
        <f t="shared" si="23"/>
        <v>17099</v>
      </c>
      <c r="P78" s="148">
        <f t="shared" si="23"/>
        <v>0</v>
      </c>
      <c r="Q78" s="148">
        <f t="shared" si="23"/>
        <v>0</v>
      </c>
      <c r="R78" s="148">
        <f t="shared" si="23"/>
        <v>17099</v>
      </c>
      <c r="S78" s="148">
        <f t="shared" si="23"/>
        <v>0</v>
      </c>
      <c r="T78" s="148"/>
      <c r="U78" s="148"/>
      <c r="V78" s="164"/>
      <c r="AA78" s="226"/>
      <c r="AB78" s="226"/>
      <c r="AC78" s="226"/>
      <c r="AD78" s="226"/>
      <c r="AE78" s="226"/>
      <c r="AF78" s="226"/>
      <c r="AG78" s="226"/>
      <c r="AH78" s="226"/>
    </row>
    <row r="79" spans="1:34" ht="66">
      <c r="A79" s="166">
        <v>1</v>
      </c>
      <c r="B79" s="167" t="s">
        <v>420</v>
      </c>
      <c r="C79" s="166" t="s">
        <v>17</v>
      </c>
      <c r="D79" s="166" t="s">
        <v>181</v>
      </c>
      <c r="E79" s="166" t="s">
        <v>2</v>
      </c>
      <c r="F79" s="168">
        <v>7619339</v>
      </c>
      <c r="G79" s="166" t="s">
        <v>34</v>
      </c>
      <c r="H79" s="166" t="s">
        <v>534</v>
      </c>
      <c r="I79" s="177">
        <v>93930</v>
      </c>
      <c r="J79" s="177">
        <f>93930-80131</f>
        <v>13799</v>
      </c>
      <c r="K79" s="177">
        <f>1051+10000</f>
        <v>11051</v>
      </c>
      <c r="L79" s="170"/>
      <c r="M79" s="170">
        <v>28000</v>
      </c>
      <c r="N79" s="170">
        <v>0</v>
      </c>
      <c r="O79" s="151">
        <f>SUM(P79:S79)</f>
        <v>5051</v>
      </c>
      <c r="P79" s="170"/>
      <c r="Q79" s="170"/>
      <c r="R79" s="170">
        <f>11051-6000</f>
        <v>5051</v>
      </c>
      <c r="S79" s="170"/>
      <c r="T79" s="170"/>
      <c r="U79" s="170"/>
      <c r="V79" s="158"/>
      <c r="AA79" s="226"/>
      <c r="AB79" s="226"/>
      <c r="AC79" s="226"/>
      <c r="AD79" s="226"/>
      <c r="AE79" s="226"/>
      <c r="AF79" s="226"/>
      <c r="AG79" s="226"/>
      <c r="AH79" s="226"/>
    </row>
    <row r="80" spans="1:34" ht="99">
      <c r="A80" s="166">
        <v>2</v>
      </c>
      <c r="B80" s="167" t="s">
        <v>421</v>
      </c>
      <c r="C80" s="166" t="s">
        <v>64</v>
      </c>
      <c r="D80" s="166" t="s">
        <v>181</v>
      </c>
      <c r="E80" s="166" t="s">
        <v>3</v>
      </c>
      <c r="F80" s="168">
        <v>7704221</v>
      </c>
      <c r="G80" s="166" t="s">
        <v>18</v>
      </c>
      <c r="H80" s="166" t="s">
        <v>535</v>
      </c>
      <c r="I80" s="177">
        <v>49050</v>
      </c>
      <c r="J80" s="177">
        <f>49050-35000</f>
        <v>14050</v>
      </c>
      <c r="K80" s="177">
        <v>12500</v>
      </c>
      <c r="L80" s="170">
        <v>6200</v>
      </c>
      <c r="M80" s="170">
        <v>41200</v>
      </c>
      <c r="N80" s="170">
        <v>6200</v>
      </c>
      <c r="O80" s="151">
        <f>SUM(P80:S80)</f>
        <v>4536</v>
      </c>
      <c r="P80" s="170"/>
      <c r="Q80" s="170"/>
      <c r="R80" s="170">
        <v>4536</v>
      </c>
      <c r="S80" s="170"/>
      <c r="T80" s="170"/>
      <c r="U80" s="170"/>
      <c r="V80" s="158"/>
      <c r="AA80" s="226"/>
      <c r="AB80" s="226"/>
      <c r="AC80" s="226"/>
      <c r="AD80" s="226"/>
      <c r="AE80" s="226"/>
      <c r="AF80" s="226"/>
      <c r="AG80" s="226"/>
      <c r="AH80" s="226"/>
    </row>
    <row r="81" spans="1:34" ht="99">
      <c r="A81" s="166">
        <v>3</v>
      </c>
      <c r="B81" s="167" t="s">
        <v>260</v>
      </c>
      <c r="C81" s="166" t="s">
        <v>29</v>
      </c>
      <c r="D81" s="166" t="s">
        <v>181</v>
      </c>
      <c r="E81" s="166" t="s">
        <v>2</v>
      </c>
      <c r="F81" s="168">
        <v>7633286</v>
      </c>
      <c r="G81" s="166" t="s">
        <v>34</v>
      </c>
      <c r="H81" s="166" t="s">
        <v>262</v>
      </c>
      <c r="I81" s="177">
        <v>314937</v>
      </c>
      <c r="J81" s="177">
        <f>314937-252931</f>
        <v>62006</v>
      </c>
      <c r="K81" s="177">
        <v>30512</v>
      </c>
      <c r="L81" s="170">
        <v>23000</v>
      </c>
      <c r="M81" s="170">
        <v>149466</v>
      </c>
      <c r="N81" s="170">
        <v>23000</v>
      </c>
      <c r="O81" s="151">
        <f>SUM(P81:S81)</f>
        <v>7512</v>
      </c>
      <c r="P81" s="170"/>
      <c r="Q81" s="170"/>
      <c r="R81" s="170">
        <v>7512</v>
      </c>
      <c r="S81" s="170"/>
      <c r="T81" s="170"/>
      <c r="U81" s="170"/>
      <c r="V81" s="158"/>
      <c r="AA81" s="226"/>
      <c r="AB81" s="226"/>
      <c r="AC81" s="226"/>
      <c r="AD81" s="226"/>
      <c r="AE81" s="226"/>
      <c r="AF81" s="226"/>
      <c r="AG81" s="226"/>
      <c r="AH81" s="226"/>
    </row>
    <row r="82" spans="1:34" ht="26.45" customHeight="1">
      <c r="A82" s="159" t="s">
        <v>33</v>
      </c>
      <c r="B82" s="160" t="s">
        <v>343</v>
      </c>
      <c r="C82" s="159"/>
      <c r="D82" s="160"/>
      <c r="E82" s="159"/>
      <c r="F82" s="161"/>
      <c r="G82" s="159"/>
      <c r="H82" s="159"/>
      <c r="I82" s="162">
        <f t="shared" ref="I82:S82" si="24">I83+I85+I87</f>
        <v>9757</v>
      </c>
      <c r="J82" s="162">
        <f t="shared" si="24"/>
        <v>9757</v>
      </c>
      <c r="K82" s="162">
        <f t="shared" si="24"/>
        <v>9041</v>
      </c>
      <c r="L82" s="162">
        <f t="shared" si="24"/>
        <v>2930</v>
      </c>
      <c r="M82" s="162">
        <f t="shared" si="24"/>
        <v>2930</v>
      </c>
      <c r="N82" s="162">
        <f t="shared" si="24"/>
        <v>2930</v>
      </c>
      <c r="O82" s="163">
        <f t="shared" si="24"/>
        <v>5961</v>
      </c>
      <c r="P82" s="162">
        <f t="shared" si="24"/>
        <v>5961</v>
      </c>
      <c r="Q82" s="162">
        <f t="shared" si="24"/>
        <v>0</v>
      </c>
      <c r="R82" s="162">
        <f t="shared" si="24"/>
        <v>0</v>
      </c>
      <c r="S82" s="162">
        <f t="shared" si="24"/>
        <v>0</v>
      </c>
      <c r="T82" s="162"/>
      <c r="U82" s="162"/>
      <c r="V82" s="164"/>
      <c r="AA82" s="226"/>
      <c r="AB82" s="226"/>
      <c r="AC82" s="226"/>
      <c r="AD82" s="226"/>
      <c r="AE82" s="226"/>
      <c r="AF82" s="226"/>
      <c r="AG82" s="226"/>
      <c r="AH82" s="226"/>
    </row>
    <row r="83" spans="1:34" ht="43.5" customHeight="1">
      <c r="A83" s="144" t="s">
        <v>73</v>
      </c>
      <c r="B83" s="145" t="s">
        <v>383</v>
      </c>
      <c r="C83" s="144"/>
      <c r="D83" s="145"/>
      <c r="E83" s="144"/>
      <c r="F83" s="146"/>
      <c r="G83" s="144"/>
      <c r="H83" s="144"/>
      <c r="I83" s="148">
        <f t="shared" ref="I83:S83" si="25">I84</f>
        <v>2976</v>
      </c>
      <c r="J83" s="148">
        <f t="shared" si="25"/>
        <v>2976</v>
      </c>
      <c r="K83" s="148">
        <f t="shared" si="25"/>
        <v>2750</v>
      </c>
      <c r="L83" s="148">
        <f t="shared" si="25"/>
        <v>2500</v>
      </c>
      <c r="M83" s="148">
        <f t="shared" si="25"/>
        <v>2500</v>
      </c>
      <c r="N83" s="148">
        <f t="shared" si="25"/>
        <v>2500</v>
      </c>
      <c r="O83" s="151">
        <f t="shared" si="25"/>
        <v>100</v>
      </c>
      <c r="P83" s="148">
        <f t="shared" si="25"/>
        <v>100</v>
      </c>
      <c r="Q83" s="148">
        <f t="shared" si="25"/>
        <v>0</v>
      </c>
      <c r="R83" s="148">
        <f t="shared" si="25"/>
        <v>0</v>
      </c>
      <c r="S83" s="148">
        <f t="shared" si="25"/>
        <v>0</v>
      </c>
      <c r="T83" s="148"/>
      <c r="U83" s="148"/>
      <c r="V83" s="165"/>
      <c r="AA83" s="226"/>
      <c r="AB83" s="226"/>
      <c r="AC83" s="226"/>
      <c r="AD83" s="226"/>
      <c r="AE83" s="226"/>
      <c r="AF83" s="226"/>
      <c r="AG83" s="226"/>
      <c r="AH83" s="226"/>
    </row>
    <row r="84" spans="1:34" ht="49.5">
      <c r="A84" s="166">
        <v>1</v>
      </c>
      <c r="B84" s="167" t="s">
        <v>214</v>
      </c>
      <c r="C84" s="166" t="s">
        <v>29</v>
      </c>
      <c r="D84" s="166" t="s">
        <v>181</v>
      </c>
      <c r="E84" s="166" t="s">
        <v>3</v>
      </c>
      <c r="F84" s="168">
        <v>7678430</v>
      </c>
      <c r="G84" s="166" t="s">
        <v>225</v>
      </c>
      <c r="H84" s="166" t="s">
        <v>256</v>
      </c>
      <c r="I84" s="169">
        <v>2976</v>
      </c>
      <c r="J84" s="169">
        <v>2976</v>
      </c>
      <c r="K84" s="169">
        <v>2750</v>
      </c>
      <c r="L84" s="170">
        <v>2500</v>
      </c>
      <c r="M84" s="170">
        <v>2500</v>
      </c>
      <c r="N84" s="170">
        <v>2500</v>
      </c>
      <c r="O84" s="151">
        <f>SUM(P84:S84)</f>
        <v>100</v>
      </c>
      <c r="P84" s="170">
        <v>100</v>
      </c>
      <c r="Q84" s="170"/>
      <c r="R84" s="170"/>
      <c r="S84" s="170"/>
      <c r="T84" s="170"/>
      <c r="U84" s="170"/>
      <c r="V84" s="165"/>
      <c r="AA84" s="226"/>
      <c r="AB84" s="226"/>
      <c r="AC84" s="226"/>
      <c r="AD84" s="226"/>
      <c r="AE84" s="226"/>
      <c r="AF84" s="226"/>
      <c r="AG84" s="226"/>
      <c r="AH84" s="226"/>
    </row>
    <row r="85" spans="1:34" ht="38.25" customHeight="1">
      <c r="A85" s="144" t="s">
        <v>60</v>
      </c>
      <c r="B85" s="145" t="s">
        <v>395</v>
      </c>
      <c r="C85" s="144"/>
      <c r="D85" s="145"/>
      <c r="E85" s="144"/>
      <c r="F85" s="146"/>
      <c r="G85" s="144"/>
      <c r="H85" s="144"/>
      <c r="I85" s="148">
        <f t="shared" ref="I85:S85" si="26">I86</f>
        <v>1410</v>
      </c>
      <c r="J85" s="148">
        <f t="shared" si="26"/>
        <v>1410</v>
      </c>
      <c r="K85" s="148">
        <f t="shared" si="26"/>
        <v>1405</v>
      </c>
      <c r="L85" s="148">
        <f t="shared" si="26"/>
        <v>430</v>
      </c>
      <c r="M85" s="148">
        <f t="shared" si="26"/>
        <v>430</v>
      </c>
      <c r="N85" s="148">
        <f t="shared" si="26"/>
        <v>430</v>
      </c>
      <c r="O85" s="151">
        <f t="shared" si="26"/>
        <v>975</v>
      </c>
      <c r="P85" s="148">
        <f t="shared" si="26"/>
        <v>975</v>
      </c>
      <c r="Q85" s="148">
        <f t="shared" si="26"/>
        <v>0</v>
      </c>
      <c r="R85" s="148">
        <f t="shared" si="26"/>
        <v>0</v>
      </c>
      <c r="S85" s="148">
        <f t="shared" si="26"/>
        <v>0</v>
      </c>
      <c r="T85" s="148"/>
      <c r="U85" s="148"/>
      <c r="V85" s="164"/>
      <c r="AA85" s="226"/>
      <c r="AB85" s="226"/>
      <c r="AC85" s="226"/>
      <c r="AD85" s="226"/>
      <c r="AE85" s="226"/>
      <c r="AF85" s="226"/>
      <c r="AG85" s="226"/>
      <c r="AH85" s="226"/>
    </row>
    <row r="86" spans="1:34" ht="49.5">
      <c r="A86" s="166">
        <v>1</v>
      </c>
      <c r="B86" s="167" t="s">
        <v>422</v>
      </c>
      <c r="C86" s="166" t="s">
        <v>29</v>
      </c>
      <c r="D86" s="166" t="s">
        <v>181</v>
      </c>
      <c r="E86" s="166" t="s">
        <v>3</v>
      </c>
      <c r="F86" s="168">
        <v>7744771</v>
      </c>
      <c r="G86" s="166" t="s">
        <v>225</v>
      </c>
      <c r="H86" s="166" t="s">
        <v>536</v>
      </c>
      <c r="I86" s="169">
        <v>1410</v>
      </c>
      <c r="J86" s="169">
        <v>1410</v>
      </c>
      <c r="K86" s="169">
        <f>1350+55</f>
        <v>1405</v>
      </c>
      <c r="L86" s="170">
        <v>430</v>
      </c>
      <c r="M86" s="170">
        <v>430</v>
      </c>
      <c r="N86" s="170">
        <v>430</v>
      </c>
      <c r="O86" s="151">
        <f>SUM(P86:S86)</f>
        <v>975</v>
      </c>
      <c r="P86" s="170">
        <v>975</v>
      </c>
      <c r="Q86" s="170"/>
      <c r="R86" s="170"/>
      <c r="S86" s="170"/>
      <c r="T86" s="170"/>
      <c r="U86" s="170"/>
      <c r="V86" s="165"/>
      <c r="AA86" s="226"/>
      <c r="AB86" s="226"/>
      <c r="AC86" s="226"/>
      <c r="AD86" s="226"/>
      <c r="AE86" s="226"/>
      <c r="AF86" s="226"/>
      <c r="AG86" s="226"/>
      <c r="AH86" s="226"/>
    </row>
    <row r="87" spans="1:34" ht="30.75" customHeight="1">
      <c r="A87" s="144" t="s">
        <v>67</v>
      </c>
      <c r="B87" s="145" t="s">
        <v>101</v>
      </c>
      <c r="C87" s="144"/>
      <c r="D87" s="145"/>
      <c r="E87" s="144"/>
      <c r="F87" s="146"/>
      <c r="G87" s="144"/>
      <c r="H87" s="144"/>
      <c r="I87" s="148">
        <f t="shared" ref="I87:S87" si="27">SUM(I88:I88)</f>
        <v>5371</v>
      </c>
      <c r="J87" s="148">
        <f t="shared" si="27"/>
        <v>5371</v>
      </c>
      <c r="K87" s="148">
        <f t="shared" si="27"/>
        <v>4886</v>
      </c>
      <c r="L87" s="148">
        <f t="shared" si="27"/>
        <v>0</v>
      </c>
      <c r="M87" s="148">
        <f t="shared" si="27"/>
        <v>0</v>
      </c>
      <c r="N87" s="148">
        <f t="shared" si="27"/>
        <v>0</v>
      </c>
      <c r="O87" s="151">
        <f t="shared" si="27"/>
        <v>4886</v>
      </c>
      <c r="P87" s="148">
        <f t="shared" si="27"/>
        <v>4886</v>
      </c>
      <c r="Q87" s="148">
        <f t="shared" si="27"/>
        <v>0</v>
      </c>
      <c r="R87" s="148">
        <f t="shared" si="27"/>
        <v>0</v>
      </c>
      <c r="S87" s="148">
        <f t="shared" si="27"/>
        <v>0</v>
      </c>
      <c r="T87" s="148"/>
      <c r="U87" s="148"/>
      <c r="V87" s="165"/>
      <c r="AA87" s="226"/>
      <c r="AB87" s="226"/>
      <c r="AC87" s="226"/>
      <c r="AD87" s="226"/>
      <c r="AE87" s="226"/>
      <c r="AF87" s="226"/>
      <c r="AG87" s="226"/>
      <c r="AH87" s="226"/>
    </row>
    <row r="88" spans="1:34" ht="49.5">
      <c r="A88" s="166">
        <v>1</v>
      </c>
      <c r="B88" s="167" t="s">
        <v>423</v>
      </c>
      <c r="C88" s="166" t="s">
        <v>29</v>
      </c>
      <c r="D88" s="166" t="s">
        <v>181</v>
      </c>
      <c r="E88" s="166" t="s">
        <v>3</v>
      </c>
      <c r="F88" s="168">
        <v>7744770</v>
      </c>
      <c r="G88" s="166" t="s">
        <v>520</v>
      </c>
      <c r="H88" s="166" t="s">
        <v>537</v>
      </c>
      <c r="I88" s="169">
        <v>5371</v>
      </c>
      <c r="J88" s="169">
        <v>5371</v>
      </c>
      <c r="K88" s="170">
        <f>4500+386</f>
        <v>4886</v>
      </c>
      <c r="L88" s="170"/>
      <c r="M88" s="170">
        <v>0</v>
      </c>
      <c r="N88" s="170"/>
      <c r="O88" s="151">
        <f>SUM(P88:S88)</f>
        <v>4886</v>
      </c>
      <c r="P88" s="170">
        <v>4886</v>
      </c>
      <c r="Q88" s="170"/>
      <c r="R88" s="170"/>
      <c r="S88" s="170"/>
      <c r="T88" s="170"/>
      <c r="U88" s="170"/>
      <c r="V88" s="166"/>
      <c r="AA88" s="226"/>
      <c r="AB88" s="226"/>
      <c r="AC88" s="226"/>
      <c r="AD88" s="226"/>
      <c r="AE88" s="226"/>
      <c r="AF88" s="226"/>
      <c r="AG88" s="226"/>
      <c r="AH88" s="226"/>
    </row>
    <row r="89" spans="1:34" ht="27.75" customHeight="1">
      <c r="A89" s="159" t="s">
        <v>174</v>
      </c>
      <c r="B89" s="160" t="s">
        <v>424</v>
      </c>
      <c r="C89" s="159"/>
      <c r="D89" s="160"/>
      <c r="E89" s="159"/>
      <c r="F89" s="161"/>
      <c r="G89" s="159"/>
      <c r="H89" s="159"/>
      <c r="I89" s="162">
        <f t="shared" ref="I89:S90" si="28">I90</f>
        <v>58824</v>
      </c>
      <c r="J89" s="162">
        <f t="shared" si="28"/>
        <v>8824</v>
      </c>
      <c r="K89" s="162">
        <f t="shared" si="28"/>
        <v>8823</v>
      </c>
      <c r="L89" s="162">
        <f t="shared" si="28"/>
        <v>0</v>
      </c>
      <c r="M89" s="162">
        <f t="shared" si="28"/>
        <v>16000</v>
      </c>
      <c r="N89" s="162">
        <f t="shared" si="28"/>
        <v>0</v>
      </c>
      <c r="O89" s="163">
        <f t="shared" si="28"/>
        <v>8823</v>
      </c>
      <c r="P89" s="162">
        <f t="shared" si="28"/>
        <v>0</v>
      </c>
      <c r="Q89" s="162">
        <f t="shared" si="28"/>
        <v>0</v>
      </c>
      <c r="R89" s="162">
        <f t="shared" si="28"/>
        <v>8823</v>
      </c>
      <c r="S89" s="162">
        <f t="shared" si="28"/>
        <v>0</v>
      </c>
      <c r="T89" s="162"/>
      <c r="U89" s="162"/>
      <c r="V89" s="164"/>
      <c r="AA89" s="226"/>
      <c r="AB89" s="226"/>
      <c r="AC89" s="226"/>
      <c r="AD89" s="226"/>
      <c r="AE89" s="226"/>
      <c r="AF89" s="226"/>
      <c r="AG89" s="226"/>
      <c r="AH89" s="226"/>
    </row>
    <row r="90" spans="1:34" ht="41.25" customHeight="1">
      <c r="A90" s="144" t="s">
        <v>60</v>
      </c>
      <c r="B90" s="145" t="s">
        <v>395</v>
      </c>
      <c r="C90" s="144"/>
      <c r="D90" s="145"/>
      <c r="E90" s="144"/>
      <c r="F90" s="146"/>
      <c r="G90" s="144"/>
      <c r="H90" s="144"/>
      <c r="I90" s="148">
        <f t="shared" si="28"/>
        <v>58824</v>
      </c>
      <c r="J90" s="148">
        <f t="shared" si="28"/>
        <v>8824</v>
      </c>
      <c r="K90" s="148">
        <f t="shared" si="28"/>
        <v>8823</v>
      </c>
      <c r="L90" s="148">
        <f t="shared" si="28"/>
        <v>0</v>
      </c>
      <c r="M90" s="148">
        <f t="shared" si="28"/>
        <v>16000</v>
      </c>
      <c r="N90" s="148">
        <f t="shared" si="28"/>
        <v>0</v>
      </c>
      <c r="O90" s="151">
        <f t="shared" si="28"/>
        <v>8823</v>
      </c>
      <c r="P90" s="148">
        <f t="shared" si="28"/>
        <v>0</v>
      </c>
      <c r="Q90" s="148">
        <f t="shared" si="28"/>
        <v>0</v>
      </c>
      <c r="R90" s="148">
        <f t="shared" si="28"/>
        <v>8823</v>
      </c>
      <c r="S90" s="148">
        <f t="shared" si="28"/>
        <v>0</v>
      </c>
      <c r="T90" s="148"/>
      <c r="U90" s="148"/>
      <c r="V90" s="164"/>
      <c r="AA90" s="226"/>
      <c r="AB90" s="226"/>
      <c r="AC90" s="226"/>
      <c r="AD90" s="226"/>
      <c r="AE90" s="226"/>
      <c r="AF90" s="226"/>
      <c r="AG90" s="226"/>
      <c r="AH90" s="226"/>
    </row>
    <row r="91" spans="1:34" ht="66">
      <c r="A91" s="166">
        <v>1</v>
      </c>
      <c r="B91" s="167" t="s">
        <v>425</v>
      </c>
      <c r="C91" s="166" t="s">
        <v>538</v>
      </c>
      <c r="D91" s="166" t="s">
        <v>181</v>
      </c>
      <c r="E91" s="166" t="s">
        <v>3</v>
      </c>
      <c r="F91" s="168">
        <v>7765490</v>
      </c>
      <c r="G91" s="166" t="s">
        <v>225</v>
      </c>
      <c r="H91" s="166" t="s">
        <v>539</v>
      </c>
      <c r="I91" s="177">
        <v>58824</v>
      </c>
      <c r="J91" s="177">
        <v>8824</v>
      </c>
      <c r="K91" s="177">
        <v>8823</v>
      </c>
      <c r="L91" s="170"/>
      <c r="M91" s="170">
        <v>16000</v>
      </c>
      <c r="N91" s="170">
        <v>0</v>
      </c>
      <c r="O91" s="151">
        <f>SUM(P91:S91)</f>
        <v>8823</v>
      </c>
      <c r="P91" s="170"/>
      <c r="Q91" s="170"/>
      <c r="R91" s="170">
        <v>8823</v>
      </c>
      <c r="S91" s="170"/>
      <c r="T91" s="170"/>
      <c r="U91" s="170"/>
      <c r="V91" s="158"/>
      <c r="AA91" s="226"/>
      <c r="AB91" s="226"/>
      <c r="AC91" s="226"/>
      <c r="AD91" s="226"/>
      <c r="AE91" s="226"/>
      <c r="AF91" s="226"/>
      <c r="AG91" s="226"/>
      <c r="AH91" s="226"/>
    </row>
    <row r="92" spans="1:34" ht="27" customHeight="1">
      <c r="A92" s="159" t="s">
        <v>366</v>
      </c>
      <c r="B92" s="160" t="s">
        <v>345</v>
      </c>
      <c r="C92" s="159"/>
      <c r="D92" s="160"/>
      <c r="E92" s="159"/>
      <c r="F92" s="161"/>
      <c r="G92" s="159"/>
      <c r="H92" s="159"/>
      <c r="I92" s="162">
        <f t="shared" ref="I92:S92" si="29">I93+I95</f>
        <v>107277</v>
      </c>
      <c r="J92" s="162">
        <f t="shared" si="29"/>
        <v>107277</v>
      </c>
      <c r="K92" s="162">
        <f t="shared" si="29"/>
        <v>91550</v>
      </c>
      <c r="L92" s="162">
        <f t="shared" si="29"/>
        <v>59400</v>
      </c>
      <c r="M92" s="162">
        <f t="shared" si="29"/>
        <v>59400</v>
      </c>
      <c r="N92" s="162">
        <f t="shared" si="29"/>
        <v>59400</v>
      </c>
      <c r="O92" s="163">
        <f t="shared" si="29"/>
        <v>27662</v>
      </c>
      <c r="P92" s="162">
        <f t="shared" si="29"/>
        <v>0</v>
      </c>
      <c r="Q92" s="162">
        <f t="shared" si="29"/>
        <v>0</v>
      </c>
      <c r="R92" s="162">
        <f t="shared" si="29"/>
        <v>27662</v>
      </c>
      <c r="S92" s="162">
        <f t="shared" si="29"/>
        <v>0</v>
      </c>
      <c r="T92" s="162"/>
      <c r="U92" s="162"/>
      <c r="V92" s="164"/>
      <c r="AA92" s="226"/>
      <c r="AB92" s="226"/>
      <c r="AC92" s="226"/>
      <c r="AD92" s="226"/>
      <c r="AE92" s="226"/>
      <c r="AF92" s="226"/>
      <c r="AG92" s="226"/>
      <c r="AH92" s="226"/>
    </row>
    <row r="93" spans="1:34" ht="43.5" customHeight="1">
      <c r="A93" s="144" t="s">
        <v>73</v>
      </c>
      <c r="B93" s="145" t="s">
        <v>383</v>
      </c>
      <c r="C93" s="144"/>
      <c r="D93" s="145"/>
      <c r="E93" s="144"/>
      <c r="F93" s="146"/>
      <c r="G93" s="144"/>
      <c r="H93" s="144"/>
      <c r="I93" s="148">
        <f t="shared" ref="I93:S93" si="30">SUM(I94:I94)</f>
        <v>17918</v>
      </c>
      <c r="J93" s="148">
        <f t="shared" si="30"/>
        <v>17918</v>
      </c>
      <c r="K93" s="148">
        <f t="shared" si="30"/>
        <v>14362</v>
      </c>
      <c r="L93" s="148">
        <f t="shared" si="30"/>
        <v>14000</v>
      </c>
      <c r="M93" s="148">
        <f t="shared" si="30"/>
        <v>14000</v>
      </c>
      <c r="N93" s="148">
        <f t="shared" si="30"/>
        <v>14000</v>
      </c>
      <c r="O93" s="151">
        <f t="shared" si="30"/>
        <v>312</v>
      </c>
      <c r="P93" s="148">
        <f t="shared" si="30"/>
        <v>0</v>
      </c>
      <c r="Q93" s="148">
        <f t="shared" si="30"/>
        <v>0</v>
      </c>
      <c r="R93" s="148">
        <f t="shared" si="30"/>
        <v>312</v>
      </c>
      <c r="S93" s="148">
        <f t="shared" si="30"/>
        <v>0</v>
      </c>
      <c r="T93" s="148"/>
      <c r="U93" s="148"/>
      <c r="V93" s="165"/>
      <c r="AA93" s="226"/>
      <c r="AB93" s="226"/>
      <c r="AC93" s="226"/>
      <c r="AD93" s="226"/>
      <c r="AE93" s="226"/>
      <c r="AF93" s="226"/>
      <c r="AG93" s="226"/>
      <c r="AH93" s="226"/>
    </row>
    <row r="94" spans="1:34" ht="66">
      <c r="A94" s="166">
        <v>1</v>
      </c>
      <c r="B94" s="167" t="s">
        <v>426</v>
      </c>
      <c r="C94" s="166" t="s">
        <v>64</v>
      </c>
      <c r="D94" s="166" t="s">
        <v>181</v>
      </c>
      <c r="E94" s="166" t="s">
        <v>3</v>
      </c>
      <c r="F94" s="168">
        <v>7577064</v>
      </c>
      <c r="G94" s="166" t="s">
        <v>25</v>
      </c>
      <c r="H94" s="166" t="s">
        <v>540</v>
      </c>
      <c r="I94" s="169">
        <v>17918</v>
      </c>
      <c r="J94" s="169">
        <v>17918</v>
      </c>
      <c r="K94" s="169">
        <f>14050+312</f>
        <v>14362</v>
      </c>
      <c r="L94" s="170">
        <v>14000</v>
      </c>
      <c r="M94" s="170">
        <v>14000</v>
      </c>
      <c r="N94" s="170">
        <v>14000</v>
      </c>
      <c r="O94" s="151">
        <f>SUM(P94:S94)</f>
        <v>312</v>
      </c>
      <c r="P94" s="170"/>
      <c r="Q94" s="170"/>
      <c r="R94" s="170">
        <v>312</v>
      </c>
      <c r="S94" s="170"/>
      <c r="T94" s="170"/>
      <c r="U94" s="170"/>
      <c r="V94" s="166"/>
      <c r="AA94" s="226"/>
      <c r="AB94" s="226"/>
      <c r="AC94" s="226"/>
      <c r="AD94" s="226"/>
      <c r="AE94" s="226"/>
      <c r="AF94" s="226"/>
      <c r="AG94" s="226"/>
      <c r="AH94" s="226"/>
    </row>
    <row r="95" spans="1:34" ht="39.75" customHeight="1">
      <c r="A95" s="144" t="s">
        <v>60</v>
      </c>
      <c r="B95" s="145" t="s">
        <v>395</v>
      </c>
      <c r="C95" s="144"/>
      <c r="D95" s="145"/>
      <c r="E95" s="144"/>
      <c r="F95" s="146"/>
      <c r="G95" s="144"/>
      <c r="H95" s="144"/>
      <c r="I95" s="148">
        <f t="shared" ref="I95:S95" si="31">SUM(I96:I97)</f>
        <v>89359</v>
      </c>
      <c r="J95" s="148">
        <f t="shared" si="31"/>
        <v>89359</v>
      </c>
      <c r="K95" s="148">
        <f t="shared" si="31"/>
        <v>77188</v>
      </c>
      <c r="L95" s="148">
        <f t="shared" si="31"/>
        <v>45400</v>
      </c>
      <c r="M95" s="148">
        <f t="shared" si="31"/>
        <v>45400</v>
      </c>
      <c r="N95" s="148">
        <f t="shared" si="31"/>
        <v>45400</v>
      </c>
      <c r="O95" s="151">
        <f t="shared" si="31"/>
        <v>27350</v>
      </c>
      <c r="P95" s="148">
        <f t="shared" si="31"/>
        <v>0</v>
      </c>
      <c r="Q95" s="148">
        <f t="shared" si="31"/>
        <v>0</v>
      </c>
      <c r="R95" s="148">
        <f t="shared" si="31"/>
        <v>27350</v>
      </c>
      <c r="S95" s="148">
        <f t="shared" si="31"/>
        <v>0</v>
      </c>
      <c r="T95" s="148"/>
      <c r="U95" s="148"/>
      <c r="V95" s="164"/>
      <c r="AA95" s="226"/>
      <c r="AB95" s="226"/>
      <c r="AC95" s="226"/>
      <c r="AD95" s="226"/>
      <c r="AE95" s="226"/>
      <c r="AF95" s="226"/>
      <c r="AG95" s="226"/>
      <c r="AH95" s="226"/>
    </row>
    <row r="96" spans="1:34" ht="66">
      <c r="A96" s="166">
        <v>1</v>
      </c>
      <c r="B96" s="167" t="s">
        <v>131</v>
      </c>
      <c r="C96" s="166" t="s">
        <v>13</v>
      </c>
      <c r="D96" s="166" t="s">
        <v>181</v>
      </c>
      <c r="E96" s="166" t="s">
        <v>3</v>
      </c>
      <c r="F96" s="168">
        <v>7586410</v>
      </c>
      <c r="G96" s="166" t="s">
        <v>18</v>
      </c>
      <c r="H96" s="166" t="s">
        <v>132</v>
      </c>
      <c r="I96" s="169">
        <v>42954</v>
      </c>
      <c r="J96" s="169">
        <v>42954</v>
      </c>
      <c r="K96" s="169">
        <f>38500-312</f>
        <v>38188</v>
      </c>
      <c r="L96" s="170">
        <f>1200+5000+13000</f>
        <v>19200</v>
      </c>
      <c r="M96" s="170">
        <v>19200</v>
      </c>
      <c r="N96" s="170">
        <v>19200</v>
      </c>
      <c r="O96" s="151">
        <f>SUM(P96:S96)</f>
        <v>16850</v>
      </c>
      <c r="P96" s="170"/>
      <c r="Q96" s="170"/>
      <c r="R96" s="170">
        <v>16850</v>
      </c>
      <c r="S96" s="170"/>
      <c r="T96" s="170"/>
      <c r="U96" s="170"/>
      <c r="V96" s="165"/>
      <c r="AA96" s="226"/>
      <c r="AB96" s="226"/>
      <c r="AC96" s="226"/>
      <c r="AD96" s="226"/>
      <c r="AE96" s="226"/>
      <c r="AF96" s="226"/>
      <c r="AG96" s="226"/>
      <c r="AH96" s="226"/>
    </row>
    <row r="97" spans="1:34" ht="66">
      <c r="A97" s="166">
        <v>2</v>
      </c>
      <c r="B97" s="167" t="s">
        <v>135</v>
      </c>
      <c r="C97" s="166" t="s">
        <v>32</v>
      </c>
      <c r="D97" s="166" t="s">
        <v>181</v>
      </c>
      <c r="E97" s="166" t="s">
        <v>2</v>
      </c>
      <c r="F97" s="168">
        <v>7623911</v>
      </c>
      <c r="G97" s="166" t="s">
        <v>18</v>
      </c>
      <c r="H97" s="166" t="s">
        <v>136</v>
      </c>
      <c r="I97" s="169">
        <v>46405</v>
      </c>
      <c r="J97" s="169">
        <v>46405</v>
      </c>
      <c r="K97" s="169">
        <v>39000</v>
      </c>
      <c r="L97" s="170">
        <f>1200+5000+20000</f>
        <v>26200</v>
      </c>
      <c r="M97" s="170">
        <v>26200</v>
      </c>
      <c r="N97" s="170">
        <v>26200</v>
      </c>
      <c r="O97" s="151">
        <f>SUM(P97:S97)</f>
        <v>10500</v>
      </c>
      <c r="P97" s="170"/>
      <c r="Q97" s="170"/>
      <c r="R97" s="170">
        <v>10500</v>
      </c>
      <c r="S97" s="170"/>
      <c r="T97" s="170"/>
      <c r="U97" s="170"/>
      <c r="V97" s="165"/>
      <c r="AA97" s="226"/>
      <c r="AB97" s="226"/>
      <c r="AC97" s="226"/>
      <c r="AD97" s="226"/>
      <c r="AE97" s="226"/>
      <c r="AF97" s="226"/>
      <c r="AG97" s="226"/>
      <c r="AH97" s="226"/>
    </row>
    <row r="98" spans="1:34" ht="26.45" customHeight="1">
      <c r="A98" s="159" t="s">
        <v>182</v>
      </c>
      <c r="B98" s="160" t="s">
        <v>337</v>
      </c>
      <c r="C98" s="159"/>
      <c r="D98" s="160"/>
      <c r="E98" s="159"/>
      <c r="F98" s="161"/>
      <c r="G98" s="159"/>
      <c r="H98" s="159"/>
      <c r="I98" s="162">
        <f t="shared" ref="I98:S98" si="32">I99+I104</f>
        <v>2557070</v>
      </c>
      <c r="J98" s="162">
        <f t="shared" si="32"/>
        <v>236175</v>
      </c>
      <c r="K98" s="162">
        <f t="shared" si="32"/>
        <v>127515</v>
      </c>
      <c r="L98" s="162">
        <f t="shared" si="32"/>
        <v>112564</v>
      </c>
      <c r="M98" s="162">
        <f t="shared" si="32"/>
        <v>2418469</v>
      </c>
      <c r="N98" s="162">
        <f t="shared" si="32"/>
        <v>182723</v>
      </c>
      <c r="O98" s="163">
        <f t="shared" si="32"/>
        <v>8905</v>
      </c>
      <c r="P98" s="162">
        <f t="shared" si="32"/>
        <v>4601</v>
      </c>
      <c r="Q98" s="162">
        <f t="shared" si="32"/>
        <v>4304</v>
      </c>
      <c r="R98" s="162">
        <f t="shared" si="32"/>
        <v>0</v>
      </c>
      <c r="S98" s="162">
        <f t="shared" si="32"/>
        <v>0</v>
      </c>
      <c r="T98" s="162"/>
      <c r="U98" s="162"/>
      <c r="V98" s="164"/>
      <c r="AA98" s="226"/>
      <c r="AB98" s="226"/>
      <c r="AC98" s="226"/>
      <c r="AD98" s="226"/>
      <c r="AE98" s="226"/>
      <c r="AF98" s="226"/>
      <c r="AG98" s="226"/>
      <c r="AH98" s="226"/>
    </row>
    <row r="99" spans="1:34" ht="46.5" customHeight="1">
      <c r="A99" s="144" t="s">
        <v>73</v>
      </c>
      <c r="B99" s="145" t="s">
        <v>383</v>
      </c>
      <c r="C99" s="144"/>
      <c r="D99" s="145"/>
      <c r="E99" s="144"/>
      <c r="F99" s="146"/>
      <c r="G99" s="144"/>
      <c r="H99" s="144"/>
      <c r="I99" s="148">
        <f t="shared" ref="I99:S99" si="33">SUM(I100:I103)</f>
        <v>2552142</v>
      </c>
      <c r="J99" s="148">
        <f t="shared" si="33"/>
        <v>231247</v>
      </c>
      <c r="K99" s="148">
        <f t="shared" si="33"/>
        <v>123008</v>
      </c>
      <c r="L99" s="148">
        <f t="shared" si="33"/>
        <v>112564</v>
      </c>
      <c r="M99" s="148">
        <f t="shared" si="33"/>
        <v>2418469</v>
      </c>
      <c r="N99" s="148">
        <f t="shared" si="33"/>
        <v>182723</v>
      </c>
      <c r="O99" s="151">
        <f t="shared" si="33"/>
        <v>4398</v>
      </c>
      <c r="P99" s="148">
        <f t="shared" si="33"/>
        <v>94</v>
      </c>
      <c r="Q99" s="148">
        <f t="shared" si="33"/>
        <v>4304</v>
      </c>
      <c r="R99" s="148">
        <f t="shared" si="33"/>
        <v>0</v>
      </c>
      <c r="S99" s="148">
        <f t="shared" si="33"/>
        <v>0</v>
      </c>
      <c r="T99" s="148"/>
      <c r="U99" s="148"/>
      <c r="V99" s="165"/>
      <c r="AA99" s="226"/>
      <c r="AB99" s="226"/>
      <c r="AC99" s="226"/>
      <c r="AD99" s="226"/>
      <c r="AE99" s="226"/>
      <c r="AF99" s="226"/>
      <c r="AG99" s="226"/>
      <c r="AH99" s="226"/>
    </row>
    <row r="100" spans="1:34" ht="82.5">
      <c r="A100" s="166">
        <v>1</v>
      </c>
      <c r="B100" s="167" t="s">
        <v>74</v>
      </c>
      <c r="C100" s="166" t="s">
        <v>541</v>
      </c>
      <c r="D100" s="166" t="s">
        <v>181</v>
      </c>
      <c r="E100" s="166" t="s">
        <v>2</v>
      </c>
      <c r="F100" s="168">
        <v>7043803</v>
      </c>
      <c r="G100" s="166" t="s">
        <v>542</v>
      </c>
      <c r="H100" s="166" t="s">
        <v>78</v>
      </c>
      <c r="I100" s="177">
        <v>607850</v>
      </c>
      <c r="J100" s="177">
        <v>138019</v>
      </c>
      <c r="K100" s="177">
        <f>109697+162</f>
        <v>109859</v>
      </c>
      <c r="L100" s="170">
        <f>24429+46212+20857+15000</f>
        <v>106498</v>
      </c>
      <c r="M100" s="170">
        <v>577499</v>
      </c>
      <c r="N100" s="170">
        <f>91318+15000</f>
        <v>106318</v>
      </c>
      <c r="O100" s="151">
        <f>SUM(P100:S100)</f>
        <v>3361</v>
      </c>
      <c r="P100" s="170"/>
      <c r="Q100" s="170">
        <v>3361</v>
      </c>
      <c r="R100" s="170"/>
      <c r="S100" s="170"/>
      <c r="T100" s="170"/>
      <c r="U100" s="170"/>
      <c r="V100" s="166"/>
      <c r="AA100" s="226"/>
      <c r="AB100" s="226"/>
      <c r="AC100" s="226"/>
      <c r="AD100" s="226"/>
      <c r="AE100" s="226"/>
      <c r="AF100" s="226"/>
      <c r="AG100" s="226"/>
      <c r="AH100" s="226"/>
    </row>
    <row r="101" spans="1:34" ht="181.5">
      <c r="A101" s="166">
        <v>2</v>
      </c>
      <c r="B101" s="167" t="s">
        <v>427</v>
      </c>
      <c r="C101" s="166" t="s">
        <v>499</v>
      </c>
      <c r="D101" s="166" t="s">
        <v>181</v>
      </c>
      <c r="E101" s="166" t="s">
        <v>1</v>
      </c>
      <c r="F101" s="168">
        <v>7043659</v>
      </c>
      <c r="G101" s="166" t="s">
        <v>542</v>
      </c>
      <c r="H101" s="166" t="s">
        <v>543</v>
      </c>
      <c r="I101" s="177">
        <v>1851064</v>
      </c>
      <c r="J101" s="177"/>
      <c r="K101" s="170">
        <v>6368</v>
      </c>
      <c r="L101" s="170">
        <v>45</v>
      </c>
      <c r="M101" s="170">
        <v>1764565</v>
      </c>
      <c r="N101" s="170">
        <v>0</v>
      </c>
      <c r="O101" s="151">
        <f>SUM(P101:S101)</f>
        <v>284</v>
      </c>
      <c r="P101" s="170"/>
      <c r="Q101" s="170">
        <v>284</v>
      </c>
      <c r="R101" s="170"/>
      <c r="S101" s="170"/>
      <c r="T101" s="170"/>
      <c r="U101" s="170"/>
      <c r="V101" s="180" t="s">
        <v>640</v>
      </c>
      <c r="AA101" s="226"/>
      <c r="AB101" s="226"/>
      <c r="AC101" s="226"/>
      <c r="AD101" s="226"/>
      <c r="AE101" s="226"/>
      <c r="AF101" s="226"/>
      <c r="AG101" s="226"/>
      <c r="AH101" s="226"/>
    </row>
    <row r="102" spans="1:34" ht="99">
      <c r="A102" s="166">
        <v>3</v>
      </c>
      <c r="B102" s="167" t="s">
        <v>428</v>
      </c>
      <c r="C102" s="166" t="s">
        <v>544</v>
      </c>
      <c r="D102" s="166" t="s">
        <v>181</v>
      </c>
      <c r="E102" s="166" t="s">
        <v>2</v>
      </c>
      <c r="F102" s="168">
        <v>7035588</v>
      </c>
      <c r="G102" s="166" t="s">
        <v>545</v>
      </c>
      <c r="H102" s="166" t="s">
        <v>546</v>
      </c>
      <c r="I102" s="177">
        <v>89196</v>
      </c>
      <c r="J102" s="177">
        <v>89196</v>
      </c>
      <c r="K102" s="170">
        <f>2101+659</f>
        <v>2760</v>
      </c>
      <c r="L102" s="170">
        <v>2101</v>
      </c>
      <c r="M102" s="170">
        <v>72485</v>
      </c>
      <c r="N102" s="170">
        <v>72485</v>
      </c>
      <c r="O102" s="151">
        <f>SUM(P102:S102)</f>
        <v>659</v>
      </c>
      <c r="P102" s="170"/>
      <c r="Q102" s="170">
        <v>659</v>
      </c>
      <c r="R102" s="170"/>
      <c r="S102" s="170"/>
      <c r="T102" s="170"/>
      <c r="U102" s="170"/>
      <c r="V102" s="180" t="s">
        <v>638</v>
      </c>
      <c r="AA102" s="226"/>
      <c r="AB102" s="226"/>
      <c r="AC102" s="226"/>
      <c r="AD102" s="226"/>
      <c r="AE102" s="226"/>
      <c r="AF102" s="226"/>
      <c r="AG102" s="226"/>
      <c r="AH102" s="226"/>
    </row>
    <row r="103" spans="1:34" ht="66">
      <c r="A103" s="166">
        <v>4</v>
      </c>
      <c r="B103" s="167" t="s">
        <v>429</v>
      </c>
      <c r="C103" s="166" t="s">
        <v>29</v>
      </c>
      <c r="D103" s="166" t="s">
        <v>181</v>
      </c>
      <c r="E103" s="166" t="s">
        <v>3</v>
      </c>
      <c r="F103" s="168">
        <v>7576023</v>
      </c>
      <c r="G103" s="166" t="s">
        <v>25</v>
      </c>
      <c r="H103" s="166" t="s">
        <v>547</v>
      </c>
      <c r="I103" s="169">
        <v>4032</v>
      </c>
      <c r="J103" s="169">
        <v>4032</v>
      </c>
      <c r="K103" s="169">
        <v>4021</v>
      </c>
      <c r="L103" s="170">
        <f>1500+2000+250+170</f>
        <v>3920</v>
      </c>
      <c r="M103" s="170">
        <v>3920</v>
      </c>
      <c r="N103" s="170">
        <v>3920</v>
      </c>
      <c r="O103" s="151">
        <f>SUM(P103:S103)</f>
        <v>94</v>
      </c>
      <c r="P103" s="170">
        <v>94</v>
      </c>
      <c r="Q103" s="170"/>
      <c r="R103" s="170"/>
      <c r="S103" s="170"/>
      <c r="T103" s="170"/>
      <c r="U103" s="170"/>
      <c r="V103" s="165"/>
      <c r="AA103" s="226"/>
      <c r="AB103" s="226"/>
      <c r="AC103" s="226"/>
      <c r="AD103" s="226"/>
      <c r="AE103" s="226"/>
      <c r="AF103" s="226"/>
      <c r="AG103" s="226"/>
      <c r="AH103" s="226"/>
    </row>
    <row r="104" spans="1:34" ht="28.5" customHeight="1">
      <c r="A104" s="144" t="s">
        <v>67</v>
      </c>
      <c r="B104" s="145" t="s">
        <v>101</v>
      </c>
      <c r="C104" s="144"/>
      <c r="D104" s="145"/>
      <c r="E104" s="144"/>
      <c r="F104" s="146"/>
      <c r="G104" s="144"/>
      <c r="H104" s="144"/>
      <c r="I104" s="148">
        <f t="shared" ref="I104:S104" si="34">SUM(I105:I105)</f>
        <v>4928</v>
      </c>
      <c r="J104" s="148">
        <f t="shared" si="34"/>
        <v>4928</v>
      </c>
      <c r="K104" s="148">
        <f t="shared" si="34"/>
        <v>4507</v>
      </c>
      <c r="L104" s="148">
        <f t="shared" si="34"/>
        <v>0</v>
      </c>
      <c r="M104" s="148">
        <f t="shared" si="34"/>
        <v>0</v>
      </c>
      <c r="N104" s="148">
        <f t="shared" si="34"/>
        <v>0</v>
      </c>
      <c r="O104" s="151">
        <f t="shared" si="34"/>
        <v>4507</v>
      </c>
      <c r="P104" s="148">
        <f t="shared" si="34"/>
        <v>4507</v>
      </c>
      <c r="Q104" s="148">
        <f t="shared" si="34"/>
        <v>0</v>
      </c>
      <c r="R104" s="148">
        <f t="shared" si="34"/>
        <v>0</v>
      </c>
      <c r="S104" s="148">
        <f t="shared" si="34"/>
        <v>0</v>
      </c>
      <c r="T104" s="148"/>
      <c r="U104" s="148"/>
      <c r="V104" s="165"/>
      <c r="AA104" s="226"/>
      <c r="AB104" s="226"/>
      <c r="AC104" s="226"/>
      <c r="AD104" s="226"/>
      <c r="AE104" s="226"/>
      <c r="AF104" s="226"/>
      <c r="AG104" s="226"/>
      <c r="AH104" s="226"/>
    </row>
    <row r="105" spans="1:34" ht="66">
      <c r="A105" s="166">
        <v>1</v>
      </c>
      <c r="B105" s="167" t="s">
        <v>430</v>
      </c>
      <c r="C105" s="166" t="s">
        <v>548</v>
      </c>
      <c r="D105" s="166" t="s">
        <v>181</v>
      </c>
      <c r="E105" s="166" t="s">
        <v>3</v>
      </c>
      <c r="F105" s="168"/>
      <c r="G105" s="166" t="s">
        <v>549</v>
      </c>
      <c r="H105" s="166" t="s">
        <v>550</v>
      </c>
      <c r="I105" s="169">
        <v>4928</v>
      </c>
      <c r="J105" s="169">
        <v>4928</v>
      </c>
      <c r="K105" s="169">
        <f>2500+2007</f>
        <v>4507</v>
      </c>
      <c r="L105" s="170"/>
      <c r="M105" s="170">
        <v>0</v>
      </c>
      <c r="N105" s="170">
        <v>0</v>
      </c>
      <c r="O105" s="151">
        <f>SUM(P105:S105)</f>
        <v>4507</v>
      </c>
      <c r="P105" s="169">
        <v>4507</v>
      </c>
      <c r="Q105" s="169"/>
      <c r="R105" s="169"/>
      <c r="S105" s="169"/>
      <c r="T105" s="169"/>
      <c r="U105" s="169"/>
      <c r="V105" s="166"/>
      <c r="AA105" s="226"/>
      <c r="AB105" s="226"/>
      <c r="AC105" s="226"/>
      <c r="AD105" s="226"/>
      <c r="AE105" s="226"/>
      <c r="AF105" s="226"/>
      <c r="AG105" s="226"/>
      <c r="AH105" s="226"/>
    </row>
    <row r="106" spans="1:34" ht="42.75" customHeight="1">
      <c r="A106" s="159" t="s">
        <v>183</v>
      </c>
      <c r="B106" s="160" t="s">
        <v>431</v>
      </c>
      <c r="C106" s="159"/>
      <c r="D106" s="160"/>
      <c r="E106" s="159"/>
      <c r="F106" s="161"/>
      <c r="G106" s="159"/>
      <c r="H106" s="188"/>
      <c r="I106" s="162">
        <f t="shared" ref="I106:S106" si="35">I107+I109</f>
        <v>75197</v>
      </c>
      <c r="J106" s="162">
        <f t="shared" si="35"/>
        <v>16697</v>
      </c>
      <c r="K106" s="162">
        <f t="shared" si="35"/>
        <v>11979</v>
      </c>
      <c r="L106" s="162">
        <f t="shared" si="35"/>
        <v>8430</v>
      </c>
      <c r="M106" s="162">
        <f t="shared" si="35"/>
        <v>46344</v>
      </c>
      <c r="N106" s="162">
        <f t="shared" si="35"/>
        <v>8430</v>
      </c>
      <c r="O106" s="163">
        <f t="shared" si="35"/>
        <v>3424</v>
      </c>
      <c r="P106" s="162">
        <f t="shared" si="35"/>
        <v>0</v>
      </c>
      <c r="Q106" s="162">
        <f t="shared" si="35"/>
        <v>0</v>
      </c>
      <c r="R106" s="162">
        <f t="shared" si="35"/>
        <v>3424</v>
      </c>
      <c r="S106" s="162">
        <f t="shared" si="35"/>
        <v>0</v>
      </c>
      <c r="T106" s="162"/>
      <c r="U106" s="162"/>
      <c r="V106" s="164"/>
      <c r="AA106" s="226"/>
      <c r="AB106" s="226"/>
      <c r="AC106" s="226"/>
      <c r="AD106" s="226"/>
      <c r="AE106" s="226"/>
      <c r="AF106" s="226"/>
      <c r="AG106" s="226"/>
      <c r="AH106" s="226"/>
    </row>
    <row r="107" spans="1:34" ht="58.7" customHeight="1">
      <c r="A107" s="144" t="s">
        <v>73</v>
      </c>
      <c r="B107" s="145" t="s">
        <v>383</v>
      </c>
      <c r="C107" s="144"/>
      <c r="D107" s="145"/>
      <c r="E107" s="144"/>
      <c r="F107" s="146"/>
      <c r="G107" s="144"/>
      <c r="H107" s="144"/>
      <c r="I107" s="148">
        <f t="shared" ref="I107:S107" si="36">I108</f>
        <v>9242</v>
      </c>
      <c r="J107" s="148">
        <f t="shared" si="36"/>
        <v>9242</v>
      </c>
      <c r="K107" s="148">
        <f t="shared" si="36"/>
        <v>8700</v>
      </c>
      <c r="L107" s="148">
        <f t="shared" si="36"/>
        <v>8430</v>
      </c>
      <c r="M107" s="148">
        <f t="shared" si="36"/>
        <v>8430</v>
      </c>
      <c r="N107" s="148">
        <f t="shared" si="36"/>
        <v>8430</v>
      </c>
      <c r="O107" s="151">
        <f t="shared" si="36"/>
        <v>145</v>
      </c>
      <c r="P107" s="148">
        <f t="shared" si="36"/>
        <v>0</v>
      </c>
      <c r="Q107" s="148">
        <f t="shared" si="36"/>
        <v>0</v>
      </c>
      <c r="R107" s="148">
        <f t="shared" si="36"/>
        <v>145</v>
      </c>
      <c r="S107" s="148">
        <f t="shared" si="36"/>
        <v>0</v>
      </c>
      <c r="T107" s="148"/>
      <c r="U107" s="148"/>
      <c r="V107" s="165"/>
      <c r="AA107" s="226"/>
      <c r="AB107" s="226"/>
      <c r="AC107" s="226"/>
      <c r="AD107" s="226"/>
      <c r="AE107" s="226"/>
      <c r="AF107" s="226"/>
      <c r="AG107" s="226"/>
      <c r="AH107" s="226"/>
    </row>
    <row r="108" spans="1:34" ht="104.25" customHeight="1">
      <c r="A108" s="166">
        <v>1</v>
      </c>
      <c r="B108" s="167" t="s">
        <v>432</v>
      </c>
      <c r="C108" s="166" t="s">
        <v>32</v>
      </c>
      <c r="D108" s="166" t="s">
        <v>181</v>
      </c>
      <c r="E108" s="166" t="s">
        <v>3</v>
      </c>
      <c r="F108" s="168">
        <v>7588513</v>
      </c>
      <c r="G108" s="166" t="s">
        <v>25</v>
      </c>
      <c r="H108" s="189" t="s">
        <v>551</v>
      </c>
      <c r="I108" s="177">
        <v>9242</v>
      </c>
      <c r="J108" s="177">
        <v>9242</v>
      </c>
      <c r="K108" s="177">
        <v>8700</v>
      </c>
      <c r="L108" s="170">
        <f>8430</f>
        <v>8430</v>
      </c>
      <c r="M108" s="170">
        <v>8430</v>
      </c>
      <c r="N108" s="170">
        <v>8430</v>
      </c>
      <c r="O108" s="151">
        <f>SUM(P108:S108)</f>
        <v>145</v>
      </c>
      <c r="P108" s="177"/>
      <c r="Q108" s="177"/>
      <c r="R108" s="177">
        <v>145</v>
      </c>
      <c r="S108" s="177"/>
      <c r="T108" s="177"/>
      <c r="U108" s="177"/>
      <c r="V108" s="158"/>
      <c r="AA108" s="226"/>
      <c r="AB108" s="226"/>
      <c r="AC108" s="226"/>
      <c r="AD108" s="226"/>
      <c r="AE108" s="226"/>
      <c r="AF108" s="226"/>
      <c r="AG108" s="226"/>
      <c r="AH108" s="226"/>
    </row>
    <row r="109" spans="1:34" ht="39.75" customHeight="1">
      <c r="A109" s="144" t="s">
        <v>60</v>
      </c>
      <c r="B109" s="145" t="s">
        <v>395</v>
      </c>
      <c r="C109" s="144"/>
      <c r="D109" s="145"/>
      <c r="E109" s="144"/>
      <c r="F109" s="146"/>
      <c r="G109" s="144"/>
      <c r="H109" s="144"/>
      <c r="I109" s="148">
        <f t="shared" ref="I109:S109" si="37">SUM(I110:I111)</f>
        <v>65955</v>
      </c>
      <c r="J109" s="148">
        <f t="shared" si="37"/>
        <v>7455</v>
      </c>
      <c r="K109" s="148">
        <f t="shared" si="37"/>
        <v>3279</v>
      </c>
      <c r="L109" s="148">
        <f t="shared" si="37"/>
        <v>0</v>
      </c>
      <c r="M109" s="148">
        <f t="shared" si="37"/>
        <v>37914</v>
      </c>
      <c r="N109" s="148">
        <f t="shared" si="37"/>
        <v>0</v>
      </c>
      <c r="O109" s="151">
        <f t="shared" si="37"/>
        <v>3279</v>
      </c>
      <c r="P109" s="148">
        <f t="shared" si="37"/>
        <v>0</v>
      </c>
      <c r="Q109" s="148">
        <f t="shared" si="37"/>
        <v>0</v>
      </c>
      <c r="R109" s="148">
        <f t="shared" si="37"/>
        <v>3279</v>
      </c>
      <c r="S109" s="148">
        <f t="shared" si="37"/>
        <v>0</v>
      </c>
      <c r="T109" s="148"/>
      <c r="U109" s="148"/>
      <c r="V109" s="164"/>
      <c r="AA109" s="226"/>
      <c r="AB109" s="226"/>
      <c r="AC109" s="226"/>
      <c r="AD109" s="226"/>
      <c r="AE109" s="226"/>
      <c r="AF109" s="226"/>
      <c r="AG109" s="226"/>
      <c r="AH109" s="226"/>
    </row>
    <row r="110" spans="1:34" ht="198">
      <c r="A110" s="166">
        <v>1</v>
      </c>
      <c r="B110" s="167" t="s">
        <v>433</v>
      </c>
      <c r="C110" s="166" t="s">
        <v>552</v>
      </c>
      <c r="D110" s="166" t="s">
        <v>181</v>
      </c>
      <c r="E110" s="166" t="s">
        <v>3</v>
      </c>
      <c r="F110" s="168">
        <v>7590972</v>
      </c>
      <c r="G110" s="166" t="s">
        <v>34</v>
      </c>
      <c r="H110" s="189" t="s">
        <v>553</v>
      </c>
      <c r="I110" s="177">
        <v>15980</v>
      </c>
      <c r="J110" s="177">
        <f>15980-13500</f>
        <v>2480</v>
      </c>
      <c r="K110" s="177">
        <v>2089</v>
      </c>
      <c r="L110" s="170"/>
      <c r="M110" s="170">
        <v>13500</v>
      </c>
      <c r="N110" s="170">
        <v>0</v>
      </c>
      <c r="O110" s="151">
        <f>SUM(P110:S110)</f>
        <v>2089</v>
      </c>
      <c r="P110" s="177"/>
      <c r="Q110" s="177"/>
      <c r="R110" s="177">
        <v>2089</v>
      </c>
      <c r="S110" s="177"/>
      <c r="T110" s="177"/>
      <c r="U110" s="177"/>
      <c r="V110" s="166"/>
      <c r="AA110" s="226"/>
      <c r="AB110" s="226"/>
      <c r="AC110" s="226"/>
      <c r="AD110" s="226"/>
      <c r="AE110" s="226"/>
      <c r="AF110" s="226"/>
      <c r="AG110" s="226"/>
      <c r="AH110" s="226"/>
    </row>
    <row r="111" spans="1:34" ht="148.5">
      <c r="A111" s="166">
        <v>2</v>
      </c>
      <c r="B111" s="167" t="s">
        <v>434</v>
      </c>
      <c r="C111" s="166" t="s">
        <v>64</v>
      </c>
      <c r="D111" s="166" t="s">
        <v>181</v>
      </c>
      <c r="E111" s="166" t="s">
        <v>2</v>
      </c>
      <c r="F111" s="168">
        <v>7590973</v>
      </c>
      <c r="G111" s="166" t="s">
        <v>34</v>
      </c>
      <c r="H111" s="189" t="s">
        <v>554</v>
      </c>
      <c r="I111" s="177">
        <v>49975</v>
      </c>
      <c r="J111" s="177">
        <f>49975-45000</f>
        <v>4975</v>
      </c>
      <c r="K111" s="177">
        <v>1190</v>
      </c>
      <c r="L111" s="170"/>
      <c r="M111" s="170">
        <v>24414</v>
      </c>
      <c r="N111" s="170">
        <v>0</v>
      </c>
      <c r="O111" s="151">
        <f>SUM(P111:S111)</f>
        <v>1190</v>
      </c>
      <c r="P111" s="177"/>
      <c r="Q111" s="177"/>
      <c r="R111" s="177">
        <v>1190</v>
      </c>
      <c r="S111" s="177"/>
      <c r="T111" s="177"/>
      <c r="U111" s="177"/>
      <c r="V111" s="166"/>
      <c r="AA111" s="226"/>
      <c r="AB111" s="226"/>
      <c r="AC111" s="226"/>
      <c r="AD111" s="226"/>
      <c r="AE111" s="226"/>
      <c r="AF111" s="226"/>
      <c r="AG111" s="226"/>
      <c r="AH111" s="226"/>
    </row>
    <row r="112" spans="1:34" ht="33">
      <c r="A112" s="159" t="s">
        <v>184</v>
      </c>
      <c r="B112" s="160" t="s">
        <v>335</v>
      </c>
      <c r="C112" s="159"/>
      <c r="D112" s="160"/>
      <c r="E112" s="159"/>
      <c r="F112" s="161"/>
      <c r="G112" s="159"/>
      <c r="H112" s="159"/>
      <c r="I112" s="162">
        <f t="shared" ref="I112:S112" si="38">I113+I116</f>
        <v>735533</v>
      </c>
      <c r="J112" s="162">
        <f t="shared" si="38"/>
        <v>253808</v>
      </c>
      <c r="K112" s="162">
        <f t="shared" si="38"/>
        <v>211883</v>
      </c>
      <c r="L112" s="162">
        <f t="shared" si="38"/>
        <v>176300</v>
      </c>
      <c r="M112" s="162">
        <f t="shared" si="38"/>
        <v>461857</v>
      </c>
      <c r="N112" s="162">
        <f t="shared" si="38"/>
        <v>216514</v>
      </c>
      <c r="O112" s="163">
        <f t="shared" si="38"/>
        <v>31583</v>
      </c>
      <c r="P112" s="162">
        <f t="shared" si="38"/>
        <v>19300</v>
      </c>
      <c r="Q112" s="162">
        <f t="shared" si="38"/>
        <v>0</v>
      </c>
      <c r="R112" s="162">
        <f t="shared" si="38"/>
        <v>12283</v>
      </c>
      <c r="S112" s="162">
        <f t="shared" si="38"/>
        <v>0</v>
      </c>
      <c r="T112" s="162"/>
      <c r="U112" s="162"/>
      <c r="V112" s="164"/>
      <c r="AA112" s="226"/>
      <c r="AB112" s="226"/>
      <c r="AC112" s="226"/>
      <c r="AD112" s="226"/>
      <c r="AE112" s="226"/>
      <c r="AF112" s="226"/>
      <c r="AG112" s="226"/>
      <c r="AH112" s="226"/>
    </row>
    <row r="113" spans="1:34" ht="33">
      <c r="A113" s="144" t="s">
        <v>73</v>
      </c>
      <c r="B113" s="145" t="s">
        <v>383</v>
      </c>
      <c r="C113" s="144"/>
      <c r="D113" s="145"/>
      <c r="E113" s="144"/>
      <c r="F113" s="146"/>
      <c r="G113" s="144"/>
      <c r="H113" s="144"/>
      <c r="I113" s="148">
        <f t="shared" ref="I113:S113" si="39">SUM(I114:I115)</f>
        <v>422665</v>
      </c>
      <c r="J113" s="148">
        <f t="shared" si="39"/>
        <v>214294</v>
      </c>
      <c r="K113" s="148">
        <f t="shared" si="39"/>
        <v>180600</v>
      </c>
      <c r="L113" s="148">
        <f t="shared" si="39"/>
        <v>157300</v>
      </c>
      <c r="M113" s="148">
        <f t="shared" si="39"/>
        <v>397580</v>
      </c>
      <c r="N113" s="148">
        <f t="shared" si="39"/>
        <v>189280</v>
      </c>
      <c r="O113" s="151">
        <f t="shared" si="39"/>
        <v>19300</v>
      </c>
      <c r="P113" s="148">
        <f t="shared" si="39"/>
        <v>19300</v>
      </c>
      <c r="Q113" s="148">
        <f t="shared" si="39"/>
        <v>0</v>
      </c>
      <c r="R113" s="148">
        <f t="shared" si="39"/>
        <v>0</v>
      </c>
      <c r="S113" s="148">
        <f t="shared" si="39"/>
        <v>0</v>
      </c>
      <c r="T113" s="148"/>
      <c r="U113" s="148"/>
      <c r="V113" s="165"/>
      <c r="AA113" s="226"/>
      <c r="AB113" s="226"/>
      <c r="AC113" s="226"/>
      <c r="AD113" s="226"/>
      <c r="AE113" s="226"/>
      <c r="AF113" s="226"/>
      <c r="AG113" s="226"/>
      <c r="AH113" s="226"/>
    </row>
    <row r="114" spans="1:34" ht="99">
      <c r="A114" s="166">
        <v>1</v>
      </c>
      <c r="B114" s="167" t="s">
        <v>15</v>
      </c>
      <c r="C114" s="166" t="s">
        <v>64</v>
      </c>
      <c r="D114" s="166" t="s">
        <v>181</v>
      </c>
      <c r="E114" s="166" t="s">
        <v>2</v>
      </c>
      <c r="F114" s="168">
        <v>7021916</v>
      </c>
      <c r="G114" s="190" t="s">
        <v>555</v>
      </c>
      <c r="H114" s="166" t="s">
        <v>66</v>
      </c>
      <c r="I114" s="190">
        <v>416742</v>
      </c>
      <c r="J114" s="190">
        <f>I114/2</f>
        <v>208371</v>
      </c>
      <c r="K114" s="190">
        <f>299000-124000</f>
        <v>175000</v>
      </c>
      <c r="L114" s="190">
        <f>25000+60000+51000+20000-4000</f>
        <v>152000</v>
      </c>
      <c r="M114" s="190">
        <f>396280-4000</f>
        <v>392280</v>
      </c>
      <c r="N114" s="190">
        <f>167980+16000</f>
        <v>183980</v>
      </c>
      <c r="O114" s="151">
        <f>SUM(P114:S114)</f>
        <v>19000</v>
      </c>
      <c r="P114" s="170">
        <v>19000</v>
      </c>
      <c r="Q114" s="148"/>
      <c r="R114" s="170"/>
      <c r="S114" s="148"/>
      <c r="T114" s="148"/>
      <c r="U114" s="148"/>
      <c r="V114" s="180" t="s">
        <v>638</v>
      </c>
      <c r="AA114" s="226"/>
      <c r="AB114" s="226"/>
      <c r="AC114" s="226"/>
      <c r="AD114" s="226"/>
      <c r="AE114" s="226"/>
      <c r="AF114" s="226"/>
      <c r="AG114" s="226"/>
      <c r="AH114" s="226"/>
    </row>
    <row r="115" spans="1:34" ht="66">
      <c r="A115" s="166">
        <v>2</v>
      </c>
      <c r="B115" s="167" t="s">
        <v>152</v>
      </c>
      <c r="C115" s="166" t="s">
        <v>29</v>
      </c>
      <c r="D115" s="166" t="s">
        <v>181</v>
      </c>
      <c r="E115" s="166" t="s">
        <v>3</v>
      </c>
      <c r="F115" s="168">
        <v>7576991</v>
      </c>
      <c r="G115" s="166" t="s">
        <v>153</v>
      </c>
      <c r="H115" s="166" t="s">
        <v>154</v>
      </c>
      <c r="I115" s="169">
        <v>5923</v>
      </c>
      <c r="J115" s="169">
        <v>5923</v>
      </c>
      <c r="K115" s="169">
        <v>5600</v>
      </c>
      <c r="L115" s="170">
        <v>5300</v>
      </c>
      <c r="M115" s="170">
        <v>5300</v>
      </c>
      <c r="N115" s="170">
        <v>5300</v>
      </c>
      <c r="O115" s="151">
        <f>SUM(P115:S115)</f>
        <v>300</v>
      </c>
      <c r="P115" s="170">
        <v>300</v>
      </c>
      <c r="Q115" s="170"/>
      <c r="R115" s="170"/>
      <c r="S115" s="170"/>
      <c r="T115" s="170"/>
      <c r="U115" s="170"/>
      <c r="V115" s="165"/>
      <c r="AA115" s="226"/>
      <c r="AB115" s="226"/>
      <c r="AC115" s="226"/>
      <c r="AD115" s="226"/>
      <c r="AE115" s="226"/>
      <c r="AF115" s="226"/>
      <c r="AG115" s="226"/>
      <c r="AH115" s="226"/>
    </row>
    <row r="116" spans="1:34" ht="42.75" customHeight="1">
      <c r="A116" s="144" t="s">
        <v>60</v>
      </c>
      <c r="B116" s="145" t="s">
        <v>395</v>
      </c>
      <c r="C116" s="144"/>
      <c r="D116" s="145"/>
      <c r="E116" s="144"/>
      <c r="F116" s="146"/>
      <c r="G116" s="144"/>
      <c r="H116" s="144"/>
      <c r="I116" s="148">
        <f t="shared" ref="I116:S116" si="40">SUM(I117:I117)</f>
        <v>312868</v>
      </c>
      <c r="J116" s="148">
        <f t="shared" si="40"/>
        <v>39514</v>
      </c>
      <c r="K116" s="148">
        <f t="shared" si="40"/>
        <v>31283</v>
      </c>
      <c r="L116" s="148">
        <f t="shared" si="40"/>
        <v>19000</v>
      </c>
      <c r="M116" s="148">
        <f t="shared" si="40"/>
        <v>64277</v>
      </c>
      <c r="N116" s="148">
        <f t="shared" si="40"/>
        <v>27234</v>
      </c>
      <c r="O116" s="151">
        <f t="shared" si="40"/>
        <v>12283</v>
      </c>
      <c r="P116" s="148">
        <f t="shared" si="40"/>
        <v>0</v>
      </c>
      <c r="Q116" s="148">
        <f t="shared" si="40"/>
        <v>0</v>
      </c>
      <c r="R116" s="148">
        <f t="shared" si="40"/>
        <v>12283</v>
      </c>
      <c r="S116" s="148">
        <f t="shared" si="40"/>
        <v>0</v>
      </c>
      <c r="T116" s="148"/>
      <c r="U116" s="148"/>
      <c r="V116" s="164"/>
      <c r="AA116" s="226"/>
      <c r="AB116" s="226"/>
      <c r="AC116" s="226"/>
      <c r="AD116" s="226"/>
      <c r="AE116" s="226"/>
      <c r="AF116" s="226"/>
      <c r="AG116" s="226"/>
      <c r="AH116" s="226"/>
    </row>
    <row r="117" spans="1:34" ht="66">
      <c r="A117" s="166">
        <v>1</v>
      </c>
      <c r="B117" s="167" t="s">
        <v>215</v>
      </c>
      <c r="C117" s="166" t="s">
        <v>38</v>
      </c>
      <c r="D117" s="166" t="s">
        <v>181</v>
      </c>
      <c r="E117" s="166" t="s">
        <v>2</v>
      </c>
      <c r="F117" s="168">
        <v>7541370</v>
      </c>
      <c r="G117" s="166" t="s">
        <v>22</v>
      </c>
      <c r="H117" s="166" t="s">
        <v>218</v>
      </c>
      <c r="I117" s="177">
        <v>312868</v>
      </c>
      <c r="J117" s="177">
        <v>39514</v>
      </c>
      <c r="K117" s="177">
        <v>31283</v>
      </c>
      <c r="L117" s="170">
        <f>15000+10000-6000</f>
        <v>19000</v>
      </c>
      <c r="M117" s="170">
        <f>70277-6000</f>
        <v>64277</v>
      </c>
      <c r="N117" s="170">
        <f>23234+4000</f>
        <v>27234</v>
      </c>
      <c r="O117" s="151">
        <f>SUM(P117:S117)</f>
        <v>12283</v>
      </c>
      <c r="P117" s="170"/>
      <c r="Q117" s="170"/>
      <c r="R117" s="170">
        <v>12283</v>
      </c>
      <c r="S117" s="170"/>
      <c r="T117" s="170"/>
      <c r="U117" s="170"/>
      <c r="V117" s="158"/>
      <c r="AA117" s="226"/>
      <c r="AB117" s="226"/>
      <c r="AC117" s="226"/>
      <c r="AD117" s="226"/>
      <c r="AE117" s="226"/>
      <c r="AF117" s="226"/>
      <c r="AG117" s="226"/>
      <c r="AH117" s="226"/>
    </row>
    <row r="118" spans="1:34" ht="30.75" customHeight="1">
      <c r="A118" s="159" t="s">
        <v>185</v>
      </c>
      <c r="B118" s="160" t="s">
        <v>435</v>
      </c>
      <c r="C118" s="159"/>
      <c r="D118" s="160"/>
      <c r="E118" s="159"/>
      <c r="F118" s="161"/>
      <c r="G118" s="159"/>
      <c r="H118" s="159"/>
      <c r="I118" s="162">
        <f t="shared" ref="I118:S118" si="41">I119+I121+I123</f>
        <v>97506</v>
      </c>
      <c r="J118" s="162">
        <f t="shared" si="41"/>
        <v>97506</v>
      </c>
      <c r="K118" s="162">
        <f t="shared" si="41"/>
        <v>65711</v>
      </c>
      <c r="L118" s="162">
        <f t="shared" si="41"/>
        <v>19171</v>
      </c>
      <c r="M118" s="162">
        <f t="shared" si="41"/>
        <v>19171</v>
      </c>
      <c r="N118" s="162">
        <f t="shared" si="41"/>
        <v>19171</v>
      </c>
      <c r="O118" s="163">
        <f t="shared" si="41"/>
        <v>29460</v>
      </c>
      <c r="P118" s="162">
        <f t="shared" si="41"/>
        <v>29460</v>
      </c>
      <c r="Q118" s="162">
        <f t="shared" si="41"/>
        <v>0</v>
      </c>
      <c r="R118" s="162">
        <f t="shared" si="41"/>
        <v>0</v>
      </c>
      <c r="S118" s="162">
        <f t="shared" si="41"/>
        <v>0</v>
      </c>
      <c r="T118" s="162"/>
      <c r="U118" s="162"/>
      <c r="V118" s="164"/>
      <c r="AA118" s="226"/>
      <c r="AB118" s="226"/>
      <c r="AC118" s="226"/>
      <c r="AD118" s="226"/>
      <c r="AE118" s="226"/>
      <c r="AF118" s="226"/>
      <c r="AG118" s="226"/>
      <c r="AH118" s="226"/>
    </row>
    <row r="119" spans="1:34" ht="48.75" customHeight="1">
      <c r="A119" s="144" t="s">
        <v>60</v>
      </c>
      <c r="B119" s="145" t="s">
        <v>383</v>
      </c>
      <c r="C119" s="144"/>
      <c r="D119" s="145"/>
      <c r="E119" s="144"/>
      <c r="F119" s="146"/>
      <c r="G119" s="144"/>
      <c r="H119" s="144"/>
      <c r="I119" s="148">
        <f t="shared" ref="I119:S119" si="42">SUM(I120:I120)</f>
        <v>4480</v>
      </c>
      <c r="J119" s="148">
        <f t="shared" si="42"/>
        <v>4480</v>
      </c>
      <c r="K119" s="148">
        <f t="shared" si="42"/>
        <v>3201</v>
      </c>
      <c r="L119" s="148">
        <f t="shared" si="42"/>
        <v>3141</v>
      </c>
      <c r="M119" s="148">
        <f t="shared" si="42"/>
        <v>3141</v>
      </c>
      <c r="N119" s="148">
        <f t="shared" si="42"/>
        <v>3141</v>
      </c>
      <c r="O119" s="151">
        <f t="shared" si="42"/>
        <v>30</v>
      </c>
      <c r="P119" s="148">
        <f t="shared" si="42"/>
        <v>30</v>
      </c>
      <c r="Q119" s="148">
        <f t="shared" si="42"/>
        <v>0</v>
      </c>
      <c r="R119" s="148">
        <f t="shared" si="42"/>
        <v>0</v>
      </c>
      <c r="S119" s="148">
        <f t="shared" si="42"/>
        <v>0</v>
      </c>
      <c r="T119" s="148"/>
      <c r="U119" s="148"/>
      <c r="V119" s="165"/>
      <c r="AA119" s="226"/>
      <c r="AB119" s="226"/>
      <c r="AC119" s="226"/>
      <c r="AD119" s="226"/>
      <c r="AE119" s="226"/>
      <c r="AF119" s="226"/>
      <c r="AG119" s="226"/>
      <c r="AH119" s="226"/>
    </row>
    <row r="120" spans="1:34" ht="93.75" customHeight="1">
      <c r="A120" s="166">
        <v>1</v>
      </c>
      <c r="B120" s="167" t="s">
        <v>98</v>
      </c>
      <c r="C120" s="166" t="s">
        <v>38</v>
      </c>
      <c r="D120" s="166" t="s">
        <v>181</v>
      </c>
      <c r="E120" s="166" t="s">
        <v>3</v>
      </c>
      <c r="F120" s="168">
        <v>7578437</v>
      </c>
      <c r="G120" s="166" t="s">
        <v>25</v>
      </c>
      <c r="H120" s="166" t="s">
        <v>99</v>
      </c>
      <c r="I120" s="169">
        <v>4480</v>
      </c>
      <c r="J120" s="169">
        <v>4480</v>
      </c>
      <c r="K120" s="169">
        <f>4450-1249</f>
        <v>3201</v>
      </c>
      <c r="L120" s="170">
        <f>1400+2300+120-679</f>
        <v>3141</v>
      </c>
      <c r="M120" s="170">
        <f>3820-679</f>
        <v>3141</v>
      </c>
      <c r="N120" s="170">
        <f>3820-679</f>
        <v>3141</v>
      </c>
      <c r="O120" s="151">
        <f>SUM(P120:S120)</f>
        <v>30</v>
      </c>
      <c r="P120" s="170">
        <v>30</v>
      </c>
      <c r="Q120" s="170"/>
      <c r="R120" s="170"/>
      <c r="S120" s="170"/>
      <c r="T120" s="170"/>
      <c r="U120" s="170"/>
      <c r="V120" s="165"/>
      <c r="AA120" s="226"/>
      <c r="AB120" s="226"/>
      <c r="AC120" s="226"/>
      <c r="AD120" s="226"/>
      <c r="AE120" s="226"/>
      <c r="AF120" s="226"/>
      <c r="AG120" s="226"/>
      <c r="AH120" s="226"/>
    </row>
    <row r="121" spans="1:34" ht="54" customHeight="1">
      <c r="A121" s="144" t="s">
        <v>60</v>
      </c>
      <c r="B121" s="145" t="s">
        <v>419</v>
      </c>
      <c r="C121" s="144"/>
      <c r="D121" s="145"/>
      <c r="E121" s="144"/>
      <c r="F121" s="146"/>
      <c r="G121" s="144"/>
      <c r="H121" s="144"/>
      <c r="I121" s="148">
        <f t="shared" ref="I121:S121" si="43">I122</f>
        <v>21656</v>
      </c>
      <c r="J121" s="148">
        <f t="shared" si="43"/>
        <v>21656</v>
      </c>
      <c r="K121" s="148">
        <f t="shared" si="43"/>
        <v>20510</v>
      </c>
      <c r="L121" s="148">
        <f t="shared" si="43"/>
        <v>16030</v>
      </c>
      <c r="M121" s="148">
        <f t="shared" si="43"/>
        <v>16030</v>
      </c>
      <c r="N121" s="148">
        <f t="shared" si="43"/>
        <v>16030</v>
      </c>
      <c r="O121" s="151">
        <f t="shared" si="43"/>
        <v>4430</v>
      </c>
      <c r="P121" s="148">
        <f t="shared" si="43"/>
        <v>4430</v>
      </c>
      <c r="Q121" s="148">
        <f t="shared" si="43"/>
        <v>0</v>
      </c>
      <c r="R121" s="148">
        <f t="shared" si="43"/>
        <v>0</v>
      </c>
      <c r="S121" s="148">
        <f t="shared" si="43"/>
        <v>0</v>
      </c>
      <c r="T121" s="148"/>
      <c r="U121" s="148"/>
      <c r="V121" s="165"/>
      <c r="AA121" s="226"/>
      <c r="AB121" s="226"/>
      <c r="AC121" s="226"/>
      <c r="AD121" s="226"/>
      <c r="AE121" s="226"/>
      <c r="AF121" s="226"/>
      <c r="AG121" s="226"/>
      <c r="AH121" s="226"/>
    </row>
    <row r="122" spans="1:34" ht="82.5">
      <c r="A122" s="166">
        <v>1</v>
      </c>
      <c r="B122" s="167" t="s">
        <v>102</v>
      </c>
      <c r="C122" s="166" t="s">
        <v>38</v>
      </c>
      <c r="D122" s="166" t="s">
        <v>181</v>
      </c>
      <c r="E122" s="166" t="s">
        <v>3</v>
      </c>
      <c r="F122" s="168">
        <v>7578439</v>
      </c>
      <c r="G122" s="166" t="s">
        <v>18</v>
      </c>
      <c r="H122" s="166" t="s">
        <v>103</v>
      </c>
      <c r="I122" s="169">
        <v>21656</v>
      </c>
      <c r="J122" s="169">
        <v>21656</v>
      </c>
      <c r="K122" s="169">
        <f>21606-1096</f>
        <v>20510</v>
      </c>
      <c r="L122" s="170">
        <f>19000-2970</f>
        <v>16030</v>
      </c>
      <c r="M122" s="170">
        <f>19000-2970</f>
        <v>16030</v>
      </c>
      <c r="N122" s="170">
        <f>19000-2970</f>
        <v>16030</v>
      </c>
      <c r="O122" s="151">
        <f>SUM(P122:S122)</f>
        <v>4430</v>
      </c>
      <c r="P122" s="170">
        <v>4430</v>
      </c>
      <c r="Q122" s="170"/>
      <c r="R122" s="170"/>
      <c r="S122" s="170"/>
      <c r="T122" s="170"/>
      <c r="U122" s="170"/>
      <c r="V122" s="165"/>
      <c r="AA122" s="226"/>
      <c r="AB122" s="226"/>
      <c r="AC122" s="226"/>
      <c r="AD122" s="226"/>
      <c r="AE122" s="226"/>
      <c r="AF122" s="226"/>
      <c r="AG122" s="226"/>
      <c r="AH122" s="226"/>
    </row>
    <row r="123" spans="1:34" ht="30.2" customHeight="1">
      <c r="A123" s="144" t="s">
        <v>67</v>
      </c>
      <c r="B123" s="145" t="s">
        <v>68</v>
      </c>
      <c r="C123" s="144"/>
      <c r="D123" s="145"/>
      <c r="E123" s="144"/>
      <c r="F123" s="146"/>
      <c r="G123" s="144"/>
      <c r="H123" s="144"/>
      <c r="I123" s="148">
        <f t="shared" ref="I123:S123" si="44">SUM(I124:I127)</f>
        <v>71370</v>
      </c>
      <c r="J123" s="148">
        <f t="shared" si="44"/>
        <v>71370</v>
      </c>
      <c r="K123" s="148">
        <f t="shared" si="44"/>
        <v>42000</v>
      </c>
      <c r="L123" s="148">
        <f t="shared" si="44"/>
        <v>0</v>
      </c>
      <c r="M123" s="148">
        <f t="shared" si="44"/>
        <v>0</v>
      </c>
      <c r="N123" s="148">
        <f t="shared" si="44"/>
        <v>0</v>
      </c>
      <c r="O123" s="151">
        <f t="shared" si="44"/>
        <v>25000</v>
      </c>
      <c r="P123" s="148">
        <f t="shared" si="44"/>
        <v>25000</v>
      </c>
      <c r="Q123" s="148">
        <f t="shared" si="44"/>
        <v>0</v>
      </c>
      <c r="R123" s="148">
        <f t="shared" si="44"/>
        <v>0</v>
      </c>
      <c r="S123" s="148">
        <f t="shared" si="44"/>
        <v>0</v>
      </c>
      <c r="T123" s="148"/>
      <c r="U123" s="148"/>
      <c r="V123" s="165"/>
      <c r="AA123" s="226"/>
      <c r="AB123" s="226"/>
      <c r="AC123" s="226"/>
      <c r="AD123" s="226"/>
      <c r="AE123" s="226"/>
      <c r="AF123" s="226"/>
      <c r="AG123" s="226"/>
      <c r="AH123" s="226"/>
    </row>
    <row r="124" spans="1:34" ht="82.5">
      <c r="A124" s="166">
        <v>1</v>
      </c>
      <c r="B124" s="167" t="s">
        <v>436</v>
      </c>
      <c r="C124" s="166" t="s">
        <v>38</v>
      </c>
      <c r="D124" s="166" t="s">
        <v>181</v>
      </c>
      <c r="E124" s="166" t="s">
        <v>3</v>
      </c>
      <c r="F124" s="168">
        <v>7713205</v>
      </c>
      <c r="G124" s="166" t="s">
        <v>549</v>
      </c>
      <c r="H124" s="166" t="s">
        <v>556</v>
      </c>
      <c r="I124" s="169">
        <v>16980</v>
      </c>
      <c r="J124" s="169">
        <v>16980</v>
      </c>
      <c r="K124" s="169">
        <f>6000+10000</f>
        <v>16000</v>
      </c>
      <c r="L124" s="170"/>
      <c r="M124" s="170">
        <v>0</v>
      </c>
      <c r="N124" s="170"/>
      <c r="O124" s="151">
        <f>SUM(P124:S124)</f>
        <v>6000</v>
      </c>
      <c r="P124" s="169">
        <v>6000</v>
      </c>
      <c r="Q124" s="169"/>
      <c r="R124" s="170"/>
      <c r="S124" s="169"/>
      <c r="T124" s="169"/>
      <c r="U124" s="169"/>
      <c r="V124" s="166"/>
      <c r="AA124" s="226"/>
      <c r="AB124" s="226"/>
      <c r="AC124" s="226"/>
      <c r="AD124" s="226"/>
      <c r="AE124" s="226"/>
      <c r="AF124" s="226"/>
      <c r="AG124" s="226"/>
      <c r="AH124" s="226"/>
    </row>
    <row r="125" spans="1:34" ht="66">
      <c r="A125" s="166">
        <v>2</v>
      </c>
      <c r="B125" s="167" t="s">
        <v>648</v>
      </c>
      <c r="C125" s="166" t="s">
        <v>38</v>
      </c>
      <c r="D125" s="166" t="s">
        <v>181</v>
      </c>
      <c r="E125" s="166" t="s">
        <v>3</v>
      </c>
      <c r="F125" s="168">
        <v>7715823</v>
      </c>
      <c r="G125" s="166" t="s">
        <v>549</v>
      </c>
      <c r="H125" s="166" t="s">
        <v>649</v>
      </c>
      <c r="I125" s="169">
        <v>28491</v>
      </c>
      <c r="J125" s="169">
        <v>28491</v>
      </c>
      <c r="K125" s="169">
        <v>10000</v>
      </c>
      <c r="L125" s="170"/>
      <c r="M125" s="170"/>
      <c r="N125" s="170"/>
      <c r="O125" s="151">
        <f>SUM(P125:S125)</f>
        <v>10000</v>
      </c>
      <c r="P125" s="169">
        <v>10000</v>
      </c>
      <c r="Q125" s="169"/>
      <c r="R125" s="170"/>
      <c r="S125" s="169"/>
      <c r="T125" s="169"/>
      <c r="U125" s="169"/>
      <c r="V125" s="166"/>
      <c r="AA125" s="226"/>
      <c r="AB125" s="226"/>
      <c r="AC125" s="226"/>
      <c r="AD125" s="226"/>
      <c r="AE125" s="226"/>
      <c r="AF125" s="226"/>
      <c r="AG125" s="226"/>
      <c r="AH125" s="226"/>
    </row>
    <row r="126" spans="1:34" ht="82.5">
      <c r="A126" s="166">
        <v>3</v>
      </c>
      <c r="B126" s="167" t="s">
        <v>437</v>
      </c>
      <c r="C126" s="166" t="s">
        <v>38</v>
      </c>
      <c r="D126" s="166" t="s">
        <v>181</v>
      </c>
      <c r="E126" s="166" t="s">
        <v>3</v>
      </c>
      <c r="F126" s="168">
        <v>7715824</v>
      </c>
      <c r="G126" s="166" t="s">
        <v>549</v>
      </c>
      <c r="H126" s="166" t="s">
        <v>557</v>
      </c>
      <c r="I126" s="169">
        <v>9716</v>
      </c>
      <c r="J126" s="169">
        <v>9716</v>
      </c>
      <c r="K126" s="169">
        <f>5000+1000</f>
        <v>6000</v>
      </c>
      <c r="L126" s="170"/>
      <c r="M126" s="170">
        <v>0</v>
      </c>
      <c r="N126" s="170"/>
      <c r="O126" s="151">
        <f>SUM(P126:S126)</f>
        <v>5000</v>
      </c>
      <c r="P126" s="169">
        <v>5000</v>
      </c>
      <c r="Q126" s="169"/>
      <c r="R126" s="169"/>
      <c r="S126" s="169"/>
      <c r="T126" s="169"/>
      <c r="U126" s="169"/>
      <c r="V126" s="166"/>
      <c r="AA126" s="226"/>
      <c r="AB126" s="226"/>
      <c r="AC126" s="226"/>
      <c r="AD126" s="226"/>
      <c r="AE126" s="226"/>
      <c r="AF126" s="226"/>
      <c r="AG126" s="226"/>
      <c r="AH126" s="226"/>
    </row>
    <row r="127" spans="1:34" ht="82.5">
      <c r="A127" s="166">
        <v>4</v>
      </c>
      <c r="B127" s="167" t="s">
        <v>438</v>
      </c>
      <c r="C127" s="166" t="s">
        <v>38</v>
      </c>
      <c r="D127" s="166" t="s">
        <v>181</v>
      </c>
      <c r="E127" s="166" t="s">
        <v>3</v>
      </c>
      <c r="F127" s="168">
        <v>7715825</v>
      </c>
      <c r="G127" s="166" t="s">
        <v>549</v>
      </c>
      <c r="H127" s="166" t="s">
        <v>558</v>
      </c>
      <c r="I127" s="169">
        <v>16183</v>
      </c>
      <c r="J127" s="169">
        <v>16183</v>
      </c>
      <c r="K127" s="169">
        <f>4000+6000</f>
        <v>10000</v>
      </c>
      <c r="L127" s="170"/>
      <c r="M127" s="170">
        <v>0</v>
      </c>
      <c r="N127" s="170"/>
      <c r="O127" s="151">
        <f>SUM(P127:S127)</f>
        <v>4000</v>
      </c>
      <c r="P127" s="169">
        <v>4000</v>
      </c>
      <c r="Q127" s="169"/>
      <c r="R127" s="169"/>
      <c r="S127" s="169"/>
      <c r="T127" s="169"/>
      <c r="U127" s="169"/>
      <c r="V127" s="166"/>
      <c r="AA127" s="226"/>
      <c r="AB127" s="226"/>
      <c r="AC127" s="226"/>
      <c r="AD127" s="226"/>
      <c r="AE127" s="226"/>
      <c r="AF127" s="226"/>
      <c r="AG127" s="226"/>
      <c r="AH127" s="226"/>
    </row>
    <row r="128" spans="1:34" ht="33.75" customHeight="1">
      <c r="A128" s="159" t="s">
        <v>367</v>
      </c>
      <c r="B128" s="160" t="s">
        <v>344</v>
      </c>
      <c r="C128" s="159"/>
      <c r="D128" s="160"/>
      <c r="E128" s="159"/>
      <c r="F128" s="161"/>
      <c r="G128" s="159"/>
      <c r="H128" s="188"/>
      <c r="I128" s="162">
        <f t="shared" ref="I128:S128" si="45">I129+I131+I135</f>
        <v>124179</v>
      </c>
      <c r="J128" s="162">
        <f t="shared" si="45"/>
        <v>124179</v>
      </c>
      <c r="K128" s="162">
        <f t="shared" si="45"/>
        <v>96100</v>
      </c>
      <c r="L128" s="162">
        <f t="shared" si="45"/>
        <v>65187</v>
      </c>
      <c r="M128" s="162">
        <f t="shared" si="45"/>
        <v>65187</v>
      </c>
      <c r="N128" s="162">
        <f t="shared" si="45"/>
        <v>65187</v>
      </c>
      <c r="O128" s="163">
        <f t="shared" si="45"/>
        <v>16885</v>
      </c>
      <c r="P128" s="162">
        <f t="shared" si="45"/>
        <v>16885</v>
      </c>
      <c r="Q128" s="162">
        <f t="shared" si="45"/>
        <v>0</v>
      </c>
      <c r="R128" s="162">
        <f t="shared" si="45"/>
        <v>0</v>
      </c>
      <c r="S128" s="162">
        <f t="shared" si="45"/>
        <v>0</v>
      </c>
      <c r="T128" s="162"/>
      <c r="U128" s="162"/>
      <c r="V128" s="164"/>
      <c r="AA128" s="226"/>
      <c r="AB128" s="226"/>
      <c r="AC128" s="226"/>
      <c r="AD128" s="226"/>
      <c r="AE128" s="226"/>
      <c r="AF128" s="226"/>
      <c r="AG128" s="226"/>
      <c r="AH128" s="226"/>
    </row>
    <row r="129" spans="1:34" ht="46.5" customHeight="1">
      <c r="A129" s="144" t="s">
        <v>73</v>
      </c>
      <c r="B129" s="145" t="s">
        <v>383</v>
      </c>
      <c r="C129" s="144"/>
      <c r="D129" s="145"/>
      <c r="E129" s="144"/>
      <c r="F129" s="146"/>
      <c r="G129" s="144"/>
      <c r="H129" s="144"/>
      <c r="I129" s="148">
        <f t="shared" ref="I129:S129" si="46">SUM(I130:I130)</f>
        <v>7346</v>
      </c>
      <c r="J129" s="148">
        <f t="shared" si="46"/>
        <v>7346</v>
      </c>
      <c r="K129" s="148">
        <f t="shared" si="46"/>
        <v>6900</v>
      </c>
      <c r="L129" s="148">
        <f t="shared" si="46"/>
        <v>6500</v>
      </c>
      <c r="M129" s="148">
        <f t="shared" si="46"/>
        <v>6500</v>
      </c>
      <c r="N129" s="148">
        <f t="shared" si="46"/>
        <v>6500</v>
      </c>
      <c r="O129" s="151">
        <f t="shared" si="46"/>
        <v>350</v>
      </c>
      <c r="P129" s="148">
        <f t="shared" si="46"/>
        <v>350</v>
      </c>
      <c r="Q129" s="148">
        <f t="shared" si="46"/>
        <v>0</v>
      </c>
      <c r="R129" s="148">
        <f t="shared" si="46"/>
        <v>0</v>
      </c>
      <c r="S129" s="148">
        <f t="shared" si="46"/>
        <v>0</v>
      </c>
      <c r="T129" s="148"/>
      <c r="U129" s="148"/>
      <c r="V129" s="146">
        <f>SUM(V130:V130)</f>
        <v>0</v>
      </c>
      <c r="AA129" s="226"/>
      <c r="AB129" s="226"/>
      <c r="AC129" s="226"/>
      <c r="AD129" s="226"/>
      <c r="AE129" s="226"/>
      <c r="AF129" s="226"/>
      <c r="AG129" s="226"/>
      <c r="AH129" s="226"/>
    </row>
    <row r="130" spans="1:34" ht="49.5">
      <c r="A130" s="166">
        <v>1</v>
      </c>
      <c r="B130" s="167" t="s">
        <v>106</v>
      </c>
      <c r="C130" s="166" t="s">
        <v>32</v>
      </c>
      <c r="D130" s="166" t="s">
        <v>181</v>
      </c>
      <c r="E130" s="166" t="s">
        <v>3</v>
      </c>
      <c r="F130" s="168">
        <v>7608269</v>
      </c>
      <c r="G130" s="166" t="s">
        <v>18</v>
      </c>
      <c r="H130" s="166" t="s">
        <v>109</v>
      </c>
      <c r="I130" s="169">
        <v>7346</v>
      </c>
      <c r="J130" s="169">
        <v>7346</v>
      </c>
      <c r="K130" s="169">
        <v>6900</v>
      </c>
      <c r="L130" s="170">
        <v>6500</v>
      </c>
      <c r="M130" s="170">
        <v>6500</v>
      </c>
      <c r="N130" s="170">
        <v>6500</v>
      </c>
      <c r="O130" s="151">
        <f>SUM(P130:S130)</f>
        <v>350</v>
      </c>
      <c r="P130" s="170">
        <v>350</v>
      </c>
      <c r="Q130" s="170"/>
      <c r="R130" s="170"/>
      <c r="S130" s="170"/>
      <c r="T130" s="170"/>
      <c r="U130" s="170"/>
      <c r="V130" s="165"/>
      <c r="AA130" s="226"/>
      <c r="AB130" s="226"/>
      <c r="AC130" s="226"/>
      <c r="AD130" s="226"/>
      <c r="AE130" s="226"/>
      <c r="AF130" s="226"/>
      <c r="AG130" s="226"/>
      <c r="AH130" s="226"/>
    </row>
    <row r="131" spans="1:34" ht="44.45" customHeight="1">
      <c r="A131" s="144" t="s">
        <v>60</v>
      </c>
      <c r="B131" s="145" t="s">
        <v>419</v>
      </c>
      <c r="C131" s="144"/>
      <c r="D131" s="145"/>
      <c r="E131" s="144"/>
      <c r="F131" s="146"/>
      <c r="G131" s="144"/>
      <c r="H131" s="144"/>
      <c r="I131" s="148">
        <f t="shared" ref="I131:S131" si="47">SUM(I132:I134)</f>
        <v>89969</v>
      </c>
      <c r="J131" s="148">
        <f t="shared" si="47"/>
        <v>89969</v>
      </c>
      <c r="K131" s="148">
        <f t="shared" si="47"/>
        <v>69200</v>
      </c>
      <c r="L131" s="148">
        <f t="shared" si="47"/>
        <v>58000</v>
      </c>
      <c r="M131" s="148">
        <f t="shared" si="47"/>
        <v>58000</v>
      </c>
      <c r="N131" s="148">
        <f t="shared" si="47"/>
        <v>58000</v>
      </c>
      <c r="O131" s="151">
        <f t="shared" si="47"/>
        <v>6535</v>
      </c>
      <c r="P131" s="148">
        <f t="shared" si="47"/>
        <v>6535</v>
      </c>
      <c r="Q131" s="148">
        <f t="shared" si="47"/>
        <v>0</v>
      </c>
      <c r="R131" s="148">
        <f t="shared" si="47"/>
        <v>0</v>
      </c>
      <c r="S131" s="148">
        <f t="shared" si="47"/>
        <v>0</v>
      </c>
      <c r="T131" s="148"/>
      <c r="U131" s="148"/>
      <c r="V131" s="165"/>
      <c r="AA131" s="226"/>
      <c r="AB131" s="226"/>
      <c r="AC131" s="226"/>
      <c r="AD131" s="226"/>
      <c r="AE131" s="226"/>
      <c r="AF131" s="226"/>
      <c r="AG131" s="226"/>
      <c r="AH131" s="226"/>
    </row>
    <row r="132" spans="1:34" ht="60.75" customHeight="1">
      <c r="A132" s="166">
        <v>1</v>
      </c>
      <c r="B132" s="167" t="s">
        <v>110</v>
      </c>
      <c r="C132" s="166" t="s">
        <v>13</v>
      </c>
      <c r="D132" s="166" t="s">
        <v>181</v>
      </c>
      <c r="E132" s="166" t="s">
        <v>3</v>
      </c>
      <c r="F132" s="168">
        <v>7608266</v>
      </c>
      <c r="G132" s="166" t="s">
        <v>18</v>
      </c>
      <c r="H132" s="166" t="s">
        <v>111</v>
      </c>
      <c r="I132" s="169">
        <v>73335</v>
      </c>
      <c r="J132" s="169">
        <v>73335</v>
      </c>
      <c r="K132" s="169">
        <v>52500</v>
      </c>
      <c r="L132" s="170">
        <f>28000+20000-1000</f>
        <v>47000</v>
      </c>
      <c r="M132" s="170">
        <f>48000-1000</f>
        <v>47000</v>
      </c>
      <c r="N132" s="170">
        <f>48000-1000</f>
        <v>47000</v>
      </c>
      <c r="O132" s="151">
        <f>SUM(P132:S132)</f>
        <v>2000</v>
      </c>
      <c r="P132" s="170">
        <v>2000</v>
      </c>
      <c r="Q132" s="170"/>
      <c r="R132" s="170"/>
      <c r="S132" s="170"/>
      <c r="T132" s="170"/>
      <c r="U132" s="170"/>
      <c r="V132" s="165"/>
      <c r="AA132" s="226"/>
      <c r="AB132" s="226"/>
      <c r="AC132" s="226"/>
      <c r="AD132" s="226"/>
      <c r="AE132" s="226"/>
      <c r="AF132" s="226"/>
      <c r="AG132" s="226"/>
      <c r="AH132" s="226"/>
    </row>
    <row r="133" spans="1:34" ht="66">
      <c r="A133" s="166">
        <v>2</v>
      </c>
      <c r="B133" s="167" t="s">
        <v>439</v>
      </c>
      <c r="C133" s="166" t="s">
        <v>29</v>
      </c>
      <c r="D133" s="166" t="s">
        <v>181</v>
      </c>
      <c r="E133" s="166" t="s">
        <v>3</v>
      </c>
      <c r="F133" s="168">
        <v>7705869</v>
      </c>
      <c r="G133" s="166" t="s">
        <v>225</v>
      </c>
      <c r="H133" s="166" t="s">
        <v>559</v>
      </c>
      <c r="I133" s="169">
        <v>7952</v>
      </c>
      <c r="J133" s="169">
        <v>7952</v>
      </c>
      <c r="K133" s="169">
        <v>7700</v>
      </c>
      <c r="L133" s="170">
        <v>5000</v>
      </c>
      <c r="M133" s="170">
        <v>5000</v>
      </c>
      <c r="N133" s="170">
        <v>5000</v>
      </c>
      <c r="O133" s="151">
        <f>SUM(P133:S133)</f>
        <v>2466</v>
      </c>
      <c r="P133" s="170">
        <v>2466</v>
      </c>
      <c r="Q133" s="170"/>
      <c r="R133" s="170"/>
      <c r="S133" s="170"/>
      <c r="T133" s="170"/>
      <c r="U133" s="170"/>
      <c r="V133" s="165"/>
      <c r="AA133" s="226"/>
      <c r="AB133" s="226"/>
      <c r="AC133" s="226"/>
      <c r="AD133" s="226"/>
      <c r="AE133" s="226"/>
      <c r="AF133" s="226"/>
      <c r="AG133" s="226"/>
      <c r="AH133" s="226"/>
    </row>
    <row r="134" spans="1:34" ht="66">
      <c r="A134" s="166">
        <v>3</v>
      </c>
      <c r="B134" s="167" t="s">
        <v>440</v>
      </c>
      <c r="C134" s="166" t="s">
        <v>64</v>
      </c>
      <c r="D134" s="166" t="s">
        <v>181</v>
      </c>
      <c r="E134" s="166" t="s">
        <v>3</v>
      </c>
      <c r="F134" s="168">
        <v>7705870</v>
      </c>
      <c r="G134" s="166" t="s">
        <v>225</v>
      </c>
      <c r="H134" s="166" t="s">
        <v>560</v>
      </c>
      <c r="I134" s="169">
        <v>8682</v>
      </c>
      <c r="J134" s="169">
        <v>8682</v>
      </c>
      <c r="K134" s="169">
        <v>9000</v>
      </c>
      <c r="L134" s="170">
        <v>6000</v>
      </c>
      <c r="M134" s="170">
        <v>6000</v>
      </c>
      <c r="N134" s="170">
        <v>6000</v>
      </c>
      <c r="O134" s="151">
        <f>SUM(P134:S134)</f>
        <v>2069</v>
      </c>
      <c r="P134" s="170">
        <v>2069</v>
      </c>
      <c r="Q134" s="170"/>
      <c r="R134" s="170"/>
      <c r="S134" s="170"/>
      <c r="T134" s="170"/>
      <c r="U134" s="170"/>
      <c r="V134" s="165"/>
      <c r="AA134" s="226"/>
      <c r="AB134" s="226"/>
      <c r="AC134" s="226"/>
      <c r="AD134" s="226"/>
      <c r="AE134" s="226"/>
      <c r="AF134" s="226"/>
      <c r="AG134" s="226"/>
      <c r="AH134" s="226"/>
    </row>
    <row r="135" spans="1:34" ht="32.25" customHeight="1">
      <c r="A135" s="144" t="s">
        <v>67</v>
      </c>
      <c r="B135" s="145" t="s">
        <v>68</v>
      </c>
      <c r="C135" s="144"/>
      <c r="D135" s="145"/>
      <c r="E135" s="144"/>
      <c r="F135" s="146"/>
      <c r="G135" s="144"/>
      <c r="H135" s="144"/>
      <c r="I135" s="148">
        <f t="shared" ref="I135:S135" si="48">I136</f>
        <v>26864</v>
      </c>
      <c r="J135" s="148">
        <f t="shared" si="48"/>
        <v>26864</v>
      </c>
      <c r="K135" s="148">
        <f t="shared" si="48"/>
        <v>20000</v>
      </c>
      <c r="L135" s="148">
        <f t="shared" si="48"/>
        <v>687</v>
      </c>
      <c r="M135" s="148">
        <f t="shared" si="48"/>
        <v>687</v>
      </c>
      <c r="N135" s="148">
        <f t="shared" si="48"/>
        <v>687</v>
      </c>
      <c r="O135" s="151">
        <f t="shared" si="48"/>
        <v>10000</v>
      </c>
      <c r="P135" s="148">
        <f t="shared" si="48"/>
        <v>10000</v>
      </c>
      <c r="Q135" s="148">
        <f t="shared" si="48"/>
        <v>0</v>
      </c>
      <c r="R135" s="148">
        <f t="shared" si="48"/>
        <v>0</v>
      </c>
      <c r="S135" s="148">
        <f t="shared" si="48"/>
        <v>0</v>
      </c>
      <c r="T135" s="148"/>
      <c r="U135" s="148"/>
      <c r="V135" s="165"/>
      <c r="AA135" s="226"/>
      <c r="AB135" s="226"/>
      <c r="AC135" s="226"/>
      <c r="AD135" s="226"/>
      <c r="AE135" s="226"/>
      <c r="AF135" s="226"/>
      <c r="AG135" s="226"/>
      <c r="AH135" s="226"/>
    </row>
    <row r="136" spans="1:34" ht="49.5">
      <c r="A136" s="166">
        <v>1</v>
      </c>
      <c r="B136" s="167" t="s">
        <v>441</v>
      </c>
      <c r="C136" s="166" t="s">
        <v>29</v>
      </c>
      <c r="D136" s="166" t="s">
        <v>181</v>
      </c>
      <c r="E136" s="166" t="s">
        <v>3</v>
      </c>
      <c r="F136" s="168">
        <v>7740331</v>
      </c>
      <c r="G136" s="166" t="s">
        <v>549</v>
      </c>
      <c r="H136" s="166" t="s">
        <v>561</v>
      </c>
      <c r="I136" s="169">
        <v>26864</v>
      </c>
      <c r="J136" s="169">
        <v>26864</v>
      </c>
      <c r="K136" s="169">
        <v>20000</v>
      </c>
      <c r="L136" s="170">
        <v>687</v>
      </c>
      <c r="M136" s="170">
        <v>687</v>
      </c>
      <c r="N136" s="170">
        <v>687</v>
      </c>
      <c r="O136" s="151">
        <f>SUM(P136:S136)</f>
        <v>10000</v>
      </c>
      <c r="P136" s="169">
        <v>10000</v>
      </c>
      <c r="Q136" s="169"/>
      <c r="R136" s="169"/>
      <c r="S136" s="169"/>
      <c r="T136" s="169"/>
      <c r="U136" s="169"/>
      <c r="V136" s="165"/>
      <c r="AA136" s="226"/>
      <c r="AB136" s="226"/>
      <c r="AC136" s="226"/>
      <c r="AD136" s="226"/>
      <c r="AE136" s="226"/>
      <c r="AF136" s="226"/>
      <c r="AG136" s="226"/>
      <c r="AH136" s="226"/>
    </row>
    <row r="137" spans="1:34" ht="22.7" customHeight="1">
      <c r="A137" s="159" t="s">
        <v>368</v>
      </c>
      <c r="B137" s="160" t="s">
        <v>442</v>
      </c>
      <c r="C137" s="159"/>
      <c r="D137" s="160"/>
      <c r="E137" s="159"/>
      <c r="F137" s="161"/>
      <c r="G137" s="159"/>
      <c r="H137" s="159"/>
      <c r="I137" s="162">
        <f>I138</f>
        <v>622905</v>
      </c>
      <c r="J137" s="162">
        <f t="shared" ref="J137:S137" si="49">J138</f>
        <v>622905</v>
      </c>
      <c r="K137" s="162">
        <f t="shared" si="49"/>
        <v>383000</v>
      </c>
      <c r="L137" s="162">
        <f t="shared" si="49"/>
        <v>0</v>
      </c>
      <c r="M137" s="162">
        <f t="shared" si="49"/>
        <v>0</v>
      </c>
      <c r="N137" s="162">
        <f t="shared" si="49"/>
        <v>0</v>
      </c>
      <c r="O137" s="163">
        <f t="shared" si="49"/>
        <v>189000</v>
      </c>
      <c r="P137" s="162">
        <f t="shared" si="49"/>
        <v>189000</v>
      </c>
      <c r="Q137" s="162">
        <f t="shared" si="49"/>
        <v>0</v>
      </c>
      <c r="R137" s="162">
        <f t="shared" si="49"/>
        <v>0</v>
      </c>
      <c r="S137" s="162">
        <f t="shared" si="49"/>
        <v>0</v>
      </c>
      <c r="T137" s="162"/>
      <c r="U137" s="162"/>
      <c r="V137" s="164"/>
      <c r="AA137" s="226"/>
      <c r="AB137" s="226"/>
      <c r="AC137" s="226"/>
      <c r="AD137" s="226"/>
      <c r="AE137" s="226"/>
      <c r="AF137" s="226"/>
      <c r="AG137" s="226"/>
      <c r="AH137" s="226"/>
    </row>
    <row r="138" spans="1:34" ht="30.75" customHeight="1">
      <c r="A138" s="144" t="s">
        <v>67</v>
      </c>
      <c r="B138" s="145" t="s">
        <v>68</v>
      </c>
      <c r="C138" s="144"/>
      <c r="D138" s="145"/>
      <c r="E138" s="144"/>
      <c r="F138" s="146"/>
      <c r="G138" s="144"/>
      <c r="H138" s="144"/>
      <c r="I138" s="148">
        <f>SUM(I139:I140)</f>
        <v>622905</v>
      </c>
      <c r="J138" s="148">
        <f t="shared" ref="J138:S138" si="50">SUM(J139:J140)</f>
        <v>622905</v>
      </c>
      <c r="K138" s="148">
        <f t="shared" si="50"/>
        <v>383000</v>
      </c>
      <c r="L138" s="148">
        <f t="shared" si="50"/>
        <v>0</v>
      </c>
      <c r="M138" s="148">
        <f t="shared" si="50"/>
        <v>0</v>
      </c>
      <c r="N138" s="148">
        <f t="shared" si="50"/>
        <v>0</v>
      </c>
      <c r="O138" s="148">
        <f t="shared" si="50"/>
        <v>189000</v>
      </c>
      <c r="P138" s="148">
        <f t="shared" si="50"/>
        <v>189000</v>
      </c>
      <c r="Q138" s="148">
        <f t="shared" si="50"/>
        <v>0</v>
      </c>
      <c r="R138" s="148">
        <f t="shared" si="50"/>
        <v>0</v>
      </c>
      <c r="S138" s="148">
        <f t="shared" si="50"/>
        <v>0</v>
      </c>
      <c r="T138" s="148"/>
      <c r="U138" s="148"/>
      <c r="V138" s="165"/>
      <c r="AA138" s="226"/>
      <c r="AB138" s="226"/>
      <c r="AC138" s="226"/>
      <c r="AD138" s="226"/>
      <c r="AE138" s="226"/>
      <c r="AF138" s="226"/>
      <c r="AG138" s="226"/>
      <c r="AH138" s="226"/>
    </row>
    <row r="139" spans="1:34" ht="82.5">
      <c r="A139" s="166">
        <v>1</v>
      </c>
      <c r="B139" s="167" t="s">
        <v>443</v>
      </c>
      <c r="C139" s="166" t="s">
        <v>29</v>
      </c>
      <c r="D139" s="166" t="s">
        <v>181</v>
      </c>
      <c r="E139" s="166" t="s">
        <v>2</v>
      </c>
      <c r="F139" s="168">
        <v>7772903</v>
      </c>
      <c r="G139" s="166" t="s">
        <v>549</v>
      </c>
      <c r="H139" s="166" t="s">
        <v>562</v>
      </c>
      <c r="I139" s="169">
        <v>586581</v>
      </c>
      <c r="J139" s="169">
        <v>586581</v>
      </c>
      <c r="K139" s="169">
        <v>351000</v>
      </c>
      <c r="L139" s="170"/>
      <c r="M139" s="170"/>
      <c r="N139" s="170"/>
      <c r="O139" s="151">
        <f>SUM(P139:S139)</f>
        <v>180000</v>
      </c>
      <c r="P139" s="169">
        <v>180000</v>
      </c>
      <c r="Q139" s="169"/>
      <c r="R139" s="169"/>
      <c r="S139" s="169"/>
      <c r="T139" s="169"/>
      <c r="U139" s="169"/>
      <c r="V139" s="165"/>
      <c r="AA139" s="226"/>
      <c r="AB139" s="226"/>
      <c r="AC139" s="226"/>
      <c r="AD139" s="226"/>
      <c r="AE139" s="226"/>
      <c r="AF139" s="226"/>
      <c r="AG139" s="226"/>
      <c r="AH139" s="226"/>
    </row>
    <row r="140" spans="1:34" ht="96" customHeight="1">
      <c r="A140" s="166">
        <v>2</v>
      </c>
      <c r="B140" s="167" t="s">
        <v>444</v>
      </c>
      <c r="C140" s="166" t="s">
        <v>14</v>
      </c>
      <c r="D140" s="166" t="s">
        <v>181</v>
      </c>
      <c r="E140" s="166" t="s">
        <v>3</v>
      </c>
      <c r="F140" s="168">
        <v>7776479</v>
      </c>
      <c r="G140" s="166" t="s">
        <v>549</v>
      </c>
      <c r="H140" s="166" t="s">
        <v>563</v>
      </c>
      <c r="I140" s="169">
        <v>36324</v>
      </c>
      <c r="J140" s="169">
        <v>36324</v>
      </c>
      <c r="K140" s="169">
        <v>32000</v>
      </c>
      <c r="L140" s="170"/>
      <c r="M140" s="170"/>
      <c r="N140" s="170"/>
      <c r="O140" s="151">
        <f>SUM(P140:S140)</f>
        <v>9000</v>
      </c>
      <c r="P140" s="169">
        <v>9000</v>
      </c>
      <c r="Q140" s="169"/>
      <c r="R140" s="169"/>
      <c r="S140" s="169"/>
      <c r="T140" s="169"/>
      <c r="U140" s="169"/>
      <c r="V140" s="165"/>
      <c r="AA140" s="226"/>
      <c r="AB140" s="226"/>
      <c r="AC140" s="226"/>
      <c r="AD140" s="226"/>
      <c r="AE140" s="226"/>
      <c r="AF140" s="226"/>
      <c r="AG140" s="226"/>
      <c r="AH140" s="226"/>
    </row>
    <row r="141" spans="1:34" ht="27" customHeight="1">
      <c r="A141" s="159" t="s">
        <v>369</v>
      </c>
      <c r="B141" s="160" t="s">
        <v>347</v>
      </c>
      <c r="C141" s="159"/>
      <c r="D141" s="160"/>
      <c r="E141" s="159"/>
      <c r="F141" s="161"/>
      <c r="G141" s="159"/>
      <c r="H141" s="159"/>
      <c r="I141" s="162">
        <f t="shared" ref="I141:S141" si="51">I142+I145+I148</f>
        <v>2105805</v>
      </c>
      <c r="J141" s="162">
        <f t="shared" si="51"/>
        <v>710455</v>
      </c>
      <c r="K141" s="162">
        <f t="shared" si="51"/>
        <v>576500</v>
      </c>
      <c r="L141" s="162">
        <f t="shared" si="51"/>
        <v>367740</v>
      </c>
      <c r="M141" s="162">
        <f t="shared" si="51"/>
        <v>389040</v>
      </c>
      <c r="N141" s="162">
        <f t="shared" si="51"/>
        <v>389040</v>
      </c>
      <c r="O141" s="163">
        <f t="shared" si="51"/>
        <v>150508</v>
      </c>
      <c r="P141" s="162">
        <f t="shared" si="51"/>
        <v>0</v>
      </c>
      <c r="Q141" s="162">
        <f t="shared" si="51"/>
        <v>0</v>
      </c>
      <c r="R141" s="162">
        <f t="shared" si="51"/>
        <v>150508</v>
      </c>
      <c r="S141" s="162">
        <f t="shared" si="51"/>
        <v>0</v>
      </c>
      <c r="T141" s="162"/>
      <c r="U141" s="162"/>
      <c r="V141" s="164"/>
      <c r="AA141" s="226"/>
      <c r="AB141" s="226"/>
      <c r="AC141" s="226"/>
      <c r="AD141" s="226"/>
      <c r="AE141" s="226"/>
      <c r="AF141" s="226"/>
      <c r="AG141" s="226"/>
      <c r="AH141" s="226"/>
    </row>
    <row r="142" spans="1:34" ht="46.5" customHeight="1">
      <c r="A142" s="144" t="s">
        <v>73</v>
      </c>
      <c r="B142" s="145" t="s">
        <v>383</v>
      </c>
      <c r="C142" s="144"/>
      <c r="D142" s="145"/>
      <c r="E142" s="144"/>
      <c r="F142" s="146"/>
      <c r="G142" s="144"/>
      <c r="H142" s="184"/>
      <c r="I142" s="148">
        <f>SUM(I143:I144)</f>
        <v>88507</v>
      </c>
      <c r="J142" s="148">
        <f t="shared" ref="J142:S142" si="52">SUM(J143:J144)</f>
        <v>88507</v>
      </c>
      <c r="K142" s="148">
        <f t="shared" si="52"/>
        <v>69143</v>
      </c>
      <c r="L142" s="148">
        <f t="shared" si="52"/>
        <v>63898</v>
      </c>
      <c r="M142" s="148">
        <f t="shared" si="52"/>
        <v>81198</v>
      </c>
      <c r="N142" s="148">
        <f t="shared" si="52"/>
        <v>81198</v>
      </c>
      <c r="O142" s="151">
        <f t="shared" si="52"/>
        <v>5143</v>
      </c>
      <c r="P142" s="148">
        <f t="shared" si="52"/>
        <v>0</v>
      </c>
      <c r="Q142" s="148">
        <f t="shared" si="52"/>
        <v>0</v>
      </c>
      <c r="R142" s="148">
        <f t="shared" si="52"/>
        <v>5143</v>
      </c>
      <c r="S142" s="148">
        <f t="shared" si="52"/>
        <v>0</v>
      </c>
      <c r="T142" s="148"/>
      <c r="U142" s="148"/>
      <c r="V142" s="165"/>
      <c r="AA142" s="226"/>
      <c r="AB142" s="226"/>
      <c r="AC142" s="226"/>
      <c r="AD142" s="226"/>
      <c r="AE142" s="226"/>
      <c r="AF142" s="226"/>
      <c r="AG142" s="226"/>
      <c r="AH142" s="226"/>
    </row>
    <row r="143" spans="1:34" ht="99">
      <c r="A143" s="166">
        <v>1</v>
      </c>
      <c r="B143" s="167" t="s">
        <v>445</v>
      </c>
      <c r="C143" s="166" t="s">
        <v>29</v>
      </c>
      <c r="D143" s="166" t="s">
        <v>181</v>
      </c>
      <c r="E143" s="166" t="s">
        <v>3</v>
      </c>
      <c r="F143" s="168" t="s">
        <v>564</v>
      </c>
      <c r="G143" s="166" t="s">
        <v>565</v>
      </c>
      <c r="H143" s="166" t="s">
        <v>566</v>
      </c>
      <c r="I143" s="169">
        <v>17443</v>
      </c>
      <c r="J143" s="169">
        <v>17443</v>
      </c>
      <c r="K143" s="169">
        <v>143</v>
      </c>
      <c r="L143" s="170">
        <v>0</v>
      </c>
      <c r="M143" s="170">
        <v>17300</v>
      </c>
      <c r="N143" s="170">
        <v>17300</v>
      </c>
      <c r="O143" s="151">
        <f>SUM(P143:S143)</f>
        <v>143</v>
      </c>
      <c r="P143" s="170"/>
      <c r="Q143" s="170"/>
      <c r="R143" s="170">
        <v>143</v>
      </c>
      <c r="S143" s="170"/>
      <c r="T143" s="170"/>
      <c r="U143" s="170"/>
      <c r="V143" s="180" t="s">
        <v>638</v>
      </c>
      <c r="AA143" s="226"/>
      <c r="AB143" s="226"/>
      <c r="AC143" s="226"/>
      <c r="AD143" s="226"/>
      <c r="AE143" s="226"/>
      <c r="AF143" s="226"/>
      <c r="AG143" s="226"/>
      <c r="AH143" s="226"/>
    </row>
    <row r="144" spans="1:34" ht="49.5">
      <c r="A144" s="166">
        <v>2</v>
      </c>
      <c r="B144" s="167" t="s">
        <v>138</v>
      </c>
      <c r="C144" s="166" t="s">
        <v>64</v>
      </c>
      <c r="D144" s="166" t="s">
        <v>181</v>
      </c>
      <c r="E144" s="166" t="s">
        <v>2</v>
      </c>
      <c r="F144" s="168">
        <v>7565460</v>
      </c>
      <c r="G144" s="166" t="s">
        <v>22</v>
      </c>
      <c r="H144" s="166" t="s">
        <v>139</v>
      </c>
      <c r="I144" s="169">
        <v>71064</v>
      </c>
      <c r="J144" s="169">
        <v>71064</v>
      </c>
      <c r="K144" s="169">
        <v>69000</v>
      </c>
      <c r="L144" s="170">
        <v>63898</v>
      </c>
      <c r="M144" s="170">
        <v>63898</v>
      </c>
      <c r="N144" s="170">
        <v>63898</v>
      </c>
      <c r="O144" s="151">
        <f>SUM(P144:S144)</f>
        <v>5000</v>
      </c>
      <c r="P144" s="170"/>
      <c r="Q144" s="170"/>
      <c r="R144" s="170">
        <v>5000</v>
      </c>
      <c r="S144" s="170"/>
      <c r="T144" s="170"/>
      <c r="U144" s="170"/>
      <c r="V144" s="165"/>
      <c r="AA144" s="226"/>
      <c r="AB144" s="226"/>
      <c r="AC144" s="226"/>
      <c r="AD144" s="226"/>
      <c r="AE144" s="226"/>
      <c r="AF144" s="226"/>
      <c r="AG144" s="226"/>
      <c r="AH144" s="226"/>
    </row>
    <row r="145" spans="1:34" ht="33">
      <c r="A145" s="144" t="s">
        <v>60</v>
      </c>
      <c r="B145" s="145" t="s">
        <v>387</v>
      </c>
      <c r="C145" s="144"/>
      <c r="D145" s="145"/>
      <c r="E145" s="144"/>
      <c r="F145" s="146"/>
      <c r="G145" s="144"/>
      <c r="H145" s="144"/>
      <c r="I145" s="148">
        <f>SUM(I146:I147)</f>
        <v>2013598</v>
      </c>
      <c r="J145" s="148">
        <f t="shared" ref="J145:S145" si="53">SUM(J146:J147)</f>
        <v>618248</v>
      </c>
      <c r="K145" s="148">
        <f t="shared" si="53"/>
        <v>503857</v>
      </c>
      <c r="L145" s="148">
        <f t="shared" si="53"/>
        <v>303842</v>
      </c>
      <c r="M145" s="148">
        <f t="shared" si="53"/>
        <v>307842</v>
      </c>
      <c r="N145" s="148">
        <f t="shared" si="53"/>
        <v>307842</v>
      </c>
      <c r="O145" s="151">
        <f t="shared" si="53"/>
        <v>141865</v>
      </c>
      <c r="P145" s="148">
        <f t="shared" si="53"/>
        <v>0</v>
      </c>
      <c r="Q145" s="148">
        <f t="shared" si="53"/>
        <v>0</v>
      </c>
      <c r="R145" s="148">
        <f t="shared" si="53"/>
        <v>141865</v>
      </c>
      <c r="S145" s="148">
        <f t="shared" si="53"/>
        <v>0</v>
      </c>
      <c r="T145" s="148"/>
      <c r="U145" s="148"/>
      <c r="V145" s="165"/>
      <c r="AA145" s="226"/>
      <c r="AB145" s="226"/>
      <c r="AC145" s="226"/>
      <c r="AD145" s="226"/>
      <c r="AE145" s="226"/>
      <c r="AF145" s="226"/>
      <c r="AG145" s="226"/>
      <c r="AH145" s="226"/>
    </row>
    <row r="146" spans="1:34" ht="49.5">
      <c r="A146" s="166">
        <v>1</v>
      </c>
      <c r="B146" s="167" t="s">
        <v>140</v>
      </c>
      <c r="C146" s="166" t="s">
        <v>29</v>
      </c>
      <c r="D146" s="166" t="s">
        <v>181</v>
      </c>
      <c r="E146" s="166" t="s">
        <v>2</v>
      </c>
      <c r="F146" s="168">
        <v>7567082</v>
      </c>
      <c r="G146" s="166" t="s">
        <v>22</v>
      </c>
      <c r="H146" s="166" t="s">
        <v>141</v>
      </c>
      <c r="I146" s="169">
        <v>285656</v>
      </c>
      <c r="J146" s="169">
        <v>285656</v>
      </c>
      <c r="K146" s="169">
        <f>267000+18000</f>
        <v>285000</v>
      </c>
      <c r="L146" s="170">
        <v>212300</v>
      </c>
      <c r="M146" s="170">
        <v>212300</v>
      </c>
      <c r="N146" s="170">
        <v>212300</v>
      </c>
      <c r="O146" s="151">
        <f>SUM(P146:S146)</f>
        <v>72700</v>
      </c>
      <c r="P146" s="170"/>
      <c r="Q146" s="170"/>
      <c r="R146" s="170">
        <v>72700</v>
      </c>
      <c r="S146" s="170"/>
      <c r="T146" s="170"/>
      <c r="U146" s="170"/>
      <c r="V146" s="166"/>
      <c r="AA146" s="226"/>
      <c r="AB146" s="226"/>
      <c r="AC146" s="226"/>
      <c r="AD146" s="226"/>
      <c r="AE146" s="226"/>
      <c r="AF146" s="226"/>
      <c r="AG146" s="226"/>
      <c r="AH146" s="226"/>
    </row>
    <row r="147" spans="1:34" ht="66">
      <c r="A147" s="166">
        <v>2</v>
      </c>
      <c r="B147" s="167" t="s">
        <v>142</v>
      </c>
      <c r="C147" s="166" t="s">
        <v>29</v>
      </c>
      <c r="D147" s="166" t="s">
        <v>181</v>
      </c>
      <c r="E147" s="166" t="s">
        <v>1</v>
      </c>
      <c r="F147" s="168">
        <v>7526068</v>
      </c>
      <c r="G147" s="166" t="s">
        <v>18</v>
      </c>
      <c r="H147" s="166" t="s">
        <v>37</v>
      </c>
      <c r="I147" s="169">
        <v>1727942</v>
      </c>
      <c r="J147" s="169">
        <f>I147-1395350</f>
        <v>332592</v>
      </c>
      <c r="K147" s="169">
        <f>300000-63000-18143</f>
        <v>218857</v>
      </c>
      <c r="L147" s="179">
        <v>91542</v>
      </c>
      <c r="M147" s="179">
        <f>805542-710000</f>
        <v>95542</v>
      </c>
      <c r="N147" s="179">
        <f>805542-710000</f>
        <v>95542</v>
      </c>
      <c r="O147" s="151">
        <f>SUM(P147:S147)</f>
        <v>69165</v>
      </c>
      <c r="P147" s="170"/>
      <c r="Q147" s="170"/>
      <c r="R147" s="170">
        <f>50000+19165</f>
        <v>69165</v>
      </c>
      <c r="S147" s="170"/>
      <c r="T147" s="170"/>
      <c r="U147" s="170"/>
      <c r="V147" s="166"/>
      <c r="AA147" s="226"/>
      <c r="AB147" s="226"/>
      <c r="AC147" s="226"/>
      <c r="AD147" s="226"/>
      <c r="AE147" s="226"/>
      <c r="AF147" s="226"/>
      <c r="AG147" s="226"/>
      <c r="AH147" s="226"/>
    </row>
    <row r="148" spans="1:34" ht="27" customHeight="1">
      <c r="A148" s="144" t="s">
        <v>67</v>
      </c>
      <c r="B148" s="145" t="s">
        <v>101</v>
      </c>
      <c r="C148" s="144"/>
      <c r="D148" s="145"/>
      <c r="E148" s="144"/>
      <c r="F148" s="146"/>
      <c r="G148" s="144"/>
      <c r="H148" s="144"/>
      <c r="I148" s="148">
        <f>SUM(I149:I149)</f>
        <v>3700</v>
      </c>
      <c r="J148" s="148">
        <f t="shared" ref="J148:S148" si="54">SUM(J149:J149)</f>
        <v>3700</v>
      </c>
      <c r="K148" s="148">
        <f t="shared" si="54"/>
        <v>3500</v>
      </c>
      <c r="L148" s="148">
        <f t="shared" si="54"/>
        <v>0</v>
      </c>
      <c r="M148" s="148">
        <f t="shared" si="54"/>
        <v>0</v>
      </c>
      <c r="N148" s="148">
        <f t="shared" si="54"/>
        <v>0</v>
      </c>
      <c r="O148" s="151">
        <f t="shared" si="54"/>
        <v>3500</v>
      </c>
      <c r="P148" s="148">
        <f t="shared" si="54"/>
        <v>0</v>
      </c>
      <c r="Q148" s="148">
        <f t="shared" si="54"/>
        <v>0</v>
      </c>
      <c r="R148" s="148">
        <f t="shared" si="54"/>
        <v>3500</v>
      </c>
      <c r="S148" s="148">
        <f t="shared" si="54"/>
        <v>0</v>
      </c>
      <c r="T148" s="148"/>
      <c r="U148" s="148"/>
      <c r="V148" s="165"/>
      <c r="AA148" s="226"/>
      <c r="AB148" s="226"/>
      <c r="AC148" s="226"/>
      <c r="AD148" s="226"/>
      <c r="AE148" s="226"/>
      <c r="AF148" s="226"/>
      <c r="AG148" s="226"/>
      <c r="AH148" s="226"/>
    </row>
    <row r="149" spans="1:34" ht="66">
      <c r="A149" s="166">
        <v>1</v>
      </c>
      <c r="B149" s="167" t="s">
        <v>446</v>
      </c>
      <c r="C149" s="166" t="s">
        <v>29</v>
      </c>
      <c r="D149" s="166" t="s">
        <v>181</v>
      </c>
      <c r="E149" s="166" t="s">
        <v>3</v>
      </c>
      <c r="F149" s="168"/>
      <c r="G149" s="166" t="s">
        <v>549</v>
      </c>
      <c r="H149" s="166" t="s">
        <v>567</v>
      </c>
      <c r="I149" s="170">
        <v>3700</v>
      </c>
      <c r="J149" s="170">
        <v>3700</v>
      </c>
      <c r="K149" s="169">
        <v>3500</v>
      </c>
      <c r="L149" s="170"/>
      <c r="M149" s="170"/>
      <c r="N149" s="170"/>
      <c r="O149" s="151">
        <f>SUM(P149:S149)</f>
        <v>3500</v>
      </c>
      <c r="P149" s="169"/>
      <c r="Q149" s="169"/>
      <c r="R149" s="169">
        <v>3500</v>
      </c>
      <c r="S149" s="169"/>
      <c r="T149" s="169"/>
      <c r="U149" s="169"/>
      <c r="V149" s="165"/>
      <c r="AA149" s="226"/>
      <c r="AB149" s="226"/>
      <c r="AC149" s="226"/>
      <c r="AD149" s="226"/>
      <c r="AE149" s="226"/>
      <c r="AF149" s="226"/>
      <c r="AG149" s="226"/>
      <c r="AH149" s="226"/>
    </row>
    <row r="150" spans="1:34" ht="26.45" customHeight="1">
      <c r="A150" s="159" t="s">
        <v>370</v>
      </c>
      <c r="B150" s="160" t="s">
        <v>348</v>
      </c>
      <c r="C150" s="159"/>
      <c r="D150" s="160"/>
      <c r="E150" s="159"/>
      <c r="F150" s="161"/>
      <c r="G150" s="159"/>
      <c r="H150" s="159"/>
      <c r="I150" s="162">
        <f>I151</f>
        <v>1170</v>
      </c>
      <c r="J150" s="162">
        <f t="shared" ref="J150:S151" si="55">J151</f>
        <v>1170</v>
      </c>
      <c r="K150" s="162">
        <f t="shared" si="55"/>
        <v>1170</v>
      </c>
      <c r="L150" s="162">
        <f t="shared" si="55"/>
        <v>1000</v>
      </c>
      <c r="M150" s="162">
        <f t="shared" si="55"/>
        <v>1000</v>
      </c>
      <c r="N150" s="162">
        <f t="shared" si="55"/>
        <v>0</v>
      </c>
      <c r="O150" s="163">
        <f t="shared" si="55"/>
        <v>170</v>
      </c>
      <c r="P150" s="162">
        <f t="shared" si="55"/>
        <v>170</v>
      </c>
      <c r="Q150" s="162">
        <f t="shared" si="55"/>
        <v>0</v>
      </c>
      <c r="R150" s="162">
        <f t="shared" si="55"/>
        <v>0</v>
      </c>
      <c r="S150" s="162">
        <f t="shared" si="55"/>
        <v>0</v>
      </c>
      <c r="T150" s="162"/>
      <c r="U150" s="162"/>
      <c r="V150" s="164"/>
      <c r="AA150" s="226"/>
      <c r="AB150" s="226"/>
      <c r="AC150" s="226"/>
      <c r="AD150" s="226"/>
      <c r="AE150" s="226"/>
      <c r="AF150" s="226"/>
      <c r="AG150" s="226"/>
      <c r="AH150" s="226"/>
    </row>
    <row r="151" spans="1:34" ht="42.75" customHeight="1">
      <c r="A151" s="144" t="s">
        <v>73</v>
      </c>
      <c r="B151" s="145" t="s">
        <v>383</v>
      </c>
      <c r="C151" s="144"/>
      <c r="D151" s="145"/>
      <c r="E151" s="144"/>
      <c r="F151" s="146"/>
      <c r="G151" s="144"/>
      <c r="H151" s="144"/>
      <c r="I151" s="148">
        <f>I152</f>
        <v>1170</v>
      </c>
      <c r="J151" s="148">
        <f t="shared" si="55"/>
        <v>1170</v>
      </c>
      <c r="K151" s="148">
        <f t="shared" si="55"/>
        <v>1170</v>
      </c>
      <c r="L151" s="148">
        <f t="shared" si="55"/>
        <v>1000</v>
      </c>
      <c r="M151" s="148">
        <f t="shared" si="55"/>
        <v>1000</v>
      </c>
      <c r="N151" s="148"/>
      <c r="O151" s="151">
        <f t="shared" si="55"/>
        <v>170</v>
      </c>
      <c r="P151" s="148">
        <f t="shared" si="55"/>
        <v>170</v>
      </c>
      <c r="Q151" s="148">
        <f t="shared" si="55"/>
        <v>0</v>
      </c>
      <c r="R151" s="148">
        <f t="shared" si="55"/>
        <v>0</v>
      </c>
      <c r="S151" s="148">
        <f t="shared" si="55"/>
        <v>0</v>
      </c>
      <c r="T151" s="148"/>
      <c r="U151" s="148"/>
      <c r="V151" s="165"/>
      <c r="AA151" s="226"/>
      <c r="AB151" s="226"/>
      <c r="AC151" s="226"/>
      <c r="AD151" s="226"/>
      <c r="AE151" s="226"/>
      <c r="AF151" s="226"/>
      <c r="AG151" s="226"/>
      <c r="AH151" s="226"/>
    </row>
    <row r="152" spans="1:34" ht="49.5">
      <c r="A152" s="166">
        <v>1</v>
      </c>
      <c r="B152" s="167" t="s">
        <v>222</v>
      </c>
      <c r="C152" s="166" t="s">
        <v>29</v>
      </c>
      <c r="D152" s="166" t="s">
        <v>181</v>
      </c>
      <c r="E152" s="166" t="s">
        <v>3</v>
      </c>
      <c r="F152" s="168">
        <v>7566154</v>
      </c>
      <c r="G152" s="166" t="s">
        <v>225</v>
      </c>
      <c r="H152" s="166" t="s">
        <v>223</v>
      </c>
      <c r="I152" s="169">
        <v>1170</v>
      </c>
      <c r="J152" s="169">
        <v>1170</v>
      </c>
      <c r="K152" s="169">
        <v>1170</v>
      </c>
      <c r="L152" s="170">
        <v>1000</v>
      </c>
      <c r="M152" s="170">
        <v>1000</v>
      </c>
      <c r="N152" s="170">
        <v>1000</v>
      </c>
      <c r="O152" s="151">
        <f>SUM(P152:S152)</f>
        <v>170</v>
      </c>
      <c r="P152" s="170">
        <v>170</v>
      </c>
      <c r="Q152" s="170"/>
      <c r="R152" s="170"/>
      <c r="S152" s="170"/>
      <c r="T152" s="170"/>
      <c r="U152" s="170"/>
      <c r="V152" s="165"/>
      <c r="AA152" s="226"/>
      <c r="AB152" s="226"/>
      <c r="AC152" s="226"/>
      <c r="AD152" s="226"/>
      <c r="AE152" s="226"/>
      <c r="AF152" s="226"/>
      <c r="AG152" s="226"/>
      <c r="AH152" s="226"/>
    </row>
    <row r="153" spans="1:34" ht="45" customHeight="1">
      <c r="A153" s="159" t="s">
        <v>371</v>
      </c>
      <c r="B153" s="160" t="s">
        <v>447</v>
      </c>
      <c r="C153" s="159"/>
      <c r="D153" s="160"/>
      <c r="E153" s="159"/>
      <c r="F153" s="161"/>
      <c r="G153" s="159"/>
      <c r="H153" s="159"/>
      <c r="I153" s="162">
        <f t="shared" ref="I153:S153" si="56">I154+I156</f>
        <v>165582</v>
      </c>
      <c r="J153" s="162">
        <f t="shared" si="56"/>
        <v>58582</v>
      </c>
      <c r="K153" s="162">
        <f t="shared" si="56"/>
        <v>46700</v>
      </c>
      <c r="L153" s="162">
        <f t="shared" si="56"/>
        <v>0</v>
      </c>
      <c r="M153" s="162">
        <f t="shared" si="56"/>
        <v>28000</v>
      </c>
      <c r="N153" s="162">
        <f t="shared" si="56"/>
        <v>0</v>
      </c>
      <c r="O153" s="163">
        <f t="shared" si="56"/>
        <v>46700</v>
      </c>
      <c r="P153" s="162">
        <f t="shared" si="56"/>
        <v>0</v>
      </c>
      <c r="Q153" s="162">
        <f t="shared" si="56"/>
        <v>0</v>
      </c>
      <c r="R153" s="162">
        <f t="shared" si="56"/>
        <v>46700</v>
      </c>
      <c r="S153" s="162">
        <f t="shared" si="56"/>
        <v>0</v>
      </c>
      <c r="T153" s="162"/>
      <c r="U153" s="162"/>
      <c r="V153" s="164"/>
      <c r="AA153" s="226"/>
      <c r="AB153" s="226"/>
      <c r="AC153" s="226"/>
      <c r="AD153" s="226"/>
      <c r="AE153" s="226"/>
      <c r="AF153" s="226"/>
      <c r="AG153" s="226"/>
      <c r="AH153" s="226"/>
    </row>
    <row r="154" spans="1:34" ht="45" customHeight="1">
      <c r="A154" s="144" t="s">
        <v>60</v>
      </c>
      <c r="B154" s="145" t="s">
        <v>387</v>
      </c>
      <c r="C154" s="144"/>
      <c r="D154" s="145"/>
      <c r="E154" s="144"/>
      <c r="F154" s="146"/>
      <c r="G154" s="144"/>
      <c r="H154" s="144"/>
      <c r="I154" s="148">
        <f>I155</f>
        <v>120910</v>
      </c>
      <c r="J154" s="148">
        <f t="shared" ref="J154:S154" si="57">J155</f>
        <v>13910</v>
      </c>
      <c r="K154" s="148">
        <f t="shared" si="57"/>
        <v>5000</v>
      </c>
      <c r="L154" s="148">
        <f t="shared" si="57"/>
        <v>0</v>
      </c>
      <c r="M154" s="148">
        <f t="shared" si="57"/>
        <v>28000</v>
      </c>
      <c r="N154" s="148">
        <f t="shared" si="57"/>
        <v>0</v>
      </c>
      <c r="O154" s="151">
        <f t="shared" si="57"/>
        <v>5000</v>
      </c>
      <c r="P154" s="148">
        <f t="shared" si="57"/>
        <v>0</v>
      </c>
      <c r="Q154" s="148">
        <f t="shared" si="57"/>
        <v>0</v>
      </c>
      <c r="R154" s="148">
        <f t="shared" si="57"/>
        <v>5000</v>
      </c>
      <c r="S154" s="148">
        <f t="shared" si="57"/>
        <v>0</v>
      </c>
      <c r="T154" s="148"/>
      <c r="U154" s="148"/>
      <c r="V154" s="165"/>
      <c r="AA154" s="226"/>
      <c r="AB154" s="226"/>
      <c r="AC154" s="226"/>
      <c r="AD154" s="226"/>
      <c r="AE154" s="226"/>
      <c r="AF154" s="226"/>
      <c r="AG154" s="226"/>
      <c r="AH154" s="226"/>
    </row>
    <row r="155" spans="1:34" ht="74.25" customHeight="1">
      <c r="A155" s="166">
        <v>1</v>
      </c>
      <c r="B155" s="167" t="s">
        <v>448</v>
      </c>
      <c r="C155" s="166" t="s">
        <v>568</v>
      </c>
      <c r="D155" s="166" t="s">
        <v>181</v>
      </c>
      <c r="E155" s="166" t="s">
        <v>3</v>
      </c>
      <c r="F155" s="168">
        <v>7617914</v>
      </c>
      <c r="G155" s="191" t="s">
        <v>34</v>
      </c>
      <c r="H155" s="192" t="s">
        <v>569</v>
      </c>
      <c r="I155" s="193">
        <v>120910</v>
      </c>
      <c r="J155" s="193">
        <v>13910</v>
      </c>
      <c r="K155" s="170">
        <v>5000</v>
      </c>
      <c r="L155" s="170"/>
      <c r="M155" s="170">
        <v>28000</v>
      </c>
      <c r="N155" s="170">
        <v>0</v>
      </c>
      <c r="O155" s="151">
        <f>SUM(P155:S155)</f>
        <v>5000</v>
      </c>
      <c r="P155" s="170"/>
      <c r="Q155" s="170"/>
      <c r="R155" s="170">
        <v>5000</v>
      </c>
      <c r="S155" s="170"/>
      <c r="T155" s="170"/>
      <c r="U155" s="170"/>
      <c r="V155" s="166"/>
      <c r="AA155" s="226"/>
      <c r="AB155" s="226"/>
      <c r="AC155" s="226"/>
      <c r="AD155" s="226"/>
      <c r="AE155" s="226"/>
      <c r="AF155" s="226"/>
      <c r="AG155" s="226"/>
      <c r="AH155" s="226"/>
    </row>
    <row r="156" spans="1:34" ht="30.2" customHeight="1">
      <c r="A156" s="144" t="s">
        <v>67</v>
      </c>
      <c r="B156" s="145" t="s">
        <v>101</v>
      </c>
      <c r="C156" s="144"/>
      <c r="D156" s="145"/>
      <c r="E156" s="144"/>
      <c r="F156" s="146"/>
      <c r="G156" s="144"/>
      <c r="H156" s="144"/>
      <c r="I156" s="148">
        <f>SUM(I157:I159)</f>
        <v>44672</v>
      </c>
      <c r="J156" s="148">
        <f t="shared" ref="J156:S156" si="58">SUM(J157:J159)</f>
        <v>44672</v>
      </c>
      <c r="K156" s="148">
        <f t="shared" si="58"/>
        <v>41700</v>
      </c>
      <c r="L156" s="148">
        <f t="shared" si="58"/>
        <v>0</v>
      </c>
      <c r="M156" s="148">
        <f t="shared" si="58"/>
        <v>0</v>
      </c>
      <c r="N156" s="148">
        <f t="shared" si="58"/>
        <v>0</v>
      </c>
      <c r="O156" s="151">
        <f t="shared" si="58"/>
        <v>41700</v>
      </c>
      <c r="P156" s="148">
        <f t="shared" si="58"/>
        <v>0</v>
      </c>
      <c r="Q156" s="148">
        <f t="shared" si="58"/>
        <v>0</v>
      </c>
      <c r="R156" s="148">
        <f t="shared" si="58"/>
        <v>41700</v>
      </c>
      <c r="S156" s="148">
        <f t="shared" si="58"/>
        <v>0</v>
      </c>
      <c r="T156" s="148"/>
      <c r="U156" s="148"/>
      <c r="V156" s="165"/>
      <c r="AA156" s="226"/>
      <c r="AB156" s="226"/>
      <c r="AC156" s="226"/>
      <c r="AD156" s="226"/>
      <c r="AE156" s="226"/>
      <c r="AF156" s="226"/>
      <c r="AG156" s="226"/>
      <c r="AH156" s="226"/>
    </row>
    <row r="157" spans="1:34" ht="66">
      <c r="A157" s="166">
        <v>1</v>
      </c>
      <c r="B157" s="167" t="s">
        <v>449</v>
      </c>
      <c r="C157" s="166" t="s">
        <v>32</v>
      </c>
      <c r="D157" s="166" t="s">
        <v>181</v>
      </c>
      <c r="E157" s="166" t="s">
        <v>3</v>
      </c>
      <c r="F157" s="168">
        <v>7774646</v>
      </c>
      <c r="G157" s="166" t="s">
        <v>549</v>
      </c>
      <c r="H157" s="166" t="s">
        <v>570</v>
      </c>
      <c r="I157" s="169">
        <v>14892</v>
      </c>
      <c r="J157" s="169">
        <v>14892</v>
      </c>
      <c r="K157" s="170">
        <f>8000+5900</f>
        <v>13900</v>
      </c>
      <c r="L157" s="170"/>
      <c r="M157" s="170">
        <v>0</v>
      </c>
      <c r="N157" s="170">
        <v>0</v>
      </c>
      <c r="O157" s="151">
        <f>SUM(P157:S157)</f>
        <v>13900</v>
      </c>
      <c r="P157" s="170"/>
      <c r="Q157" s="170"/>
      <c r="R157" s="170">
        <v>13900</v>
      </c>
      <c r="S157" s="170"/>
      <c r="T157" s="170"/>
      <c r="U157" s="170"/>
      <c r="V157" s="166"/>
      <c r="AA157" s="226"/>
      <c r="AB157" s="226"/>
      <c r="AC157" s="226"/>
      <c r="AD157" s="226"/>
      <c r="AE157" s="226"/>
      <c r="AF157" s="226"/>
      <c r="AG157" s="226"/>
      <c r="AH157" s="226"/>
    </row>
    <row r="158" spans="1:34" ht="66">
      <c r="A158" s="166">
        <v>2</v>
      </c>
      <c r="B158" s="167" t="s">
        <v>450</v>
      </c>
      <c r="C158" s="166" t="s">
        <v>32</v>
      </c>
      <c r="D158" s="166" t="s">
        <v>181</v>
      </c>
      <c r="E158" s="166" t="s">
        <v>3</v>
      </c>
      <c r="F158" s="168">
        <v>7774647</v>
      </c>
      <c r="G158" s="166" t="s">
        <v>549</v>
      </c>
      <c r="H158" s="166" t="s">
        <v>571</v>
      </c>
      <c r="I158" s="169">
        <v>14885</v>
      </c>
      <c r="J158" s="169">
        <v>14885</v>
      </c>
      <c r="K158" s="170">
        <f>8000+5900</f>
        <v>13900</v>
      </c>
      <c r="L158" s="170"/>
      <c r="M158" s="170">
        <v>0</v>
      </c>
      <c r="N158" s="170"/>
      <c r="O158" s="151">
        <f>SUM(P158:S158)</f>
        <v>13900</v>
      </c>
      <c r="P158" s="170"/>
      <c r="Q158" s="170"/>
      <c r="R158" s="170">
        <v>13900</v>
      </c>
      <c r="S158" s="170"/>
      <c r="T158" s="170"/>
      <c r="U158" s="170"/>
      <c r="V158" s="166"/>
      <c r="AA158" s="226"/>
      <c r="AB158" s="226"/>
      <c r="AC158" s="226"/>
      <c r="AD158" s="226"/>
      <c r="AE158" s="226"/>
      <c r="AF158" s="226"/>
      <c r="AG158" s="226"/>
      <c r="AH158" s="226"/>
    </row>
    <row r="159" spans="1:34" ht="66">
      <c r="A159" s="166">
        <v>3</v>
      </c>
      <c r="B159" s="167" t="s">
        <v>451</v>
      </c>
      <c r="C159" s="166" t="s">
        <v>79</v>
      </c>
      <c r="D159" s="166" t="s">
        <v>181</v>
      </c>
      <c r="E159" s="166" t="s">
        <v>3</v>
      </c>
      <c r="F159" s="168">
        <v>7773603</v>
      </c>
      <c r="G159" s="166" t="s">
        <v>549</v>
      </c>
      <c r="H159" s="166" t="s">
        <v>572</v>
      </c>
      <c r="I159" s="169">
        <v>14895</v>
      </c>
      <c r="J159" s="169">
        <v>14895</v>
      </c>
      <c r="K159" s="170">
        <f>8000+5900</f>
        <v>13900</v>
      </c>
      <c r="L159" s="170"/>
      <c r="M159" s="170">
        <v>0</v>
      </c>
      <c r="N159" s="170"/>
      <c r="O159" s="151">
        <f>SUM(P159:S159)</f>
        <v>13900</v>
      </c>
      <c r="P159" s="170"/>
      <c r="Q159" s="170"/>
      <c r="R159" s="170">
        <v>13900</v>
      </c>
      <c r="S159" s="170"/>
      <c r="T159" s="170"/>
      <c r="U159" s="170"/>
      <c r="V159" s="166"/>
      <c r="AA159" s="226"/>
      <c r="AB159" s="226"/>
      <c r="AC159" s="226"/>
      <c r="AD159" s="226"/>
      <c r="AE159" s="226"/>
      <c r="AF159" s="226"/>
      <c r="AG159" s="226"/>
      <c r="AH159" s="226"/>
    </row>
    <row r="160" spans="1:34" ht="36" customHeight="1">
      <c r="A160" s="159" t="s">
        <v>372</v>
      </c>
      <c r="B160" s="160" t="s">
        <v>452</v>
      </c>
      <c r="C160" s="159"/>
      <c r="D160" s="160"/>
      <c r="E160" s="159"/>
      <c r="F160" s="161"/>
      <c r="G160" s="159"/>
      <c r="H160" s="159"/>
      <c r="I160" s="162">
        <f>I161+I163</f>
        <v>538152</v>
      </c>
      <c r="J160" s="162">
        <f t="shared" ref="J160:S160" si="59">J161+J163</f>
        <v>538152</v>
      </c>
      <c r="K160" s="162">
        <f t="shared" si="59"/>
        <v>507719</v>
      </c>
      <c r="L160" s="162">
        <f t="shared" si="59"/>
        <v>266840</v>
      </c>
      <c r="M160" s="162">
        <f t="shared" si="59"/>
        <v>266840</v>
      </c>
      <c r="N160" s="162">
        <f t="shared" si="59"/>
        <v>266840</v>
      </c>
      <c r="O160" s="163">
        <f t="shared" si="59"/>
        <v>191339</v>
      </c>
      <c r="P160" s="162">
        <f t="shared" si="59"/>
        <v>34537</v>
      </c>
      <c r="Q160" s="162">
        <f t="shared" si="59"/>
        <v>27458</v>
      </c>
      <c r="R160" s="162">
        <f t="shared" si="59"/>
        <v>129344</v>
      </c>
      <c r="S160" s="162">
        <f t="shared" si="59"/>
        <v>0</v>
      </c>
      <c r="T160" s="162"/>
      <c r="U160" s="162"/>
      <c r="V160" s="164"/>
      <c r="AA160" s="226"/>
      <c r="AB160" s="226"/>
      <c r="AC160" s="226"/>
      <c r="AD160" s="226"/>
      <c r="AE160" s="226"/>
      <c r="AF160" s="226"/>
      <c r="AG160" s="226"/>
      <c r="AH160" s="226"/>
    </row>
    <row r="161" spans="1:34" ht="45" customHeight="1">
      <c r="A161" s="144" t="s">
        <v>73</v>
      </c>
      <c r="B161" s="145" t="s">
        <v>383</v>
      </c>
      <c r="C161" s="144"/>
      <c r="D161" s="145"/>
      <c r="E161" s="144"/>
      <c r="F161" s="146"/>
      <c r="G161" s="144"/>
      <c r="H161" s="144"/>
      <c r="I161" s="148">
        <f t="shared" ref="I161:S161" si="60">I162</f>
        <v>40134</v>
      </c>
      <c r="J161" s="148">
        <f t="shared" si="60"/>
        <v>40134</v>
      </c>
      <c r="K161" s="148">
        <f t="shared" si="60"/>
        <v>28743</v>
      </c>
      <c r="L161" s="148">
        <f t="shared" si="60"/>
        <v>26662</v>
      </c>
      <c r="M161" s="148">
        <f t="shared" si="60"/>
        <v>26662</v>
      </c>
      <c r="N161" s="148">
        <f t="shared" si="60"/>
        <v>26662</v>
      </c>
      <c r="O161" s="151">
        <f t="shared" si="60"/>
        <v>200</v>
      </c>
      <c r="P161" s="148">
        <f t="shared" si="60"/>
        <v>200</v>
      </c>
      <c r="Q161" s="148">
        <f t="shared" si="60"/>
        <v>0</v>
      </c>
      <c r="R161" s="148">
        <f t="shared" si="60"/>
        <v>0</v>
      </c>
      <c r="S161" s="148">
        <f t="shared" si="60"/>
        <v>0</v>
      </c>
      <c r="T161" s="148"/>
      <c r="U161" s="148"/>
      <c r="V161" s="165"/>
      <c r="AA161" s="226"/>
      <c r="AB161" s="226"/>
      <c r="AC161" s="226"/>
      <c r="AD161" s="226"/>
      <c r="AE161" s="226"/>
      <c r="AF161" s="226"/>
      <c r="AG161" s="226"/>
      <c r="AH161" s="226"/>
    </row>
    <row r="162" spans="1:34" ht="82.5">
      <c r="A162" s="166">
        <v>1</v>
      </c>
      <c r="B162" s="167" t="s">
        <v>325</v>
      </c>
      <c r="C162" s="166" t="s">
        <v>29</v>
      </c>
      <c r="D162" s="166" t="s">
        <v>181</v>
      </c>
      <c r="E162" s="166" t="s">
        <v>3</v>
      </c>
      <c r="F162" s="168">
        <v>7411744</v>
      </c>
      <c r="G162" s="166" t="s">
        <v>86</v>
      </c>
      <c r="H162" s="166" t="s">
        <v>573</v>
      </c>
      <c r="I162" s="177">
        <v>40134</v>
      </c>
      <c r="J162" s="177">
        <v>40134</v>
      </c>
      <c r="K162" s="169">
        <v>28743</v>
      </c>
      <c r="L162" s="183">
        <v>26662</v>
      </c>
      <c r="M162" s="183">
        <v>26662</v>
      </c>
      <c r="N162" s="183">
        <v>26662</v>
      </c>
      <c r="O162" s="151">
        <f>SUM(P162:S162)</f>
        <v>200</v>
      </c>
      <c r="P162" s="183">
        <v>200</v>
      </c>
      <c r="Q162" s="183"/>
      <c r="R162" s="183"/>
      <c r="S162" s="183"/>
      <c r="T162" s="183"/>
      <c r="U162" s="183"/>
      <c r="V162" s="165"/>
      <c r="AA162" s="226"/>
      <c r="AB162" s="226"/>
      <c r="AC162" s="226"/>
      <c r="AD162" s="226"/>
      <c r="AE162" s="226"/>
      <c r="AF162" s="226"/>
      <c r="AG162" s="226"/>
      <c r="AH162" s="226"/>
    </row>
    <row r="163" spans="1:34" ht="45" customHeight="1">
      <c r="A163" s="144" t="s">
        <v>60</v>
      </c>
      <c r="B163" s="145" t="s">
        <v>387</v>
      </c>
      <c r="C163" s="144"/>
      <c r="D163" s="145"/>
      <c r="E163" s="144"/>
      <c r="F163" s="146"/>
      <c r="G163" s="144"/>
      <c r="H163" s="144"/>
      <c r="I163" s="148">
        <f>SUM(I164:I167)</f>
        <v>498018</v>
      </c>
      <c r="J163" s="148">
        <f t="shared" ref="J163:S163" si="61">SUM(J164:J167)</f>
        <v>498018</v>
      </c>
      <c r="K163" s="148">
        <f t="shared" si="61"/>
        <v>478976</v>
      </c>
      <c r="L163" s="148">
        <f t="shared" si="61"/>
        <v>240178</v>
      </c>
      <c r="M163" s="148">
        <f t="shared" si="61"/>
        <v>240178</v>
      </c>
      <c r="N163" s="148">
        <f t="shared" si="61"/>
        <v>240178</v>
      </c>
      <c r="O163" s="151">
        <f t="shared" si="61"/>
        <v>191139</v>
      </c>
      <c r="P163" s="148">
        <f t="shared" si="61"/>
        <v>34337</v>
      </c>
      <c r="Q163" s="148">
        <f t="shared" si="61"/>
        <v>27458</v>
      </c>
      <c r="R163" s="148">
        <f t="shared" si="61"/>
        <v>129344</v>
      </c>
      <c r="S163" s="148">
        <f t="shared" si="61"/>
        <v>0</v>
      </c>
      <c r="T163" s="148"/>
      <c r="U163" s="148"/>
      <c r="V163" s="165"/>
      <c r="AA163" s="226"/>
      <c r="AB163" s="226"/>
      <c r="AC163" s="226"/>
      <c r="AD163" s="226"/>
      <c r="AE163" s="226"/>
      <c r="AF163" s="226"/>
      <c r="AG163" s="226"/>
      <c r="AH163" s="226"/>
    </row>
    <row r="164" spans="1:34" ht="84.2" customHeight="1">
      <c r="A164" s="166">
        <v>1</v>
      </c>
      <c r="B164" s="167" t="s">
        <v>328</v>
      </c>
      <c r="C164" s="166" t="s">
        <v>17</v>
      </c>
      <c r="D164" s="166" t="s">
        <v>181</v>
      </c>
      <c r="E164" s="166" t="s">
        <v>2</v>
      </c>
      <c r="F164" s="168">
        <v>7620393</v>
      </c>
      <c r="G164" s="166" t="s">
        <v>18</v>
      </c>
      <c r="H164" s="166" t="s">
        <v>247</v>
      </c>
      <c r="I164" s="177">
        <v>353531</v>
      </c>
      <c r="J164" s="177">
        <v>353531</v>
      </c>
      <c r="K164" s="169">
        <v>353531</v>
      </c>
      <c r="L164" s="183">
        <f>100000+69678</f>
        <v>169678</v>
      </c>
      <c r="M164" s="183">
        <f>215952-46274</f>
        <v>169678</v>
      </c>
      <c r="N164" s="183">
        <f>215952-46274</f>
        <v>169678</v>
      </c>
      <c r="O164" s="151">
        <f>SUM(P164:S164)</f>
        <v>138509</v>
      </c>
      <c r="P164" s="183">
        <f>183853-47344-58243-17000-6828-20000+9899-10000</f>
        <v>34337</v>
      </c>
      <c r="Q164" s="183">
        <f>6828+20000</f>
        <v>26828</v>
      </c>
      <c r="R164" s="183">
        <f>47344+30000</f>
        <v>77344</v>
      </c>
      <c r="S164" s="183"/>
      <c r="T164" s="183"/>
      <c r="U164" s="183"/>
      <c r="V164" s="165"/>
      <c r="AA164" s="226"/>
      <c r="AB164" s="226"/>
      <c r="AC164" s="226"/>
      <c r="AD164" s="226"/>
      <c r="AE164" s="226"/>
      <c r="AF164" s="226"/>
      <c r="AG164" s="226"/>
      <c r="AH164" s="226"/>
    </row>
    <row r="165" spans="1:34" ht="70.5" customHeight="1">
      <c r="A165" s="166">
        <v>2</v>
      </c>
      <c r="B165" s="167" t="s">
        <v>453</v>
      </c>
      <c r="C165" s="166" t="s">
        <v>17</v>
      </c>
      <c r="D165" s="166" t="s">
        <v>181</v>
      </c>
      <c r="E165" s="166" t="s">
        <v>3</v>
      </c>
      <c r="F165" s="168">
        <v>7660213</v>
      </c>
      <c r="G165" s="166" t="s">
        <v>34</v>
      </c>
      <c r="H165" s="166" t="s">
        <v>127</v>
      </c>
      <c r="I165" s="169">
        <v>52313</v>
      </c>
      <c r="J165" s="169">
        <v>52313</v>
      </c>
      <c r="K165" s="169">
        <v>52313</v>
      </c>
      <c r="L165" s="170">
        <f>50000-10000</f>
        <v>40000</v>
      </c>
      <c r="M165" s="170">
        <f>50000-10000</f>
        <v>40000</v>
      </c>
      <c r="N165" s="170">
        <f>50000-10000</f>
        <v>40000</v>
      </c>
      <c r="O165" s="151">
        <f>SUM(P165:S165)</f>
        <v>10000</v>
      </c>
      <c r="P165" s="170"/>
      <c r="Q165" s="170"/>
      <c r="R165" s="170">
        <v>10000</v>
      </c>
      <c r="S165" s="170"/>
      <c r="T165" s="170"/>
      <c r="U165" s="170"/>
      <c r="V165" s="165"/>
      <c r="AA165" s="226"/>
      <c r="AB165" s="226"/>
      <c r="AC165" s="226"/>
      <c r="AD165" s="226"/>
      <c r="AE165" s="226"/>
      <c r="AF165" s="226"/>
      <c r="AG165" s="226"/>
      <c r="AH165" s="226"/>
    </row>
    <row r="166" spans="1:34" ht="49.5">
      <c r="A166" s="166">
        <v>3</v>
      </c>
      <c r="B166" s="167" t="s">
        <v>454</v>
      </c>
      <c r="C166" s="166" t="s">
        <v>17</v>
      </c>
      <c r="D166" s="166" t="s">
        <v>181</v>
      </c>
      <c r="E166" s="166" t="s">
        <v>2</v>
      </c>
      <c r="F166" s="168">
        <v>7712035</v>
      </c>
      <c r="G166" s="166" t="s">
        <v>502</v>
      </c>
      <c r="H166" s="166" t="s">
        <v>574</v>
      </c>
      <c r="I166" s="169">
        <v>85922</v>
      </c>
      <c r="J166" s="169">
        <v>85922</v>
      </c>
      <c r="K166" s="169">
        <v>67000</v>
      </c>
      <c r="L166" s="170">
        <f>50000-25000</f>
        <v>25000</v>
      </c>
      <c r="M166" s="170">
        <f>50000-25000</f>
        <v>25000</v>
      </c>
      <c r="N166" s="170">
        <f>50000-25000</f>
        <v>25000</v>
      </c>
      <c r="O166" s="151">
        <f>SUM(P166:S166)</f>
        <v>42000</v>
      </c>
      <c r="P166" s="170"/>
      <c r="Q166" s="170"/>
      <c r="R166" s="170">
        <v>42000</v>
      </c>
      <c r="S166" s="170"/>
      <c r="T166" s="170"/>
      <c r="U166" s="170"/>
      <c r="V166" s="165"/>
      <c r="AA166" s="226"/>
      <c r="AB166" s="226"/>
      <c r="AC166" s="226"/>
      <c r="AD166" s="226"/>
      <c r="AE166" s="226"/>
      <c r="AF166" s="226"/>
      <c r="AG166" s="226"/>
      <c r="AH166" s="226"/>
    </row>
    <row r="167" spans="1:34" ht="60.75" customHeight="1">
      <c r="A167" s="166">
        <v>4</v>
      </c>
      <c r="B167" s="167" t="s">
        <v>221</v>
      </c>
      <c r="C167" s="166" t="s">
        <v>29</v>
      </c>
      <c r="D167" s="166" t="s">
        <v>181</v>
      </c>
      <c r="E167" s="166" t="s">
        <v>3</v>
      </c>
      <c r="F167" s="168">
        <v>7572546</v>
      </c>
      <c r="G167" s="166" t="s">
        <v>225</v>
      </c>
      <c r="H167" s="166" t="s">
        <v>324</v>
      </c>
      <c r="I167" s="169">
        <v>6252</v>
      </c>
      <c r="J167" s="169">
        <v>6252</v>
      </c>
      <c r="K167" s="169">
        <v>6132</v>
      </c>
      <c r="L167" s="170">
        <v>5500</v>
      </c>
      <c r="M167" s="170">
        <v>5500</v>
      </c>
      <c r="N167" s="170">
        <v>5500</v>
      </c>
      <c r="O167" s="151">
        <f>SUM(P167:S167)</f>
        <v>630</v>
      </c>
      <c r="P167" s="170"/>
      <c r="Q167" s="170">
        <v>630</v>
      </c>
      <c r="R167" s="170"/>
      <c r="S167" s="170"/>
      <c r="T167" s="170"/>
      <c r="U167" s="170"/>
      <c r="V167" s="165"/>
      <c r="AA167" s="226"/>
      <c r="AB167" s="226"/>
      <c r="AC167" s="226"/>
      <c r="AD167" s="226"/>
      <c r="AE167" s="226"/>
      <c r="AF167" s="226"/>
      <c r="AG167" s="226"/>
      <c r="AH167" s="226"/>
    </row>
    <row r="168" spans="1:34" ht="31.7" customHeight="1">
      <c r="A168" s="159" t="s">
        <v>373</v>
      </c>
      <c r="B168" s="160" t="s">
        <v>455</v>
      </c>
      <c r="C168" s="159"/>
      <c r="D168" s="160"/>
      <c r="E168" s="159"/>
      <c r="F168" s="161"/>
      <c r="G168" s="159"/>
      <c r="H168" s="159"/>
      <c r="I168" s="162">
        <f>I169+I171</f>
        <v>36297</v>
      </c>
      <c r="J168" s="162">
        <f t="shared" ref="J168:S168" si="62">J169+J171</f>
        <v>36297</v>
      </c>
      <c r="K168" s="162">
        <f t="shared" si="62"/>
        <v>12827</v>
      </c>
      <c r="L168" s="162">
        <f t="shared" si="62"/>
        <v>7111</v>
      </c>
      <c r="M168" s="162">
        <f t="shared" si="62"/>
        <v>31513</v>
      </c>
      <c r="N168" s="162">
        <f t="shared" si="62"/>
        <v>31513</v>
      </c>
      <c r="O168" s="163">
        <f t="shared" si="62"/>
        <v>2600</v>
      </c>
      <c r="P168" s="162">
        <f t="shared" si="62"/>
        <v>0</v>
      </c>
      <c r="Q168" s="162">
        <f t="shared" si="62"/>
        <v>0</v>
      </c>
      <c r="R168" s="162">
        <f t="shared" si="62"/>
        <v>2600</v>
      </c>
      <c r="S168" s="162">
        <f t="shared" si="62"/>
        <v>0</v>
      </c>
      <c r="T168" s="162"/>
      <c r="U168" s="162"/>
      <c r="V168" s="164"/>
      <c r="AA168" s="226"/>
      <c r="AB168" s="226"/>
      <c r="AC168" s="226"/>
      <c r="AD168" s="226"/>
      <c r="AE168" s="226"/>
      <c r="AF168" s="226"/>
      <c r="AG168" s="226"/>
      <c r="AH168" s="226"/>
    </row>
    <row r="169" spans="1:34" ht="48.75" customHeight="1">
      <c r="A169" s="144" t="s">
        <v>73</v>
      </c>
      <c r="B169" s="145" t="s">
        <v>383</v>
      </c>
      <c r="C169" s="144"/>
      <c r="D169" s="145"/>
      <c r="E169" s="144"/>
      <c r="F169" s="146"/>
      <c r="G169" s="144"/>
      <c r="H169" s="144"/>
      <c r="I169" s="148">
        <f t="shared" ref="I169:S169" si="63">SUM(I170:I170)</f>
        <v>29229</v>
      </c>
      <c r="J169" s="148">
        <f t="shared" si="63"/>
        <v>29229</v>
      </c>
      <c r="K169" s="148">
        <f t="shared" si="63"/>
        <v>4827</v>
      </c>
      <c r="L169" s="148">
        <f t="shared" si="63"/>
        <v>2111</v>
      </c>
      <c r="M169" s="148">
        <f t="shared" si="63"/>
        <v>26513</v>
      </c>
      <c r="N169" s="148">
        <f t="shared" si="63"/>
        <v>26513</v>
      </c>
      <c r="O169" s="151">
        <f t="shared" si="63"/>
        <v>600</v>
      </c>
      <c r="P169" s="148">
        <f t="shared" si="63"/>
        <v>0</v>
      </c>
      <c r="Q169" s="148">
        <f t="shared" si="63"/>
        <v>0</v>
      </c>
      <c r="R169" s="148">
        <f t="shared" si="63"/>
        <v>600</v>
      </c>
      <c r="S169" s="148">
        <f t="shared" si="63"/>
        <v>0</v>
      </c>
      <c r="T169" s="148"/>
      <c r="U169" s="148"/>
      <c r="V169" s="165"/>
      <c r="AA169" s="226"/>
      <c r="AB169" s="226"/>
      <c r="AC169" s="226"/>
      <c r="AD169" s="226"/>
      <c r="AE169" s="226"/>
      <c r="AF169" s="226"/>
      <c r="AG169" s="226"/>
      <c r="AH169" s="226"/>
    </row>
    <row r="170" spans="1:34" ht="99">
      <c r="A170" s="166">
        <v>1</v>
      </c>
      <c r="B170" s="167" t="s">
        <v>456</v>
      </c>
      <c r="C170" s="166" t="s">
        <v>29</v>
      </c>
      <c r="D170" s="166" t="s">
        <v>181</v>
      </c>
      <c r="E170" s="166" t="s">
        <v>3</v>
      </c>
      <c r="F170" s="168">
        <v>7241567</v>
      </c>
      <c r="G170" s="166" t="s">
        <v>575</v>
      </c>
      <c r="H170" s="166" t="s">
        <v>576</v>
      </c>
      <c r="I170" s="169">
        <v>29229</v>
      </c>
      <c r="J170" s="169">
        <v>29229</v>
      </c>
      <c r="K170" s="169">
        <v>4827</v>
      </c>
      <c r="L170" s="170">
        <f>111+1000+1000</f>
        <v>2111</v>
      </c>
      <c r="M170" s="170">
        <f>29254-2741</f>
        <v>26513</v>
      </c>
      <c r="N170" s="170">
        <f>29254-2741</f>
        <v>26513</v>
      </c>
      <c r="O170" s="151">
        <f>SUM(P170:S170)</f>
        <v>600</v>
      </c>
      <c r="P170" s="170"/>
      <c r="Q170" s="170"/>
      <c r="R170" s="170">
        <v>600</v>
      </c>
      <c r="S170" s="170"/>
      <c r="T170" s="170"/>
      <c r="U170" s="170"/>
      <c r="V170" s="180" t="s">
        <v>638</v>
      </c>
      <c r="AA170" s="226"/>
      <c r="AB170" s="226"/>
      <c r="AC170" s="226"/>
      <c r="AD170" s="226"/>
      <c r="AE170" s="226"/>
      <c r="AF170" s="226"/>
      <c r="AG170" s="226"/>
      <c r="AH170" s="226"/>
    </row>
    <row r="171" spans="1:34" ht="42.75" customHeight="1">
      <c r="A171" s="144" t="s">
        <v>60</v>
      </c>
      <c r="B171" s="145" t="s">
        <v>387</v>
      </c>
      <c r="C171" s="144"/>
      <c r="D171" s="145"/>
      <c r="E171" s="144"/>
      <c r="F171" s="146"/>
      <c r="G171" s="144"/>
      <c r="H171" s="144"/>
      <c r="I171" s="148">
        <f>I172</f>
        <v>7068</v>
      </c>
      <c r="J171" s="148">
        <f t="shared" ref="J171:S171" si="64">J172</f>
        <v>7068</v>
      </c>
      <c r="K171" s="148">
        <f t="shared" si="64"/>
        <v>8000</v>
      </c>
      <c r="L171" s="148">
        <f t="shared" si="64"/>
        <v>5000</v>
      </c>
      <c r="M171" s="148">
        <f t="shared" si="64"/>
        <v>5000</v>
      </c>
      <c r="N171" s="148">
        <f t="shared" si="64"/>
        <v>5000</v>
      </c>
      <c r="O171" s="151">
        <f t="shared" si="64"/>
        <v>2000</v>
      </c>
      <c r="P171" s="148">
        <f t="shared" si="64"/>
        <v>0</v>
      </c>
      <c r="Q171" s="148">
        <f t="shared" si="64"/>
        <v>0</v>
      </c>
      <c r="R171" s="148">
        <f t="shared" si="64"/>
        <v>2000</v>
      </c>
      <c r="S171" s="148">
        <f t="shared" si="64"/>
        <v>0</v>
      </c>
      <c r="T171" s="148"/>
      <c r="U171" s="148"/>
      <c r="V171" s="165"/>
      <c r="AA171" s="226"/>
      <c r="AB171" s="226"/>
      <c r="AC171" s="226"/>
      <c r="AD171" s="226"/>
      <c r="AE171" s="226"/>
      <c r="AF171" s="226"/>
      <c r="AG171" s="226"/>
      <c r="AH171" s="226"/>
    </row>
    <row r="172" spans="1:34" ht="66">
      <c r="A172" s="166">
        <v>1</v>
      </c>
      <c r="B172" s="167" t="s">
        <v>457</v>
      </c>
      <c r="C172" s="166" t="s">
        <v>29</v>
      </c>
      <c r="D172" s="166" t="s">
        <v>181</v>
      </c>
      <c r="E172" s="166" t="s">
        <v>3</v>
      </c>
      <c r="F172" s="168">
        <v>7630957</v>
      </c>
      <c r="G172" s="166" t="s">
        <v>225</v>
      </c>
      <c r="H172" s="166" t="s">
        <v>577</v>
      </c>
      <c r="I172" s="169">
        <v>7068</v>
      </c>
      <c r="J172" s="169">
        <v>7068</v>
      </c>
      <c r="K172" s="169">
        <v>8000</v>
      </c>
      <c r="L172" s="170">
        <v>5000</v>
      </c>
      <c r="M172" s="170">
        <v>5000</v>
      </c>
      <c r="N172" s="170">
        <v>5000</v>
      </c>
      <c r="O172" s="151">
        <f>SUM(P172:S172)</f>
        <v>2000</v>
      </c>
      <c r="P172" s="170"/>
      <c r="Q172" s="170"/>
      <c r="R172" s="170">
        <v>2000</v>
      </c>
      <c r="S172" s="170"/>
      <c r="T172" s="170"/>
      <c r="U172" s="170"/>
      <c r="V172" s="166"/>
      <c r="AA172" s="226"/>
      <c r="AB172" s="226"/>
      <c r="AC172" s="226"/>
      <c r="AD172" s="226"/>
      <c r="AE172" s="226"/>
      <c r="AF172" s="226"/>
      <c r="AG172" s="226"/>
      <c r="AH172" s="226"/>
    </row>
    <row r="173" spans="1:34" ht="40.700000000000003" customHeight="1">
      <c r="A173" s="159" t="s">
        <v>458</v>
      </c>
      <c r="B173" s="160" t="s">
        <v>346</v>
      </c>
      <c r="C173" s="159"/>
      <c r="D173" s="160"/>
      <c r="E173" s="159"/>
      <c r="F173" s="161"/>
      <c r="G173" s="159"/>
      <c r="H173" s="159"/>
      <c r="I173" s="162">
        <f>I174+I176</f>
        <v>166579</v>
      </c>
      <c r="J173" s="162">
        <f t="shared" ref="J173:S173" si="65">J174+J176</f>
        <v>166579</v>
      </c>
      <c r="K173" s="162">
        <f t="shared" si="65"/>
        <v>92849</v>
      </c>
      <c r="L173" s="162">
        <f t="shared" si="65"/>
        <v>83902</v>
      </c>
      <c r="M173" s="162">
        <f t="shared" si="65"/>
        <v>141432</v>
      </c>
      <c r="N173" s="162">
        <f t="shared" si="65"/>
        <v>141432</v>
      </c>
      <c r="O173" s="163">
        <f t="shared" si="65"/>
        <v>8232</v>
      </c>
      <c r="P173" s="162">
        <f t="shared" si="65"/>
        <v>0</v>
      </c>
      <c r="Q173" s="162">
        <f t="shared" si="65"/>
        <v>0</v>
      </c>
      <c r="R173" s="162">
        <f t="shared" si="65"/>
        <v>8232</v>
      </c>
      <c r="S173" s="162">
        <f t="shared" si="65"/>
        <v>0</v>
      </c>
      <c r="T173" s="162"/>
      <c r="U173" s="162"/>
      <c r="V173" s="164"/>
      <c r="AA173" s="226"/>
      <c r="AB173" s="226"/>
      <c r="AC173" s="226"/>
      <c r="AD173" s="226"/>
      <c r="AE173" s="226"/>
      <c r="AF173" s="226"/>
      <c r="AG173" s="226"/>
      <c r="AH173" s="226"/>
    </row>
    <row r="174" spans="1:34" ht="43.5" customHeight="1">
      <c r="A174" s="144" t="s">
        <v>73</v>
      </c>
      <c r="B174" s="145" t="s">
        <v>383</v>
      </c>
      <c r="C174" s="144"/>
      <c r="D174" s="145"/>
      <c r="E174" s="144"/>
      <c r="F174" s="146"/>
      <c r="G174" s="144"/>
      <c r="H174" s="144"/>
      <c r="I174" s="148">
        <f t="shared" ref="I174:S174" si="66">I175</f>
        <v>76822</v>
      </c>
      <c r="J174" s="148">
        <f t="shared" si="66"/>
        <v>76822</v>
      </c>
      <c r="K174" s="148">
        <f t="shared" si="66"/>
        <v>14800</v>
      </c>
      <c r="L174" s="148">
        <f t="shared" si="66"/>
        <v>13357</v>
      </c>
      <c r="M174" s="148">
        <f t="shared" si="66"/>
        <v>70787</v>
      </c>
      <c r="N174" s="148">
        <f t="shared" si="66"/>
        <v>70787</v>
      </c>
      <c r="O174" s="151">
        <f t="shared" si="66"/>
        <v>850</v>
      </c>
      <c r="P174" s="148">
        <f t="shared" si="66"/>
        <v>0</v>
      </c>
      <c r="Q174" s="148">
        <f t="shared" si="66"/>
        <v>0</v>
      </c>
      <c r="R174" s="148">
        <f t="shared" si="66"/>
        <v>850</v>
      </c>
      <c r="S174" s="148">
        <f t="shared" si="66"/>
        <v>0</v>
      </c>
      <c r="T174" s="148"/>
      <c r="U174" s="148"/>
      <c r="V174" s="165"/>
      <c r="AA174" s="226"/>
      <c r="AB174" s="226"/>
      <c r="AC174" s="226"/>
      <c r="AD174" s="226"/>
      <c r="AE174" s="226"/>
      <c r="AF174" s="226"/>
      <c r="AG174" s="226"/>
      <c r="AH174" s="226"/>
    </row>
    <row r="175" spans="1:34" ht="132">
      <c r="A175" s="166">
        <v>1</v>
      </c>
      <c r="B175" s="167" t="s">
        <v>459</v>
      </c>
      <c r="C175" s="166" t="s">
        <v>578</v>
      </c>
      <c r="D175" s="166" t="s">
        <v>181</v>
      </c>
      <c r="E175" s="166" t="s">
        <v>3</v>
      </c>
      <c r="F175" s="168">
        <v>7198722</v>
      </c>
      <c r="G175" s="166" t="s">
        <v>307</v>
      </c>
      <c r="H175" s="166" t="s">
        <v>579</v>
      </c>
      <c r="I175" s="169">
        <v>76822</v>
      </c>
      <c r="J175" s="169">
        <v>76822</v>
      </c>
      <c r="K175" s="169">
        <v>14800</v>
      </c>
      <c r="L175" s="170">
        <v>13357</v>
      </c>
      <c r="M175" s="170">
        <v>70787</v>
      </c>
      <c r="N175" s="170">
        <v>70787</v>
      </c>
      <c r="O175" s="151">
        <f>SUM(P175:S175)</f>
        <v>850</v>
      </c>
      <c r="P175" s="170"/>
      <c r="Q175" s="170"/>
      <c r="R175" s="170">
        <v>850</v>
      </c>
      <c r="S175" s="170"/>
      <c r="T175" s="170"/>
      <c r="U175" s="170"/>
      <c r="V175" s="180" t="s">
        <v>638</v>
      </c>
      <c r="AA175" s="226"/>
      <c r="AB175" s="226"/>
      <c r="AC175" s="226"/>
      <c r="AD175" s="226"/>
      <c r="AE175" s="226"/>
      <c r="AF175" s="226"/>
      <c r="AG175" s="226"/>
      <c r="AH175" s="226"/>
    </row>
    <row r="176" spans="1:34" ht="44.45" customHeight="1">
      <c r="A176" s="144" t="s">
        <v>60</v>
      </c>
      <c r="B176" s="145" t="s">
        <v>387</v>
      </c>
      <c r="C176" s="144"/>
      <c r="D176" s="145"/>
      <c r="E176" s="144"/>
      <c r="F176" s="146"/>
      <c r="G176" s="144"/>
      <c r="H176" s="144"/>
      <c r="I176" s="148">
        <f>I177</f>
        <v>89757</v>
      </c>
      <c r="J176" s="148">
        <f t="shared" ref="J176:S176" si="67">J177</f>
        <v>89757</v>
      </c>
      <c r="K176" s="148">
        <f t="shared" si="67"/>
        <v>78049</v>
      </c>
      <c r="L176" s="148">
        <f t="shared" si="67"/>
        <v>70545</v>
      </c>
      <c r="M176" s="148">
        <f t="shared" si="67"/>
        <v>70645</v>
      </c>
      <c r="N176" s="148">
        <f t="shared" si="67"/>
        <v>70645</v>
      </c>
      <c r="O176" s="151">
        <f t="shared" si="67"/>
        <v>7382</v>
      </c>
      <c r="P176" s="148">
        <f t="shared" si="67"/>
        <v>0</v>
      </c>
      <c r="Q176" s="148">
        <f t="shared" si="67"/>
        <v>0</v>
      </c>
      <c r="R176" s="148">
        <f t="shared" si="67"/>
        <v>7382</v>
      </c>
      <c r="S176" s="148">
        <f t="shared" si="67"/>
        <v>0</v>
      </c>
      <c r="T176" s="148"/>
      <c r="U176" s="148"/>
      <c r="V176" s="165"/>
      <c r="AA176" s="226"/>
      <c r="AB176" s="226"/>
      <c r="AC176" s="226"/>
      <c r="AD176" s="226"/>
      <c r="AE176" s="226"/>
      <c r="AF176" s="226"/>
      <c r="AG176" s="226"/>
      <c r="AH176" s="226"/>
    </row>
    <row r="177" spans="1:34" ht="77.25" customHeight="1">
      <c r="A177" s="166">
        <v>1</v>
      </c>
      <c r="B177" s="167" t="s">
        <v>119</v>
      </c>
      <c r="C177" s="166" t="s">
        <v>29</v>
      </c>
      <c r="D177" s="166" t="s">
        <v>181</v>
      </c>
      <c r="E177" s="166" t="s">
        <v>3</v>
      </c>
      <c r="F177" s="168">
        <v>7538013</v>
      </c>
      <c r="G177" s="166" t="s">
        <v>22</v>
      </c>
      <c r="H177" s="166" t="s">
        <v>120</v>
      </c>
      <c r="I177" s="183">
        <v>89757</v>
      </c>
      <c r="J177" s="183">
        <v>89757</v>
      </c>
      <c r="K177" s="169">
        <v>78049</v>
      </c>
      <c r="L177" s="170">
        <f>4000+22800+24745+5000+14000</f>
        <v>70545</v>
      </c>
      <c r="M177" s="170">
        <v>70645</v>
      </c>
      <c r="N177" s="170">
        <v>70645</v>
      </c>
      <c r="O177" s="151">
        <f>SUM(P177:S177)</f>
        <v>7382</v>
      </c>
      <c r="P177" s="170"/>
      <c r="Q177" s="170"/>
      <c r="R177" s="170">
        <v>7382</v>
      </c>
      <c r="S177" s="170"/>
      <c r="T177" s="170"/>
      <c r="U177" s="170"/>
      <c r="V177" s="165"/>
      <c r="AA177" s="226"/>
      <c r="AB177" s="226"/>
      <c r="AC177" s="226"/>
      <c r="AD177" s="226"/>
      <c r="AE177" s="226"/>
      <c r="AF177" s="226"/>
      <c r="AG177" s="226"/>
      <c r="AH177" s="226"/>
    </row>
    <row r="178" spans="1:34" ht="33.75" customHeight="1">
      <c r="A178" s="159" t="s">
        <v>460</v>
      </c>
      <c r="B178" s="160" t="s">
        <v>461</v>
      </c>
      <c r="C178" s="159"/>
      <c r="D178" s="160"/>
      <c r="E178" s="159"/>
      <c r="F178" s="161"/>
      <c r="G178" s="159"/>
      <c r="H178" s="159"/>
      <c r="I178" s="162">
        <f t="shared" ref="I178:S178" si="68">I179+I181</f>
        <v>68009</v>
      </c>
      <c r="J178" s="162">
        <f t="shared" si="68"/>
        <v>68009</v>
      </c>
      <c r="K178" s="162">
        <f t="shared" si="68"/>
        <v>66600</v>
      </c>
      <c r="L178" s="162">
        <f t="shared" si="68"/>
        <v>58282</v>
      </c>
      <c r="M178" s="162">
        <f t="shared" si="68"/>
        <v>58282</v>
      </c>
      <c r="N178" s="162">
        <f t="shared" si="68"/>
        <v>58282</v>
      </c>
      <c r="O178" s="163">
        <f t="shared" si="68"/>
        <v>8000</v>
      </c>
      <c r="P178" s="162">
        <f t="shared" si="68"/>
        <v>0</v>
      </c>
      <c r="Q178" s="162">
        <f t="shared" si="68"/>
        <v>0</v>
      </c>
      <c r="R178" s="162">
        <f t="shared" si="68"/>
        <v>8000</v>
      </c>
      <c r="S178" s="162">
        <f t="shared" si="68"/>
        <v>0</v>
      </c>
      <c r="T178" s="162"/>
      <c r="U178" s="162"/>
      <c r="V178" s="164"/>
      <c r="AA178" s="226"/>
      <c r="AB178" s="226"/>
      <c r="AC178" s="226"/>
      <c r="AD178" s="226"/>
      <c r="AE178" s="226"/>
      <c r="AF178" s="226"/>
      <c r="AG178" s="226"/>
      <c r="AH178" s="226"/>
    </row>
    <row r="179" spans="1:34" ht="43.5" customHeight="1">
      <c r="A179" s="144" t="s">
        <v>73</v>
      </c>
      <c r="B179" s="145" t="s">
        <v>383</v>
      </c>
      <c r="C179" s="144"/>
      <c r="D179" s="145"/>
      <c r="E179" s="144"/>
      <c r="F179" s="146"/>
      <c r="G179" s="144"/>
      <c r="H179" s="144"/>
      <c r="I179" s="148">
        <f>I180</f>
        <v>55488</v>
      </c>
      <c r="J179" s="148">
        <f t="shared" ref="J179:S179" si="69">J180</f>
        <v>55488</v>
      </c>
      <c r="K179" s="148">
        <f t="shared" si="69"/>
        <v>54600</v>
      </c>
      <c r="L179" s="148">
        <f t="shared" si="69"/>
        <v>53500</v>
      </c>
      <c r="M179" s="148">
        <f t="shared" si="69"/>
        <v>53500</v>
      </c>
      <c r="N179" s="148">
        <f t="shared" si="69"/>
        <v>53500</v>
      </c>
      <c r="O179" s="151">
        <f t="shared" si="69"/>
        <v>1100</v>
      </c>
      <c r="P179" s="148">
        <f t="shared" si="69"/>
        <v>0</v>
      </c>
      <c r="Q179" s="148">
        <f t="shared" si="69"/>
        <v>0</v>
      </c>
      <c r="R179" s="148">
        <f t="shared" si="69"/>
        <v>1100</v>
      </c>
      <c r="S179" s="148">
        <f t="shared" si="69"/>
        <v>0</v>
      </c>
      <c r="T179" s="148"/>
      <c r="U179" s="148"/>
      <c r="V179" s="165"/>
      <c r="AA179" s="226"/>
      <c r="AB179" s="226"/>
      <c r="AC179" s="226"/>
      <c r="AD179" s="226"/>
      <c r="AE179" s="226"/>
      <c r="AF179" s="226"/>
      <c r="AG179" s="226"/>
      <c r="AH179" s="226"/>
    </row>
    <row r="180" spans="1:34" ht="91.5" customHeight="1">
      <c r="A180" s="166">
        <v>1</v>
      </c>
      <c r="B180" s="167" t="s">
        <v>243</v>
      </c>
      <c r="C180" s="166" t="s">
        <v>29</v>
      </c>
      <c r="D180" s="166" t="s">
        <v>181</v>
      </c>
      <c r="E180" s="166" t="s">
        <v>2</v>
      </c>
      <c r="F180" s="168">
        <v>7311775</v>
      </c>
      <c r="G180" s="166" t="s">
        <v>22</v>
      </c>
      <c r="H180" s="166" t="s">
        <v>244</v>
      </c>
      <c r="I180" s="183">
        <v>55488</v>
      </c>
      <c r="J180" s="183">
        <v>55488</v>
      </c>
      <c r="K180" s="169">
        <v>54600</v>
      </c>
      <c r="L180" s="170">
        <v>53500</v>
      </c>
      <c r="M180" s="170">
        <v>53500</v>
      </c>
      <c r="N180" s="170">
        <v>53500</v>
      </c>
      <c r="O180" s="151">
        <f>SUM(P180:S180)</f>
        <v>1100</v>
      </c>
      <c r="P180" s="170"/>
      <c r="Q180" s="170"/>
      <c r="R180" s="170">
        <v>1100</v>
      </c>
      <c r="S180" s="170"/>
      <c r="T180" s="170"/>
      <c r="U180" s="170"/>
      <c r="V180" s="165"/>
      <c r="AA180" s="226"/>
      <c r="AB180" s="226"/>
      <c r="AC180" s="226"/>
      <c r="AD180" s="226"/>
      <c r="AE180" s="226"/>
      <c r="AF180" s="226"/>
      <c r="AG180" s="226"/>
      <c r="AH180" s="226"/>
    </row>
    <row r="181" spans="1:34" ht="42.75" customHeight="1">
      <c r="A181" s="144" t="s">
        <v>60</v>
      </c>
      <c r="B181" s="145" t="s">
        <v>387</v>
      </c>
      <c r="C181" s="144"/>
      <c r="D181" s="145"/>
      <c r="E181" s="144"/>
      <c r="F181" s="146"/>
      <c r="G181" s="144"/>
      <c r="H181" s="144"/>
      <c r="I181" s="148">
        <f>I182</f>
        <v>12521</v>
      </c>
      <c r="J181" s="148">
        <f t="shared" ref="J181:S181" si="70">J182</f>
        <v>12521</v>
      </c>
      <c r="K181" s="148">
        <f t="shared" si="70"/>
        <v>12000</v>
      </c>
      <c r="L181" s="148">
        <f t="shared" si="70"/>
        <v>4782</v>
      </c>
      <c r="M181" s="148">
        <f t="shared" si="70"/>
        <v>4782</v>
      </c>
      <c r="N181" s="148">
        <f t="shared" si="70"/>
        <v>4782</v>
      </c>
      <c r="O181" s="151">
        <f t="shared" si="70"/>
        <v>6900</v>
      </c>
      <c r="P181" s="148">
        <f t="shared" si="70"/>
        <v>0</v>
      </c>
      <c r="Q181" s="148">
        <f t="shared" si="70"/>
        <v>0</v>
      </c>
      <c r="R181" s="148">
        <f t="shared" si="70"/>
        <v>6900</v>
      </c>
      <c r="S181" s="148">
        <f t="shared" si="70"/>
        <v>0</v>
      </c>
      <c r="T181" s="148"/>
      <c r="U181" s="148"/>
      <c r="V181" s="165"/>
      <c r="AA181" s="226"/>
      <c r="AB181" s="226"/>
      <c r="AC181" s="226"/>
      <c r="AD181" s="226"/>
      <c r="AE181" s="226"/>
      <c r="AF181" s="226"/>
      <c r="AG181" s="226"/>
      <c r="AH181" s="226"/>
    </row>
    <row r="182" spans="1:34" ht="92.25" customHeight="1">
      <c r="A182" s="166">
        <v>1</v>
      </c>
      <c r="B182" s="167" t="s">
        <v>229</v>
      </c>
      <c r="C182" s="166" t="s">
        <v>29</v>
      </c>
      <c r="D182" s="166" t="s">
        <v>181</v>
      </c>
      <c r="E182" s="166" t="s">
        <v>3</v>
      </c>
      <c r="F182" s="168">
        <v>7662833</v>
      </c>
      <c r="G182" s="166" t="s">
        <v>225</v>
      </c>
      <c r="H182" s="166" t="s">
        <v>228</v>
      </c>
      <c r="I182" s="169">
        <v>12521</v>
      </c>
      <c r="J182" s="169">
        <v>12521</v>
      </c>
      <c r="K182" s="169">
        <v>12000</v>
      </c>
      <c r="L182" s="170">
        <f>10000-5218</f>
        <v>4782</v>
      </c>
      <c r="M182" s="170">
        <f>10000-5218</f>
        <v>4782</v>
      </c>
      <c r="N182" s="170">
        <f>10000-5218</f>
        <v>4782</v>
      </c>
      <c r="O182" s="151">
        <f>SUM(P182:S182)</f>
        <v>6900</v>
      </c>
      <c r="P182" s="170"/>
      <c r="Q182" s="170"/>
      <c r="R182" s="170">
        <v>6900</v>
      </c>
      <c r="S182" s="170"/>
      <c r="T182" s="170"/>
      <c r="U182" s="170"/>
      <c r="V182" s="165"/>
      <c r="AA182" s="226"/>
      <c r="AB182" s="226"/>
      <c r="AC182" s="226"/>
      <c r="AD182" s="226"/>
      <c r="AE182" s="226"/>
      <c r="AF182" s="226"/>
      <c r="AG182" s="226"/>
      <c r="AH182" s="226"/>
    </row>
    <row r="183" spans="1:34" s="212" customFormat="1" ht="27" customHeight="1">
      <c r="A183" s="159" t="s">
        <v>644</v>
      </c>
      <c r="B183" s="160" t="s">
        <v>645</v>
      </c>
      <c r="C183" s="159"/>
      <c r="D183" s="159"/>
      <c r="E183" s="159"/>
      <c r="F183" s="161"/>
      <c r="G183" s="159"/>
      <c r="H183" s="159"/>
      <c r="I183" s="211">
        <f>I184</f>
        <v>94192</v>
      </c>
      <c r="J183" s="211">
        <f t="shared" ref="J183:V183" si="71">J184</f>
        <v>94192</v>
      </c>
      <c r="K183" s="211">
        <f t="shared" si="71"/>
        <v>70000</v>
      </c>
      <c r="L183" s="211">
        <f t="shared" si="71"/>
        <v>0</v>
      </c>
      <c r="M183" s="211">
        <f t="shared" si="71"/>
        <v>0</v>
      </c>
      <c r="N183" s="211">
        <f t="shared" si="71"/>
        <v>0</v>
      </c>
      <c r="O183" s="211">
        <f t="shared" si="71"/>
        <v>70000</v>
      </c>
      <c r="P183" s="211">
        <f t="shared" si="71"/>
        <v>0</v>
      </c>
      <c r="Q183" s="211">
        <f t="shared" si="71"/>
        <v>70000</v>
      </c>
      <c r="R183" s="211">
        <f t="shared" si="71"/>
        <v>0</v>
      </c>
      <c r="S183" s="211">
        <f t="shared" si="71"/>
        <v>0</v>
      </c>
      <c r="T183" s="211">
        <f t="shared" si="71"/>
        <v>0</v>
      </c>
      <c r="U183" s="211">
        <f t="shared" si="71"/>
        <v>0</v>
      </c>
      <c r="V183" s="211">
        <f t="shared" si="71"/>
        <v>0</v>
      </c>
      <c r="Z183" s="213"/>
      <c r="AA183" s="213"/>
      <c r="AB183" s="213"/>
      <c r="AC183" s="213"/>
      <c r="AD183" s="213"/>
      <c r="AE183" s="213"/>
      <c r="AF183" s="213"/>
      <c r="AG183" s="213"/>
      <c r="AH183" s="213"/>
    </row>
    <row r="184" spans="1:34" ht="30.2" customHeight="1">
      <c r="A184" s="214" t="s">
        <v>67</v>
      </c>
      <c r="B184" s="215" t="s">
        <v>101</v>
      </c>
      <c r="C184" s="214"/>
      <c r="D184" s="215"/>
      <c r="E184" s="214"/>
      <c r="F184" s="216"/>
      <c r="G184" s="214"/>
      <c r="H184" s="214"/>
      <c r="I184" s="217">
        <f t="shared" ref="I184:Q184" si="72">SUM(I185:I185)</f>
        <v>94192</v>
      </c>
      <c r="J184" s="217">
        <f t="shared" si="72"/>
        <v>94192</v>
      </c>
      <c r="K184" s="217">
        <f t="shared" si="72"/>
        <v>70000</v>
      </c>
      <c r="L184" s="217">
        <f t="shared" si="72"/>
        <v>0</v>
      </c>
      <c r="M184" s="217">
        <f t="shared" si="72"/>
        <v>0</v>
      </c>
      <c r="N184" s="217">
        <f t="shared" si="72"/>
        <v>0</v>
      </c>
      <c r="O184" s="218">
        <f t="shared" si="72"/>
        <v>70000</v>
      </c>
      <c r="P184" s="217">
        <f t="shared" si="72"/>
        <v>0</v>
      </c>
      <c r="Q184" s="217">
        <f t="shared" si="72"/>
        <v>70000</v>
      </c>
      <c r="R184" s="170"/>
      <c r="S184" s="170"/>
      <c r="T184" s="170"/>
      <c r="U184" s="170"/>
      <c r="V184" s="165"/>
      <c r="AA184" s="226"/>
      <c r="AB184" s="226"/>
      <c r="AC184" s="226"/>
      <c r="AD184" s="226"/>
      <c r="AE184" s="226"/>
      <c r="AF184" s="226"/>
      <c r="AG184" s="226"/>
      <c r="AH184" s="226"/>
    </row>
    <row r="185" spans="1:34" ht="75">
      <c r="A185" s="219">
        <v>1</v>
      </c>
      <c r="B185" s="220" t="s">
        <v>646</v>
      </c>
      <c r="C185" s="219" t="s">
        <v>595</v>
      </c>
      <c r="D185" s="219" t="s">
        <v>181</v>
      </c>
      <c r="E185" s="219" t="s">
        <v>2</v>
      </c>
      <c r="F185" s="221">
        <v>7625303</v>
      </c>
      <c r="G185" s="219" t="s">
        <v>549</v>
      </c>
      <c r="H185" s="219" t="s">
        <v>647</v>
      </c>
      <c r="I185" s="222">
        <v>94192</v>
      </c>
      <c r="J185" s="222">
        <v>94192</v>
      </c>
      <c r="K185" s="222">
        <f>28830+41170</f>
        <v>70000</v>
      </c>
      <c r="L185" s="223"/>
      <c r="M185" s="223"/>
      <c r="N185" s="223"/>
      <c r="O185" s="218">
        <f>SUM(P185:S185)</f>
        <v>70000</v>
      </c>
      <c r="P185" s="223"/>
      <c r="Q185" s="223">
        <v>70000</v>
      </c>
      <c r="R185" s="170"/>
      <c r="S185" s="170"/>
      <c r="T185" s="170"/>
      <c r="U185" s="170"/>
      <c r="V185" s="165"/>
      <c r="AA185" s="226"/>
      <c r="AB185" s="226"/>
      <c r="AC185" s="226"/>
      <c r="AD185" s="226"/>
      <c r="AE185" s="226"/>
      <c r="AF185" s="226"/>
      <c r="AG185" s="226"/>
      <c r="AH185" s="226"/>
    </row>
    <row r="186" spans="1:34">
      <c r="A186" s="166"/>
      <c r="B186" s="167"/>
      <c r="C186" s="166"/>
      <c r="D186" s="166"/>
      <c r="E186" s="166"/>
      <c r="F186" s="168"/>
      <c r="G186" s="166"/>
      <c r="H186" s="166"/>
      <c r="I186" s="169"/>
      <c r="J186" s="169"/>
      <c r="K186" s="169"/>
      <c r="L186" s="170"/>
      <c r="M186" s="170"/>
      <c r="N186" s="170"/>
      <c r="O186" s="151"/>
      <c r="P186" s="170"/>
      <c r="Q186" s="170"/>
      <c r="R186" s="170"/>
      <c r="S186" s="170"/>
      <c r="T186" s="170"/>
      <c r="U186" s="170"/>
      <c r="V186" s="165"/>
      <c r="AA186" s="226"/>
      <c r="AB186" s="226"/>
      <c r="AC186" s="226"/>
      <c r="AD186" s="226"/>
      <c r="AE186" s="226"/>
      <c r="AF186" s="226"/>
      <c r="AG186" s="226"/>
      <c r="AH186" s="226"/>
    </row>
    <row r="187" spans="1:34" ht="27.75" customHeight="1">
      <c r="A187" s="205" t="s">
        <v>2</v>
      </c>
      <c r="B187" s="206" t="s">
        <v>162</v>
      </c>
      <c r="C187" s="205"/>
      <c r="D187" s="206"/>
      <c r="E187" s="205"/>
      <c r="F187" s="207"/>
      <c r="G187" s="205"/>
      <c r="H187" s="205"/>
      <c r="I187" s="208">
        <f t="shared" ref="I187:S187" si="73">I188+I194+I200+I206+I210+I220+I229+I237+I245</f>
        <v>2439956.0994839999</v>
      </c>
      <c r="J187" s="208">
        <f t="shared" si="73"/>
        <v>2356956.0994839999</v>
      </c>
      <c r="K187" s="208">
        <f t="shared" si="73"/>
        <v>6054049</v>
      </c>
      <c r="L187" s="208">
        <f t="shared" si="73"/>
        <v>3949611</v>
      </c>
      <c r="M187" s="208">
        <f t="shared" si="73"/>
        <v>1171670</v>
      </c>
      <c r="N187" s="208">
        <f t="shared" si="73"/>
        <v>1106430</v>
      </c>
      <c r="O187" s="208">
        <f>O188+O194+O200+O206+O210+O220+O229+O237+O245</f>
        <v>1771280</v>
      </c>
      <c r="P187" s="208">
        <f t="shared" si="73"/>
        <v>820892</v>
      </c>
      <c r="Q187" s="208">
        <f t="shared" si="73"/>
        <v>325510</v>
      </c>
      <c r="R187" s="208">
        <f t="shared" si="73"/>
        <v>624878</v>
      </c>
      <c r="S187" s="208">
        <f t="shared" si="73"/>
        <v>0</v>
      </c>
      <c r="T187" s="208"/>
      <c r="U187" s="208"/>
      <c r="V187" s="209"/>
      <c r="AA187" s="226"/>
      <c r="AB187" s="226"/>
      <c r="AC187" s="226"/>
      <c r="AD187" s="226"/>
      <c r="AE187" s="226"/>
      <c r="AF187" s="226"/>
      <c r="AG187" s="226"/>
      <c r="AH187" s="226"/>
    </row>
    <row r="188" spans="1:34" ht="24.75" customHeight="1">
      <c r="A188" s="144" t="s">
        <v>5</v>
      </c>
      <c r="B188" s="145" t="s">
        <v>163</v>
      </c>
      <c r="C188" s="144"/>
      <c r="D188" s="145"/>
      <c r="E188" s="144"/>
      <c r="F188" s="146"/>
      <c r="G188" s="144"/>
      <c r="H188" s="144"/>
      <c r="I188" s="194">
        <f>I189+I190</f>
        <v>587316</v>
      </c>
      <c r="J188" s="194">
        <f t="shared" ref="J188:S188" si="74">J189+J190</f>
        <v>587316</v>
      </c>
      <c r="K188" s="194">
        <f t="shared" si="74"/>
        <v>873860</v>
      </c>
      <c r="L188" s="194">
        <f t="shared" si="74"/>
        <v>442128</v>
      </c>
      <c r="M188" s="194">
        <f t="shared" si="74"/>
        <v>442128</v>
      </c>
      <c r="N188" s="194">
        <f t="shared" si="74"/>
        <v>442128</v>
      </c>
      <c r="O188" s="195">
        <f t="shared" si="74"/>
        <v>340829</v>
      </c>
      <c r="P188" s="194">
        <f t="shared" si="74"/>
        <v>255432</v>
      </c>
      <c r="Q188" s="194">
        <f t="shared" si="74"/>
        <v>21841</v>
      </c>
      <c r="R188" s="194">
        <f t="shared" si="74"/>
        <v>63556</v>
      </c>
      <c r="S188" s="194">
        <f t="shared" si="74"/>
        <v>0</v>
      </c>
      <c r="T188" s="194"/>
      <c r="U188" s="194"/>
      <c r="V188" s="165"/>
      <c r="AA188" s="226"/>
      <c r="AB188" s="226"/>
      <c r="AC188" s="226"/>
      <c r="AD188" s="226"/>
      <c r="AE188" s="226"/>
      <c r="AF188" s="226"/>
      <c r="AG188" s="226"/>
      <c r="AH188" s="226"/>
    </row>
    <row r="189" spans="1:34" ht="24.75" customHeight="1">
      <c r="A189" s="144" t="s">
        <v>73</v>
      </c>
      <c r="B189" s="145" t="s">
        <v>164</v>
      </c>
      <c r="C189" s="144"/>
      <c r="D189" s="145"/>
      <c r="E189" s="144"/>
      <c r="F189" s="146"/>
      <c r="G189" s="144"/>
      <c r="H189" s="144"/>
      <c r="I189" s="194"/>
      <c r="J189" s="194"/>
      <c r="K189" s="196">
        <v>564257</v>
      </c>
      <c r="L189" s="194">
        <f>293183+129945</f>
        <v>423128</v>
      </c>
      <c r="M189" s="194">
        <f t="shared" ref="M189:N189" si="75">293183+129945</f>
        <v>423128</v>
      </c>
      <c r="N189" s="194">
        <f t="shared" si="75"/>
        <v>423128</v>
      </c>
      <c r="O189" s="151">
        <f>SUM(P189:S189)</f>
        <v>141129</v>
      </c>
      <c r="P189" s="194">
        <v>55732</v>
      </c>
      <c r="Q189" s="194">
        <v>21841</v>
      </c>
      <c r="R189" s="194">
        <v>63556</v>
      </c>
      <c r="S189" s="194"/>
      <c r="T189" s="194"/>
      <c r="U189" s="194"/>
      <c r="V189" s="165"/>
      <c r="AA189" s="226"/>
      <c r="AB189" s="226"/>
      <c r="AC189" s="226"/>
      <c r="AD189" s="226"/>
      <c r="AE189" s="226"/>
      <c r="AF189" s="226"/>
      <c r="AG189" s="226"/>
      <c r="AH189" s="226"/>
    </row>
    <row r="190" spans="1:34" ht="41.25" customHeight="1">
      <c r="A190" s="144" t="s">
        <v>60</v>
      </c>
      <c r="B190" s="145" t="s">
        <v>166</v>
      </c>
      <c r="C190" s="144"/>
      <c r="D190" s="145"/>
      <c r="E190" s="144"/>
      <c r="F190" s="146"/>
      <c r="G190" s="144"/>
      <c r="H190" s="144"/>
      <c r="I190" s="194">
        <f>SUM(I191:I193)</f>
        <v>587316</v>
      </c>
      <c r="J190" s="194">
        <f t="shared" ref="J190:S190" si="76">SUM(J191:J193)</f>
        <v>587316</v>
      </c>
      <c r="K190" s="194">
        <f t="shared" si="76"/>
        <v>309603</v>
      </c>
      <c r="L190" s="194">
        <f t="shared" si="76"/>
        <v>19000</v>
      </c>
      <c r="M190" s="194">
        <f t="shared" si="76"/>
        <v>19000</v>
      </c>
      <c r="N190" s="194">
        <f t="shared" si="76"/>
        <v>19000</v>
      </c>
      <c r="O190" s="195">
        <f t="shared" si="76"/>
        <v>199700</v>
      </c>
      <c r="P190" s="194">
        <f t="shared" si="76"/>
        <v>199700</v>
      </c>
      <c r="Q190" s="194">
        <f t="shared" si="76"/>
        <v>0</v>
      </c>
      <c r="R190" s="194">
        <f t="shared" si="76"/>
        <v>0</v>
      </c>
      <c r="S190" s="194">
        <f t="shared" si="76"/>
        <v>0</v>
      </c>
      <c r="T190" s="194"/>
      <c r="U190" s="194"/>
      <c r="V190" s="165"/>
      <c r="AA190" s="226"/>
      <c r="AB190" s="226"/>
      <c r="AC190" s="226"/>
      <c r="AD190" s="226"/>
      <c r="AE190" s="226"/>
      <c r="AF190" s="226"/>
      <c r="AG190" s="226"/>
      <c r="AH190" s="226"/>
    </row>
    <row r="191" spans="1:34" ht="93.75" customHeight="1">
      <c r="A191" s="166">
        <v>1</v>
      </c>
      <c r="B191" s="167" t="s">
        <v>462</v>
      </c>
      <c r="C191" s="166" t="s">
        <v>29</v>
      </c>
      <c r="D191" s="166" t="s">
        <v>580</v>
      </c>
      <c r="E191" s="166" t="s">
        <v>2</v>
      </c>
      <c r="F191" s="168">
        <v>7566604</v>
      </c>
      <c r="G191" s="166" t="s">
        <v>18</v>
      </c>
      <c r="H191" s="166" t="s">
        <v>581</v>
      </c>
      <c r="I191" s="196">
        <v>64589</v>
      </c>
      <c r="J191" s="196">
        <v>64589</v>
      </c>
      <c r="K191" s="196">
        <v>50000</v>
      </c>
      <c r="L191" s="197">
        <f>10000+14000-5000</f>
        <v>19000</v>
      </c>
      <c r="M191" s="197">
        <f>24000-5000</f>
        <v>19000</v>
      </c>
      <c r="N191" s="197">
        <f>24000-5000</f>
        <v>19000</v>
      </c>
      <c r="O191" s="151">
        <f>SUM(P191:S191)</f>
        <v>5000</v>
      </c>
      <c r="P191" s="197">
        <v>5000</v>
      </c>
      <c r="Q191" s="197"/>
      <c r="R191" s="197"/>
      <c r="S191" s="197"/>
      <c r="T191" s="197"/>
      <c r="U191" s="197"/>
      <c r="V191" s="165"/>
      <c r="AA191" s="226"/>
      <c r="AB191" s="226"/>
      <c r="AC191" s="226"/>
      <c r="AD191" s="226"/>
      <c r="AE191" s="226"/>
      <c r="AF191" s="226"/>
      <c r="AG191" s="226"/>
      <c r="AH191" s="226"/>
    </row>
    <row r="192" spans="1:34" ht="82.5">
      <c r="A192" s="166">
        <v>2</v>
      </c>
      <c r="B192" s="167" t="s">
        <v>463</v>
      </c>
      <c r="C192" s="166" t="s">
        <v>29</v>
      </c>
      <c r="D192" s="166" t="s">
        <v>580</v>
      </c>
      <c r="E192" s="166" t="s">
        <v>2</v>
      </c>
      <c r="F192" s="198"/>
      <c r="G192" s="166" t="s">
        <v>582</v>
      </c>
      <c r="H192" s="166" t="s">
        <v>583</v>
      </c>
      <c r="I192" s="196">
        <v>460894</v>
      </c>
      <c r="J192" s="196">
        <v>460894</v>
      </c>
      <c r="K192" s="196">
        <f>273000-38397</f>
        <v>234603</v>
      </c>
      <c r="L192" s="197"/>
      <c r="M192" s="197">
        <v>0</v>
      </c>
      <c r="N192" s="197"/>
      <c r="O192" s="151">
        <f>SUM(P192:S192)</f>
        <v>169700</v>
      </c>
      <c r="P192" s="196">
        <f>160000+9700</f>
        <v>169700</v>
      </c>
      <c r="Q192" s="196"/>
      <c r="R192" s="196"/>
      <c r="S192" s="196"/>
      <c r="T192" s="196"/>
      <c r="U192" s="196"/>
      <c r="V192" s="165"/>
      <c r="AA192" s="226"/>
      <c r="AB192" s="226"/>
      <c r="AC192" s="226"/>
      <c r="AD192" s="226"/>
      <c r="AE192" s="226"/>
      <c r="AF192" s="226"/>
      <c r="AG192" s="226"/>
      <c r="AH192" s="226"/>
    </row>
    <row r="193" spans="1:34" ht="82.5">
      <c r="A193" s="166">
        <v>3</v>
      </c>
      <c r="B193" s="167" t="s">
        <v>464</v>
      </c>
      <c r="C193" s="166" t="s">
        <v>29</v>
      </c>
      <c r="D193" s="166" t="s">
        <v>580</v>
      </c>
      <c r="E193" s="166" t="s">
        <v>3</v>
      </c>
      <c r="F193" s="168">
        <v>7764457</v>
      </c>
      <c r="G193" s="166" t="s">
        <v>549</v>
      </c>
      <c r="H193" s="166" t="s">
        <v>584</v>
      </c>
      <c r="I193" s="196">
        <v>61833</v>
      </c>
      <c r="J193" s="196">
        <v>61833</v>
      </c>
      <c r="K193" s="196">
        <v>25000</v>
      </c>
      <c r="L193" s="197"/>
      <c r="M193" s="197">
        <v>0</v>
      </c>
      <c r="N193" s="197"/>
      <c r="O193" s="151">
        <f>SUM(P193:S193)</f>
        <v>25000</v>
      </c>
      <c r="P193" s="196">
        <v>25000</v>
      </c>
      <c r="Q193" s="196"/>
      <c r="R193" s="196"/>
      <c r="S193" s="196"/>
      <c r="T193" s="196"/>
      <c r="U193" s="196"/>
      <c r="V193" s="165"/>
      <c r="AA193" s="226"/>
      <c r="AB193" s="226"/>
      <c r="AC193" s="226"/>
      <c r="AD193" s="226"/>
      <c r="AE193" s="226"/>
      <c r="AF193" s="226"/>
      <c r="AG193" s="226"/>
      <c r="AH193" s="226"/>
    </row>
    <row r="194" spans="1:34" ht="23.25" customHeight="1">
      <c r="A194" s="144" t="s">
        <v>6</v>
      </c>
      <c r="B194" s="145" t="s">
        <v>165</v>
      </c>
      <c r="C194" s="144"/>
      <c r="D194" s="145"/>
      <c r="E194" s="144"/>
      <c r="F194" s="146"/>
      <c r="G194" s="144"/>
      <c r="H194" s="144"/>
      <c r="I194" s="194">
        <f t="shared" ref="I194:S194" si="77">I195+I196</f>
        <v>394330</v>
      </c>
      <c r="J194" s="194">
        <f t="shared" si="77"/>
        <v>311330</v>
      </c>
      <c r="K194" s="194">
        <f t="shared" si="77"/>
        <v>653229</v>
      </c>
      <c r="L194" s="194">
        <f t="shared" si="77"/>
        <v>436262</v>
      </c>
      <c r="M194" s="194">
        <f t="shared" si="77"/>
        <v>169730</v>
      </c>
      <c r="N194" s="194">
        <f t="shared" si="77"/>
        <v>104490</v>
      </c>
      <c r="O194" s="195">
        <f t="shared" si="77"/>
        <v>175228</v>
      </c>
      <c r="P194" s="194">
        <f t="shared" si="77"/>
        <v>105938</v>
      </c>
      <c r="Q194" s="194">
        <f t="shared" si="77"/>
        <v>19457</v>
      </c>
      <c r="R194" s="194">
        <f t="shared" si="77"/>
        <v>49833</v>
      </c>
      <c r="S194" s="194">
        <f t="shared" si="77"/>
        <v>0</v>
      </c>
      <c r="T194" s="194"/>
      <c r="U194" s="194"/>
      <c r="V194" s="158"/>
      <c r="AA194" s="226"/>
      <c r="AB194" s="226"/>
      <c r="AC194" s="226"/>
      <c r="AD194" s="226"/>
      <c r="AE194" s="226"/>
      <c r="AF194" s="226"/>
      <c r="AG194" s="226"/>
      <c r="AH194" s="226"/>
    </row>
    <row r="195" spans="1:34" ht="42" customHeight="1">
      <c r="A195" s="144" t="s">
        <v>73</v>
      </c>
      <c r="B195" s="145" t="s">
        <v>164</v>
      </c>
      <c r="C195" s="144"/>
      <c r="D195" s="145"/>
      <c r="E195" s="144"/>
      <c r="F195" s="146"/>
      <c r="G195" s="144"/>
      <c r="H195" s="144"/>
      <c r="I195" s="196">
        <v>0</v>
      </c>
      <c r="J195" s="196">
        <v>0</v>
      </c>
      <c r="K195" s="196">
        <v>442429</v>
      </c>
      <c r="L195" s="194">
        <f>229882+101890</f>
        <v>331772</v>
      </c>
      <c r="M195" s="194"/>
      <c r="N195" s="194"/>
      <c r="O195" s="151">
        <f>SUM(P195:S195)</f>
        <v>110657</v>
      </c>
      <c r="P195" s="194">
        <v>43698</v>
      </c>
      <c r="Q195" s="194">
        <v>17126</v>
      </c>
      <c r="R195" s="194">
        <v>49833</v>
      </c>
      <c r="S195" s="194"/>
      <c r="T195" s="194"/>
      <c r="U195" s="194"/>
      <c r="V195" s="165"/>
      <c r="AA195" s="226"/>
      <c r="AB195" s="226"/>
      <c r="AC195" s="226"/>
      <c r="AD195" s="226"/>
      <c r="AE195" s="226"/>
      <c r="AF195" s="226"/>
      <c r="AG195" s="226"/>
      <c r="AH195" s="226"/>
    </row>
    <row r="196" spans="1:34" ht="44.45" customHeight="1">
      <c r="A196" s="144" t="s">
        <v>60</v>
      </c>
      <c r="B196" s="145" t="s">
        <v>166</v>
      </c>
      <c r="C196" s="144"/>
      <c r="D196" s="145"/>
      <c r="E196" s="144"/>
      <c r="F196" s="146"/>
      <c r="G196" s="144"/>
      <c r="H196" s="144"/>
      <c r="I196" s="194">
        <f t="shared" ref="I196:S196" si="78">SUM(I197:I199)</f>
        <v>394330</v>
      </c>
      <c r="J196" s="194">
        <f t="shared" si="78"/>
        <v>311330</v>
      </c>
      <c r="K196" s="194">
        <f t="shared" si="78"/>
        <v>210800</v>
      </c>
      <c r="L196" s="194">
        <f t="shared" si="78"/>
        <v>104490</v>
      </c>
      <c r="M196" s="194">
        <f t="shared" si="78"/>
        <v>169730</v>
      </c>
      <c r="N196" s="194">
        <f t="shared" si="78"/>
        <v>104490</v>
      </c>
      <c r="O196" s="195">
        <f t="shared" si="78"/>
        <v>64571</v>
      </c>
      <c r="P196" s="194">
        <f t="shared" si="78"/>
        <v>62240</v>
      </c>
      <c r="Q196" s="194">
        <f t="shared" si="78"/>
        <v>2331</v>
      </c>
      <c r="R196" s="194">
        <f t="shared" si="78"/>
        <v>0</v>
      </c>
      <c r="S196" s="194">
        <f t="shared" si="78"/>
        <v>0</v>
      </c>
      <c r="T196" s="194"/>
      <c r="U196" s="194"/>
      <c r="V196" s="165"/>
      <c r="AA196" s="226"/>
      <c r="AB196" s="226"/>
      <c r="AC196" s="226"/>
      <c r="AD196" s="226"/>
      <c r="AE196" s="226"/>
      <c r="AF196" s="226"/>
      <c r="AG196" s="226"/>
      <c r="AH196" s="226"/>
    </row>
    <row r="197" spans="1:34" ht="91.5" customHeight="1">
      <c r="A197" s="166">
        <v>1</v>
      </c>
      <c r="B197" s="167" t="s">
        <v>465</v>
      </c>
      <c r="C197" s="166" t="s">
        <v>17</v>
      </c>
      <c r="D197" s="166" t="s">
        <v>585</v>
      </c>
      <c r="E197" s="166" t="s">
        <v>2</v>
      </c>
      <c r="F197" s="168" t="s">
        <v>586</v>
      </c>
      <c r="G197" s="166" t="s">
        <v>22</v>
      </c>
      <c r="H197" s="166" t="s">
        <v>587</v>
      </c>
      <c r="I197" s="196">
        <v>150123</v>
      </c>
      <c r="J197" s="196">
        <v>150123</v>
      </c>
      <c r="K197" s="196">
        <v>108800</v>
      </c>
      <c r="L197" s="197">
        <f>96233-1814</f>
        <v>94419</v>
      </c>
      <c r="M197" s="197">
        <f>96233-1814</f>
        <v>94419</v>
      </c>
      <c r="N197" s="197">
        <f>96233-1814</f>
        <v>94419</v>
      </c>
      <c r="O197" s="151">
        <f>SUM(P197:S197)</f>
        <v>2331</v>
      </c>
      <c r="P197" s="196"/>
      <c r="Q197" s="196">
        <v>2331</v>
      </c>
      <c r="R197" s="196"/>
      <c r="S197" s="196"/>
      <c r="T197" s="196"/>
      <c r="U197" s="196"/>
      <c r="V197" s="165"/>
      <c r="AA197" s="226"/>
      <c r="AB197" s="226"/>
      <c r="AC197" s="226"/>
      <c r="AD197" s="226"/>
      <c r="AE197" s="226"/>
      <c r="AF197" s="226"/>
      <c r="AG197" s="226"/>
      <c r="AH197" s="226"/>
    </row>
    <row r="198" spans="1:34" ht="132">
      <c r="A198" s="166">
        <v>2</v>
      </c>
      <c r="B198" s="167" t="s">
        <v>466</v>
      </c>
      <c r="C198" s="166" t="s">
        <v>17</v>
      </c>
      <c r="D198" s="166" t="s">
        <v>585</v>
      </c>
      <c r="E198" s="166" t="s">
        <v>2</v>
      </c>
      <c r="F198" s="168">
        <v>7620383</v>
      </c>
      <c r="G198" s="166" t="s">
        <v>34</v>
      </c>
      <c r="H198" s="166" t="s">
        <v>588</v>
      </c>
      <c r="I198" s="196">
        <v>139610</v>
      </c>
      <c r="J198" s="196">
        <f>I198-83000</f>
        <v>56610</v>
      </c>
      <c r="K198" s="196">
        <v>42000</v>
      </c>
      <c r="L198" s="197">
        <v>10071</v>
      </c>
      <c r="M198" s="197">
        <v>75311</v>
      </c>
      <c r="N198" s="197">
        <v>10071</v>
      </c>
      <c r="O198" s="151">
        <f>SUM(P198:S198)</f>
        <v>12240</v>
      </c>
      <c r="P198" s="196">
        <v>12240</v>
      </c>
      <c r="Q198" s="196"/>
      <c r="R198" s="196"/>
      <c r="S198" s="196"/>
      <c r="T198" s="196"/>
      <c r="U198" s="196"/>
      <c r="V198" s="165"/>
      <c r="AA198" s="226"/>
      <c r="AB198" s="226"/>
      <c r="AC198" s="226"/>
      <c r="AD198" s="226"/>
      <c r="AE198" s="226"/>
      <c r="AF198" s="226"/>
      <c r="AG198" s="226"/>
      <c r="AH198" s="226"/>
    </row>
    <row r="199" spans="1:34" ht="82.5">
      <c r="A199" s="166">
        <v>3</v>
      </c>
      <c r="B199" s="167" t="s">
        <v>467</v>
      </c>
      <c r="C199" s="166" t="s">
        <v>17</v>
      </c>
      <c r="D199" s="166" t="s">
        <v>585</v>
      </c>
      <c r="E199" s="166" t="s">
        <v>2</v>
      </c>
      <c r="F199" s="168">
        <v>7783948</v>
      </c>
      <c r="G199" s="166" t="s">
        <v>549</v>
      </c>
      <c r="H199" s="166" t="s">
        <v>589</v>
      </c>
      <c r="I199" s="196">
        <v>104597</v>
      </c>
      <c r="J199" s="196">
        <v>104597</v>
      </c>
      <c r="K199" s="196">
        <v>60000</v>
      </c>
      <c r="L199" s="197"/>
      <c r="M199" s="197"/>
      <c r="N199" s="197"/>
      <c r="O199" s="151">
        <f>SUM(P199:S199)</f>
        <v>50000</v>
      </c>
      <c r="P199" s="196">
        <f>60000-10000</f>
        <v>50000</v>
      </c>
      <c r="Q199" s="196"/>
      <c r="R199" s="196"/>
      <c r="S199" s="196"/>
      <c r="T199" s="196"/>
      <c r="U199" s="196"/>
      <c r="V199" s="165"/>
      <c r="AA199" s="226"/>
      <c r="AB199" s="226"/>
      <c r="AC199" s="226"/>
      <c r="AD199" s="226"/>
      <c r="AE199" s="226"/>
      <c r="AF199" s="226"/>
      <c r="AG199" s="226"/>
      <c r="AH199" s="226"/>
    </row>
    <row r="200" spans="1:34" ht="27.75" customHeight="1">
      <c r="A200" s="144" t="s">
        <v>24</v>
      </c>
      <c r="B200" s="145" t="s">
        <v>167</v>
      </c>
      <c r="C200" s="144"/>
      <c r="D200" s="145"/>
      <c r="E200" s="144"/>
      <c r="F200" s="146"/>
      <c r="G200" s="144"/>
      <c r="H200" s="144"/>
      <c r="I200" s="194">
        <f t="shared" ref="I200:S200" si="79">I201+I202</f>
        <v>347715</v>
      </c>
      <c r="J200" s="194">
        <f t="shared" si="79"/>
        <v>347715</v>
      </c>
      <c r="K200" s="194">
        <f t="shared" si="79"/>
        <v>651455</v>
      </c>
      <c r="L200" s="194">
        <f t="shared" si="79"/>
        <v>352106</v>
      </c>
      <c r="M200" s="194">
        <f t="shared" si="79"/>
        <v>60152</v>
      </c>
      <c r="N200" s="194">
        <f t="shared" si="79"/>
        <v>60152</v>
      </c>
      <c r="O200" s="195">
        <f t="shared" si="79"/>
        <v>186147</v>
      </c>
      <c r="P200" s="194">
        <f t="shared" si="79"/>
        <v>117247</v>
      </c>
      <c r="Q200" s="194">
        <f t="shared" si="79"/>
        <v>17622</v>
      </c>
      <c r="R200" s="194">
        <f t="shared" si="79"/>
        <v>51278</v>
      </c>
      <c r="S200" s="194">
        <f t="shared" si="79"/>
        <v>0</v>
      </c>
      <c r="T200" s="194"/>
      <c r="U200" s="194"/>
      <c r="V200" s="165"/>
      <c r="AA200" s="226"/>
      <c r="AB200" s="226"/>
      <c r="AC200" s="226"/>
      <c r="AD200" s="226"/>
      <c r="AE200" s="226"/>
      <c r="AF200" s="226"/>
      <c r="AG200" s="226"/>
      <c r="AH200" s="226"/>
    </row>
    <row r="201" spans="1:34" ht="41.25" customHeight="1">
      <c r="A201" s="144" t="s">
        <v>73</v>
      </c>
      <c r="B201" s="145" t="s">
        <v>164</v>
      </c>
      <c r="C201" s="144"/>
      <c r="D201" s="145"/>
      <c r="E201" s="144"/>
      <c r="F201" s="146"/>
      <c r="G201" s="144"/>
      <c r="H201" s="144"/>
      <c r="I201" s="190">
        <v>0</v>
      </c>
      <c r="J201" s="190">
        <v>0</v>
      </c>
      <c r="K201" s="196">
        <v>455253</v>
      </c>
      <c r="L201" s="199">
        <f>237264+104842</f>
        <v>342106</v>
      </c>
      <c r="M201" s="199"/>
      <c r="N201" s="199"/>
      <c r="O201" s="151">
        <f>SUM(P201:S201)</f>
        <v>113147</v>
      </c>
      <c r="P201" s="199">
        <v>44247</v>
      </c>
      <c r="Q201" s="199">
        <v>17622</v>
      </c>
      <c r="R201" s="199">
        <v>51278</v>
      </c>
      <c r="S201" s="199"/>
      <c r="T201" s="199"/>
      <c r="U201" s="199"/>
      <c r="V201" s="165"/>
      <c r="AA201" s="226"/>
      <c r="AB201" s="226"/>
      <c r="AC201" s="226"/>
      <c r="AD201" s="226"/>
      <c r="AE201" s="226"/>
      <c r="AF201" s="226"/>
      <c r="AG201" s="226"/>
      <c r="AH201" s="226"/>
    </row>
    <row r="202" spans="1:34" ht="46.5" customHeight="1">
      <c r="A202" s="144" t="s">
        <v>60</v>
      </c>
      <c r="B202" s="145" t="s">
        <v>166</v>
      </c>
      <c r="C202" s="144"/>
      <c r="D202" s="145"/>
      <c r="E202" s="144"/>
      <c r="F202" s="146"/>
      <c r="G202" s="144"/>
      <c r="H202" s="144"/>
      <c r="I202" s="194">
        <f t="shared" ref="I202:S202" si="80">SUM(I203:I205)</f>
        <v>347715</v>
      </c>
      <c r="J202" s="194">
        <f t="shared" si="80"/>
        <v>347715</v>
      </c>
      <c r="K202" s="194">
        <f t="shared" si="80"/>
        <v>196202</v>
      </c>
      <c r="L202" s="194">
        <f t="shared" si="80"/>
        <v>10000</v>
      </c>
      <c r="M202" s="194">
        <f t="shared" si="80"/>
        <v>60152</v>
      </c>
      <c r="N202" s="194">
        <f t="shared" si="80"/>
        <v>60152</v>
      </c>
      <c r="O202" s="195">
        <f t="shared" si="80"/>
        <v>73000</v>
      </c>
      <c r="P202" s="194">
        <f t="shared" si="80"/>
        <v>73000</v>
      </c>
      <c r="Q202" s="194">
        <f t="shared" si="80"/>
        <v>0</v>
      </c>
      <c r="R202" s="194">
        <f t="shared" si="80"/>
        <v>0</v>
      </c>
      <c r="S202" s="194">
        <f t="shared" si="80"/>
        <v>0</v>
      </c>
      <c r="T202" s="194"/>
      <c r="U202" s="194"/>
      <c r="V202" s="165"/>
      <c r="AA202" s="226"/>
      <c r="AB202" s="226"/>
      <c r="AC202" s="226"/>
      <c r="AD202" s="226"/>
      <c r="AE202" s="226"/>
      <c r="AF202" s="226"/>
      <c r="AG202" s="226"/>
      <c r="AH202" s="226"/>
    </row>
    <row r="203" spans="1:34" ht="82.5">
      <c r="A203" s="166">
        <v>1</v>
      </c>
      <c r="B203" s="167" t="s">
        <v>468</v>
      </c>
      <c r="C203" s="166" t="s">
        <v>14</v>
      </c>
      <c r="D203" s="166" t="s">
        <v>590</v>
      </c>
      <c r="E203" s="166" t="s">
        <v>3</v>
      </c>
      <c r="F203" s="168">
        <v>7562539</v>
      </c>
      <c r="G203" s="166" t="s">
        <v>502</v>
      </c>
      <c r="H203" s="166" t="s">
        <v>591</v>
      </c>
      <c r="I203" s="190">
        <v>33933</v>
      </c>
      <c r="J203" s="190">
        <v>33933</v>
      </c>
      <c r="K203" s="190">
        <v>31000</v>
      </c>
      <c r="L203" s="190">
        <v>0</v>
      </c>
      <c r="M203" s="190"/>
      <c r="N203" s="190"/>
      <c r="O203" s="151">
        <f>SUM(P203:S203)</f>
        <v>10000</v>
      </c>
      <c r="P203" s="190">
        <v>10000</v>
      </c>
      <c r="Q203" s="190"/>
      <c r="R203" s="190"/>
      <c r="S203" s="190"/>
      <c r="T203" s="190"/>
      <c r="U203" s="190"/>
      <c r="V203" s="200"/>
      <c r="AA203" s="226"/>
      <c r="AB203" s="226"/>
      <c r="AC203" s="226"/>
      <c r="AD203" s="226"/>
      <c r="AE203" s="226"/>
      <c r="AF203" s="226"/>
      <c r="AG203" s="226"/>
      <c r="AH203" s="226"/>
    </row>
    <row r="204" spans="1:34" ht="148.5">
      <c r="A204" s="166">
        <v>2</v>
      </c>
      <c r="B204" s="167" t="s">
        <v>354</v>
      </c>
      <c r="C204" s="166" t="s">
        <v>14</v>
      </c>
      <c r="D204" s="166" t="s">
        <v>590</v>
      </c>
      <c r="E204" s="166" t="s">
        <v>3</v>
      </c>
      <c r="F204" s="168">
        <v>7607855</v>
      </c>
      <c r="G204" s="166" t="s">
        <v>22</v>
      </c>
      <c r="H204" s="166" t="s">
        <v>358</v>
      </c>
      <c r="I204" s="201">
        <v>74446</v>
      </c>
      <c r="J204" s="201">
        <v>74446</v>
      </c>
      <c r="K204" s="190">
        <v>65202</v>
      </c>
      <c r="L204" s="190">
        <v>10000</v>
      </c>
      <c r="M204" s="190">
        <f>10000+50152</f>
        <v>60152</v>
      </c>
      <c r="N204" s="190">
        <f>10000+50152</f>
        <v>60152</v>
      </c>
      <c r="O204" s="151">
        <f>SUM(P204:S204)</f>
        <v>3000</v>
      </c>
      <c r="P204" s="190">
        <v>3000</v>
      </c>
      <c r="Q204" s="190"/>
      <c r="R204" s="190"/>
      <c r="S204" s="190"/>
      <c r="T204" s="190"/>
      <c r="U204" s="190"/>
      <c r="V204" s="202" t="s">
        <v>641</v>
      </c>
      <c r="AA204" s="226"/>
      <c r="AB204" s="226"/>
      <c r="AC204" s="226"/>
      <c r="AD204" s="226"/>
      <c r="AE204" s="226"/>
      <c r="AF204" s="226"/>
      <c r="AG204" s="226"/>
      <c r="AH204" s="226"/>
    </row>
    <row r="205" spans="1:34" ht="82.5">
      <c r="A205" s="166">
        <v>3</v>
      </c>
      <c r="B205" s="167" t="s">
        <v>469</v>
      </c>
      <c r="C205" s="166" t="s">
        <v>14</v>
      </c>
      <c r="D205" s="166" t="s">
        <v>590</v>
      </c>
      <c r="E205" s="166" t="s">
        <v>2</v>
      </c>
      <c r="F205" s="168">
        <v>7783803</v>
      </c>
      <c r="G205" s="166" t="s">
        <v>549</v>
      </c>
      <c r="H205" s="166" t="s">
        <v>592</v>
      </c>
      <c r="I205" s="190">
        <v>239336</v>
      </c>
      <c r="J205" s="190">
        <v>239336</v>
      </c>
      <c r="K205" s="190">
        <v>100000</v>
      </c>
      <c r="L205" s="190"/>
      <c r="M205" s="190"/>
      <c r="N205" s="190"/>
      <c r="O205" s="151">
        <f>SUM(P205:S205)</f>
        <v>60000</v>
      </c>
      <c r="P205" s="190">
        <v>60000</v>
      </c>
      <c r="Q205" s="190"/>
      <c r="R205" s="190"/>
      <c r="S205" s="190"/>
      <c r="T205" s="190"/>
      <c r="U205" s="190"/>
      <c r="V205" s="200"/>
      <c r="AA205" s="226"/>
      <c r="AB205" s="226"/>
      <c r="AC205" s="226"/>
      <c r="AD205" s="226"/>
      <c r="AE205" s="226"/>
      <c r="AF205" s="226"/>
      <c r="AG205" s="226"/>
      <c r="AH205" s="226"/>
    </row>
    <row r="206" spans="1:34">
      <c r="A206" s="144" t="s">
        <v>26</v>
      </c>
      <c r="B206" s="145" t="s">
        <v>168</v>
      </c>
      <c r="C206" s="144"/>
      <c r="D206" s="145"/>
      <c r="E206" s="144"/>
      <c r="F206" s="146"/>
      <c r="G206" s="144"/>
      <c r="H206" s="144"/>
      <c r="I206" s="194">
        <f>I207+I208</f>
        <v>49322</v>
      </c>
      <c r="J206" s="194">
        <f t="shared" ref="J206:S206" si="81">J207+J208</f>
        <v>49322</v>
      </c>
      <c r="K206" s="194">
        <f t="shared" si="81"/>
        <v>529726</v>
      </c>
      <c r="L206" s="194">
        <f t="shared" si="81"/>
        <v>370238</v>
      </c>
      <c r="M206" s="194">
        <f t="shared" si="81"/>
        <v>0</v>
      </c>
      <c r="N206" s="194">
        <f t="shared" si="81"/>
        <v>0</v>
      </c>
      <c r="O206" s="195">
        <f t="shared" si="81"/>
        <v>159488</v>
      </c>
      <c r="P206" s="194">
        <f t="shared" si="81"/>
        <v>48766</v>
      </c>
      <c r="Q206" s="194">
        <f t="shared" si="81"/>
        <v>55111</v>
      </c>
      <c r="R206" s="194">
        <f t="shared" si="81"/>
        <v>55611</v>
      </c>
      <c r="S206" s="194">
        <f t="shared" si="81"/>
        <v>0</v>
      </c>
      <c r="T206" s="194"/>
      <c r="U206" s="194"/>
      <c r="V206" s="200"/>
      <c r="AA206" s="226"/>
      <c r="AB206" s="226"/>
      <c r="AC206" s="226"/>
      <c r="AD206" s="226"/>
      <c r="AE206" s="226"/>
      <c r="AF206" s="226"/>
      <c r="AG206" s="226"/>
      <c r="AH206" s="226"/>
    </row>
    <row r="207" spans="1:34">
      <c r="A207" s="144" t="s">
        <v>73</v>
      </c>
      <c r="B207" s="145" t="s">
        <v>164</v>
      </c>
      <c r="C207" s="144"/>
      <c r="D207" s="145"/>
      <c r="E207" s="144"/>
      <c r="F207" s="146"/>
      <c r="G207" s="144"/>
      <c r="H207" s="144"/>
      <c r="I207" s="196">
        <v>0</v>
      </c>
      <c r="J207" s="196">
        <v>0</v>
      </c>
      <c r="K207" s="196">
        <v>493726</v>
      </c>
      <c r="L207" s="194">
        <f>256536+113702</f>
        <v>370238</v>
      </c>
      <c r="M207" s="194"/>
      <c r="N207" s="194"/>
      <c r="O207" s="195">
        <v>123488</v>
      </c>
      <c r="P207" s="194">
        <v>48766</v>
      </c>
      <c r="Q207" s="194">
        <v>19111</v>
      </c>
      <c r="R207" s="194">
        <v>55611</v>
      </c>
      <c r="S207" s="194"/>
      <c r="T207" s="194"/>
      <c r="U207" s="194"/>
      <c r="V207" s="200"/>
      <c r="AA207" s="226"/>
      <c r="AB207" s="226"/>
      <c r="AC207" s="226"/>
      <c r="AD207" s="226"/>
      <c r="AE207" s="226"/>
      <c r="AF207" s="226"/>
      <c r="AG207" s="226"/>
      <c r="AH207" s="226"/>
    </row>
    <row r="208" spans="1:34" ht="33">
      <c r="A208" s="144" t="s">
        <v>60</v>
      </c>
      <c r="B208" s="145" t="s">
        <v>166</v>
      </c>
      <c r="C208" s="144"/>
      <c r="D208" s="145"/>
      <c r="E208" s="144"/>
      <c r="F208" s="146"/>
      <c r="G208" s="144"/>
      <c r="H208" s="144"/>
      <c r="I208" s="194">
        <f>I209</f>
        <v>49322</v>
      </c>
      <c r="J208" s="194">
        <f t="shared" ref="J208:S208" si="82">J209</f>
        <v>49322</v>
      </c>
      <c r="K208" s="194">
        <f t="shared" si="82"/>
        <v>36000</v>
      </c>
      <c r="L208" s="194">
        <f t="shared" si="82"/>
        <v>0</v>
      </c>
      <c r="M208" s="194">
        <f t="shared" si="82"/>
        <v>0</v>
      </c>
      <c r="N208" s="194">
        <f t="shared" si="82"/>
        <v>0</v>
      </c>
      <c r="O208" s="195">
        <f t="shared" si="82"/>
        <v>36000</v>
      </c>
      <c r="P208" s="194">
        <f t="shared" si="82"/>
        <v>0</v>
      </c>
      <c r="Q208" s="194">
        <f t="shared" si="82"/>
        <v>36000</v>
      </c>
      <c r="R208" s="194">
        <f t="shared" si="82"/>
        <v>0</v>
      </c>
      <c r="S208" s="194">
        <f t="shared" si="82"/>
        <v>0</v>
      </c>
      <c r="T208" s="194"/>
      <c r="U208" s="194"/>
      <c r="V208" s="165"/>
      <c r="AA208" s="226"/>
      <c r="AB208" s="226"/>
      <c r="AC208" s="226"/>
      <c r="AD208" s="226"/>
      <c r="AE208" s="226"/>
      <c r="AF208" s="226"/>
      <c r="AG208" s="226"/>
      <c r="AH208" s="226"/>
    </row>
    <row r="209" spans="1:34" ht="82.5">
      <c r="A209" s="166">
        <v>1</v>
      </c>
      <c r="B209" s="167" t="s">
        <v>470</v>
      </c>
      <c r="C209" s="166" t="s">
        <v>64</v>
      </c>
      <c r="D209" s="166" t="s">
        <v>593</v>
      </c>
      <c r="E209" s="166" t="s">
        <v>3</v>
      </c>
      <c r="F209" s="168"/>
      <c r="G209" s="166" t="s">
        <v>549</v>
      </c>
      <c r="H209" s="166" t="s">
        <v>594</v>
      </c>
      <c r="I209" s="190">
        <v>49322</v>
      </c>
      <c r="J209" s="190">
        <v>49322</v>
      </c>
      <c r="K209" s="190">
        <v>36000</v>
      </c>
      <c r="L209" s="190"/>
      <c r="M209" s="190"/>
      <c r="N209" s="190"/>
      <c r="O209" s="151">
        <f>SUM(P209:S209)</f>
        <v>36000</v>
      </c>
      <c r="P209" s="190"/>
      <c r="Q209" s="190">
        <v>36000</v>
      </c>
      <c r="R209" s="190"/>
      <c r="S209" s="190"/>
      <c r="T209" s="190"/>
      <c r="U209" s="190"/>
      <c r="V209" s="200"/>
      <c r="AA209" s="226"/>
      <c r="AB209" s="226"/>
      <c r="AC209" s="226"/>
      <c r="AD209" s="226"/>
      <c r="AE209" s="226"/>
      <c r="AF209" s="226"/>
      <c r="AG209" s="226"/>
      <c r="AH209" s="226"/>
    </row>
    <row r="210" spans="1:34" ht="31.7" customHeight="1">
      <c r="A210" s="144" t="s">
        <v>28</v>
      </c>
      <c r="B210" s="145" t="s">
        <v>169</v>
      </c>
      <c r="C210" s="144"/>
      <c r="D210" s="145"/>
      <c r="E210" s="144"/>
      <c r="F210" s="146"/>
      <c r="G210" s="144"/>
      <c r="H210" s="144"/>
      <c r="I210" s="194">
        <f t="shared" ref="I210:S210" si="83">I211+I212</f>
        <v>245236.02</v>
      </c>
      <c r="J210" s="194">
        <f t="shared" si="83"/>
        <v>245236.02</v>
      </c>
      <c r="K210" s="194">
        <f t="shared" si="83"/>
        <v>733538</v>
      </c>
      <c r="L210" s="194">
        <f t="shared" si="83"/>
        <v>502086</v>
      </c>
      <c r="M210" s="194">
        <f t="shared" si="83"/>
        <v>103000</v>
      </c>
      <c r="N210" s="194">
        <f t="shared" si="83"/>
        <v>103000</v>
      </c>
      <c r="O210" s="195">
        <f t="shared" si="83"/>
        <v>228152</v>
      </c>
      <c r="P210" s="194">
        <f t="shared" si="83"/>
        <v>65068</v>
      </c>
      <c r="Q210" s="194">
        <f t="shared" si="83"/>
        <v>50600</v>
      </c>
      <c r="R210" s="194">
        <f t="shared" si="83"/>
        <v>112484</v>
      </c>
      <c r="S210" s="194">
        <f t="shared" si="83"/>
        <v>0</v>
      </c>
      <c r="T210" s="194"/>
      <c r="U210" s="194"/>
      <c r="V210" s="200"/>
      <c r="AA210" s="226"/>
      <c r="AB210" s="226"/>
      <c r="AC210" s="226"/>
      <c r="AD210" s="226"/>
      <c r="AE210" s="226"/>
      <c r="AF210" s="226"/>
      <c r="AG210" s="226"/>
      <c r="AH210" s="226"/>
    </row>
    <row r="211" spans="1:34" ht="42.75" customHeight="1">
      <c r="A211" s="144" t="s">
        <v>73</v>
      </c>
      <c r="B211" s="145" t="s">
        <v>164</v>
      </c>
      <c r="C211" s="144"/>
      <c r="D211" s="145"/>
      <c r="E211" s="144"/>
      <c r="F211" s="146"/>
      <c r="G211" s="144"/>
      <c r="H211" s="144"/>
      <c r="I211" s="196">
        <v>0</v>
      </c>
      <c r="J211" s="196">
        <v>0</v>
      </c>
      <c r="K211" s="199">
        <v>532198</v>
      </c>
      <c r="L211" s="194">
        <f>276525+122561</f>
        <v>399086</v>
      </c>
      <c r="M211" s="194"/>
      <c r="N211" s="194"/>
      <c r="O211" s="151">
        <f>SUM(P211:S211)</f>
        <v>133112</v>
      </c>
      <c r="P211" s="194">
        <v>52568</v>
      </c>
      <c r="Q211" s="194">
        <v>20600</v>
      </c>
      <c r="R211" s="194">
        <v>59944</v>
      </c>
      <c r="S211" s="194"/>
      <c r="T211" s="194"/>
      <c r="U211" s="194"/>
      <c r="V211" s="200"/>
      <c r="AA211" s="226"/>
      <c r="AB211" s="226"/>
      <c r="AC211" s="226"/>
      <c r="AD211" s="226"/>
      <c r="AE211" s="226"/>
      <c r="AF211" s="226"/>
      <c r="AG211" s="226"/>
      <c r="AH211" s="226"/>
    </row>
    <row r="212" spans="1:34" ht="44.45" customHeight="1">
      <c r="A212" s="144" t="s">
        <v>60</v>
      </c>
      <c r="B212" s="145" t="s">
        <v>166</v>
      </c>
      <c r="C212" s="144"/>
      <c r="D212" s="166"/>
      <c r="E212" s="144"/>
      <c r="F212" s="146"/>
      <c r="G212" s="144"/>
      <c r="H212" s="144"/>
      <c r="I212" s="194">
        <f t="shared" ref="I212:S212" si="84">SUM(I213:I219)</f>
        <v>245236.02</v>
      </c>
      <c r="J212" s="194">
        <f t="shared" si="84"/>
        <v>245236.02</v>
      </c>
      <c r="K212" s="194">
        <f t="shared" si="84"/>
        <v>201340</v>
      </c>
      <c r="L212" s="194">
        <f t="shared" si="84"/>
        <v>103000</v>
      </c>
      <c r="M212" s="194">
        <f t="shared" si="84"/>
        <v>103000</v>
      </c>
      <c r="N212" s="194">
        <f t="shared" si="84"/>
        <v>103000</v>
      </c>
      <c r="O212" s="195">
        <f t="shared" si="84"/>
        <v>95040</v>
      </c>
      <c r="P212" s="194">
        <f t="shared" si="84"/>
        <v>12500</v>
      </c>
      <c r="Q212" s="194">
        <f t="shared" si="84"/>
        <v>30000</v>
      </c>
      <c r="R212" s="194">
        <f t="shared" si="84"/>
        <v>52540</v>
      </c>
      <c r="S212" s="194">
        <f t="shared" si="84"/>
        <v>0</v>
      </c>
      <c r="T212" s="194"/>
      <c r="U212" s="194"/>
      <c r="V212" s="200"/>
      <c r="AA212" s="226"/>
      <c r="AB212" s="226"/>
      <c r="AC212" s="226"/>
      <c r="AD212" s="226"/>
      <c r="AE212" s="226"/>
      <c r="AF212" s="226"/>
      <c r="AG212" s="226"/>
      <c r="AH212" s="226"/>
    </row>
    <row r="213" spans="1:34" ht="66">
      <c r="A213" s="166">
        <v>1</v>
      </c>
      <c r="B213" s="167" t="s">
        <v>471</v>
      </c>
      <c r="C213" s="166" t="s">
        <v>595</v>
      </c>
      <c r="D213" s="166" t="s">
        <v>596</v>
      </c>
      <c r="E213" s="166" t="s">
        <v>3</v>
      </c>
      <c r="F213" s="168">
        <v>7576393</v>
      </c>
      <c r="G213" s="166" t="s">
        <v>18</v>
      </c>
      <c r="H213" s="166" t="s">
        <v>597</v>
      </c>
      <c r="I213" s="190">
        <v>21821</v>
      </c>
      <c r="J213" s="190">
        <v>21821</v>
      </c>
      <c r="K213" s="190">
        <v>21700</v>
      </c>
      <c r="L213" s="190">
        <f>15000-2000</f>
        <v>13000</v>
      </c>
      <c r="M213" s="190">
        <f>15000-2000</f>
        <v>13000</v>
      </c>
      <c r="N213" s="190">
        <f>15000-2000</f>
        <v>13000</v>
      </c>
      <c r="O213" s="151">
        <f t="shared" ref="O213:O219" si="85">SUM(P213:S213)</f>
        <v>8580</v>
      </c>
      <c r="P213" s="190"/>
      <c r="Q213" s="190"/>
      <c r="R213" s="190">
        <f>6580+2000</f>
        <v>8580</v>
      </c>
      <c r="S213" s="190"/>
      <c r="T213" s="190"/>
      <c r="U213" s="190"/>
      <c r="V213" s="200"/>
      <c r="AA213" s="226"/>
      <c r="AB213" s="226"/>
      <c r="AC213" s="226"/>
      <c r="AD213" s="226"/>
      <c r="AE213" s="226"/>
      <c r="AF213" s="226"/>
      <c r="AG213" s="226"/>
      <c r="AH213" s="226"/>
    </row>
    <row r="214" spans="1:34" ht="66">
      <c r="A214" s="166">
        <v>2</v>
      </c>
      <c r="B214" s="167" t="s">
        <v>472</v>
      </c>
      <c r="C214" s="166" t="s">
        <v>595</v>
      </c>
      <c r="D214" s="166" t="s">
        <v>596</v>
      </c>
      <c r="E214" s="166" t="s">
        <v>3</v>
      </c>
      <c r="F214" s="168">
        <v>7576387</v>
      </c>
      <c r="G214" s="166" t="s">
        <v>18</v>
      </c>
      <c r="H214" s="166" t="s">
        <v>598</v>
      </c>
      <c r="I214" s="190">
        <v>27714</v>
      </c>
      <c r="J214" s="190">
        <v>27714</v>
      </c>
      <c r="K214" s="190">
        <v>27500</v>
      </c>
      <c r="L214" s="190">
        <f>23000-4000</f>
        <v>19000</v>
      </c>
      <c r="M214" s="190">
        <f>23000-4000</f>
        <v>19000</v>
      </c>
      <c r="N214" s="190">
        <f>23000-4000</f>
        <v>19000</v>
      </c>
      <c r="O214" s="151">
        <f t="shared" si="85"/>
        <v>8380</v>
      </c>
      <c r="P214" s="190"/>
      <c r="Q214" s="190"/>
      <c r="R214" s="190">
        <f>4380+4000</f>
        <v>8380</v>
      </c>
      <c r="S214" s="190"/>
      <c r="T214" s="190"/>
      <c r="U214" s="190"/>
      <c r="V214" s="200"/>
      <c r="AA214" s="226"/>
      <c r="AB214" s="226"/>
      <c r="AC214" s="226"/>
      <c r="AD214" s="226"/>
      <c r="AE214" s="226"/>
      <c r="AF214" s="226"/>
      <c r="AG214" s="226"/>
      <c r="AH214" s="226"/>
    </row>
    <row r="215" spans="1:34" ht="66">
      <c r="A215" s="166">
        <v>3</v>
      </c>
      <c r="B215" s="167" t="s">
        <v>473</v>
      </c>
      <c r="C215" s="166" t="s">
        <v>595</v>
      </c>
      <c r="D215" s="166" t="s">
        <v>596</v>
      </c>
      <c r="E215" s="166" t="s">
        <v>3</v>
      </c>
      <c r="F215" s="168">
        <v>7593971</v>
      </c>
      <c r="G215" s="166" t="s">
        <v>25</v>
      </c>
      <c r="H215" s="166" t="s">
        <v>599</v>
      </c>
      <c r="I215" s="190">
        <v>31750</v>
      </c>
      <c r="J215" s="190">
        <v>31750</v>
      </c>
      <c r="K215" s="190">
        <v>31650</v>
      </c>
      <c r="L215" s="190">
        <v>22000</v>
      </c>
      <c r="M215" s="190">
        <v>22000</v>
      </c>
      <c r="N215" s="190">
        <v>22000</v>
      </c>
      <c r="O215" s="151">
        <f t="shared" si="85"/>
        <v>8650</v>
      </c>
      <c r="P215" s="190">
        <v>8650</v>
      </c>
      <c r="Q215" s="190"/>
      <c r="R215" s="190"/>
      <c r="S215" s="190"/>
      <c r="T215" s="190"/>
      <c r="U215" s="190"/>
      <c r="V215" s="200"/>
      <c r="AA215" s="226"/>
      <c r="AB215" s="226"/>
      <c r="AC215" s="226"/>
      <c r="AD215" s="226"/>
      <c r="AE215" s="226"/>
      <c r="AF215" s="226"/>
      <c r="AG215" s="226"/>
      <c r="AH215" s="226"/>
    </row>
    <row r="216" spans="1:34" ht="66">
      <c r="A216" s="166">
        <v>4</v>
      </c>
      <c r="B216" s="167" t="s">
        <v>474</v>
      </c>
      <c r="C216" s="166" t="s">
        <v>595</v>
      </c>
      <c r="D216" s="166" t="s">
        <v>596</v>
      </c>
      <c r="E216" s="166" t="s">
        <v>3</v>
      </c>
      <c r="F216" s="168">
        <v>7440529</v>
      </c>
      <c r="G216" s="166" t="s">
        <v>25</v>
      </c>
      <c r="H216" s="166" t="s">
        <v>600</v>
      </c>
      <c r="I216" s="190">
        <v>38052</v>
      </c>
      <c r="J216" s="190">
        <v>38052</v>
      </c>
      <c r="K216" s="190">
        <f>33000+1850</f>
        <v>34850</v>
      </c>
      <c r="L216" s="190">
        <f>11000+16000+2000</f>
        <v>29000</v>
      </c>
      <c r="M216" s="190">
        <f>27000+2000</f>
        <v>29000</v>
      </c>
      <c r="N216" s="190">
        <f>27000+2000</f>
        <v>29000</v>
      </c>
      <c r="O216" s="151">
        <f t="shared" si="85"/>
        <v>3850</v>
      </c>
      <c r="P216" s="190">
        <f>5850-2000</f>
        <v>3850</v>
      </c>
      <c r="Q216" s="190"/>
      <c r="R216" s="190"/>
      <c r="S216" s="190"/>
      <c r="T216" s="190"/>
      <c r="U216" s="190"/>
      <c r="V216" s="166"/>
      <c r="AA216" s="226"/>
      <c r="AB216" s="226"/>
      <c r="AC216" s="226"/>
      <c r="AD216" s="226"/>
      <c r="AE216" s="226"/>
      <c r="AF216" s="226"/>
      <c r="AG216" s="226"/>
      <c r="AH216" s="226"/>
    </row>
    <row r="217" spans="1:34" ht="66">
      <c r="A217" s="166">
        <v>5</v>
      </c>
      <c r="B217" s="167" t="s">
        <v>475</v>
      </c>
      <c r="C217" s="166" t="s">
        <v>595</v>
      </c>
      <c r="D217" s="166" t="s">
        <v>596</v>
      </c>
      <c r="E217" s="166" t="s">
        <v>3</v>
      </c>
      <c r="F217" s="168">
        <v>7608359</v>
      </c>
      <c r="G217" s="166" t="s">
        <v>225</v>
      </c>
      <c r="H217" s="166" t="s">
        <v>601</v>
      </c>
      <c r="I217" s="190">
        <v>45754.02</v>
      </c>
      <c r="J217" s="190">
        <v>45754.02</v>
      </c>
      <c r="K217" s="190">
        <v>45640</v>
      </c>
      <c r="L217" s="190">
        <v>20000</v>
      </c>
      <c r="M217" s="190">
        <v>20000</v>
      </c>
      <c r="N217" s="190">
        <v>20000</v>
      </c>
      <c r="O217" s="151">
        <f t="shared" si="85"/>
        <v>25580</v>
      </c>
      <c r="P217" s="190"/>
      <c r="Q217" s="190"/>
      <c r="R217" s="190">
        <v>25580</v>
      </c>
      <c r="S217" s="190"/>
      <c r="T217" s="190"/>
      <c r="U217" s="190"/>
      <c r="V217" s="200"/>
      <c r="AA217" s="226"/>
      <c r="AB217" s="226"/>
      <c r="AC217" s="226"/>
      <c r="AD217" s="226"/>
      <c r="AE217" s="226"/>
      <c r="AF217" s="226"/>
      <c r="AG217" s="226"/>
      <c r="AH217" s="226"/>
    </row>
    <row r="218" spans="1:34" ht="82.5">
      <c r="A218" s="166">
        <v>6</v>
      </c>
      <c r="B218" s="167" t="s">
        <v>476</v>
      </c>
      <c r="C218" s="166" t="s">
        <v>595</v>
      </c>
      <c r="D218" s="166" t="s">
        <v>596</v>
      </c>
      <c r="E218" s="166" t="s">
        <v>3</v>
      </c>
      <c r="F218" s="168">
        <v>7780560</v>
      </c>
      <c r="G218" s="166" t="s">
        <v>549</v>
      </c>
      <c r="H218" s="166" t="s">
        <v>602</v>
      </c>
      <c r="I218" s="190">
        <v>39696</v>
      </c>
      <c r="J218" s="190">
        <v>39696</v>
      </c>
      <c r="K218" s="190">
        <f>24000+6000</f>
        <v>30000</v>
      </c>
      <c r="L218" s="190">
        <v>0</v>
      </c>
      <c r="M218" s="190"/>
      <c r="N218" s="190"/>
      <c r="O218" s="151">
        <f t="shared" si="85"/>
        <v>30000</v>
      </c>
      <c r="P218" s="190"/>
      <c r="Q218" s="190">
        <v>30000</v>
      </c>
      <c r="R218" s="190"/>
      <c r="S218" s="190"/>
      <c r="T218" s="190"/>
      <c r="U218" s="190"/>
      <c r="V218" s="166"/>
      <c r="AA218" s="226"/>
      <c r="AB218" s="226"/>
      <c r="AC218" s="226"/>
      <c r="AD218" s="226"/>
      <c r="AE218" s="226"/>
      <c r="AF218" s="226"/>
      <c r="AG218" s="226"/>
      <c r="AH218" s="226"/>
    </row>
    <row r="219" spans="1:34" ht="82.5">
      <c r="A219" s="166">
        <v>7</v>
      </c>
      <c r="B219" s="167" t="s">
        <v>477</v>
      </c>
      <c r="C219" s="166" t="s">
        <v>595</v>
      </c>
      <c r="D219" s="166" t="s">
        <v>596</v>
      </c>
      <c r="E219" s="166" t="s">
        <v>3</v>
      </c>
      <c r="F219" s="168">
        <v>7783804</v>
      </c>
      <c r="G219" s="166" t="s">
        <v>549</v>
      </c>
      <c r="H219" s="166" t="s">
        <v>603</v>
      </c>
      <c r="I219" s="190">
        <v>40449</v>
      </c>
      <c r="J219" s="190">
        <v>40449</v>
      </c>
      <c r="K219" s="190">
        <v>10000</v>
      </c>
      <c r="L219" s="190"/>
      <c r="M219" s="190"/>
      <c r="N219" s="190"/>
      <c r="O219" s="151">
        <f t="shared" si="85"/>
        <v>10000</v>
      </c>
      <c r="P219" s="190"/>
      <c r="Q219" s="190"/>
      <c r="R219" s="190">
        <v>10000</v>
      </c>
      <c r="S219" s="190"/>
      <c r="T219" s="190"/>
      <c r="U219" s="190"/>
      <c r="V219" s="200"/>
      <c r="AA219" s="226"/>
      <c r="AB219" s="226"/>
      <c r="AC219" s="226"/>
      <c r="AD219" s="226"/>
      <c r="AE219" s="226"/>
      <c r="AF219" s="226"/>
      <c r="AG219" s="226"/>
      <c r="AH219" s="226"/>
    </row>
    <row r="220" spans="1:34" ht="31.7" customHeight="1">
      <c r="A220" s="144" t="s">
        <v>30</v>
      </c>
      <c r="B220" s="145" t="s">
        <v>170</v>
      </c>
      <c r="C220" s="144"/>
      <c r="D220" s="145"/>
      <c r="E220" s="144"/>
      <c r="F220" s="146"/>
      <c r="G220" s="144"/>
      <c r="H220" s="144"/>
      <c r="I220" s="194">
        <f t="shared" ref="I220:S220" si="86">I221+I222</f>
        <v>339797</v>
      </c>
      <c r="J220" s="194">
        <f t="shared" si="86"/>
        <v>339797</v>
      </c>
      <c r="K220" s="194">
        <f t="shared" si="86"/>
        <v>656431</v>
      </c>
      <c r="L220" s="194">
        <f t="shared" si="86"/>
        <v>386139</v>
      </c>
      <c r="M220" s="194">
        <f t="shared" si="86"/>
        <v>73600</v>
      </c>
      <c r="N220" s="194">
        <f t="shared" si="86"/>
        <v>73600</v>
      </c>
      <c r="O220" s="195">
        <f t="shared" si="86"/>
        <v>219600</v>
      </c>
      <c r="P220" s="194">
        <f t="shared" si="86"/>
        <v>56424</v>
      </c>
      <c r="Q220" s="194">
        <f t="shared" si="86"/>
        <v>76133</v>
      </c>
      <c r="R220" s="194">
        <f t="shared" si="86"/>
        <v>87043</v>
      </c>
      <c r="S220" s="194">
        <f t="shared" si="86"/>
        <v>0</v>
      </c>
      <c r="T220" s="194"/>
      <c r="U220" s="194"/>
      <c r="V220" s="200"/>
      <c r="AA220" s="226"/>
      <c r="AB220" s="226"/>
      <c r="AC220" s="226"/>
      <c r="AD220" s="226"/>
      <c r="AE220" s="226"/>
      <c r="AF220" s="226"/>
      <c r="AG220" s="226"/>
      <c r="AH220" s="226"/>
    </row>
    <row r="221" spans="1:34" ht="43.5" customHeight="1">
      <c r="A221" s="144" t="s">
        <v>73</v>
      </c>
      <c r="B221" s="145" t="s">
        <v>164</v>
      </c>
      <c r="C221" s="144"/>
      <c r="D221" s="145"/>
      <c r="E221" s="144"/>
      <c r="F221" s="146"/>
      <c r="G221" s="144"/>
      <c r="H221" s="144"/>
      <c r="I221" s="169">
        <v>0</v>
      </c>
      <c r="J221" s="169">
        <v>0</v>
      </c>
      <c r="K221" s="169">
        <v>416781</v>
      </c>
      <c r="L221" s="169">
        <f>216555+95984</f>
        <v>312539</v>
      </c>
      <c r="M221" s="169"/>
      <c r="N221" s="169"/>
      <c r="O221" s="151">
        <f>SUM(P221:S221)</f>
        <v>104242</v>
      </c>
      <c r="P221" s="199">
        <v>41165</v>
      </c>
      <c r="Q221" s="199">
        <v>16133</v>
      </c>
      <c r="R221" s="199">
        <v>46944</v>
      </c>
      <c r="S221" s="199"/>
      <c r="T221" s="199"/>
      <c r="U221" s="199"/>
      <c r="V221" s="200"/>
      <c r="AA221" s="226"/>
      <c r="AB221" s="226"/>
      <c r="AC221" s="226"/>
      <c r="AD221" s="226"/>
      <c r="AE221" s="226"/>
      <c r="AF221" s="226"/>
      <c r="AG221" s="226"/>
      <c r="AH221" s="226"/>
    </row>
    <row r="222" spans="1:34" ht="42.75" customHeight="1">
      <c r="A222" s="144" t="s">
        <v>60</v>
      </c>
      <c r="B222" s="145" t="s">
        <v>166</v>
      </c>
      <c r="C222" s="144"/>
      <c r="D222" s="166"/>
      <c r="E222" s="144"/>
      <c r="F222" s="146"/>
      <c r="G222" s="144"/>
      <c r="H222" s="144"/>
      <c r="I222" s="194">
        <f t="shared" ref="I222:S222" si="87">SUM(I223:I228)</f>
        <v>339797</v>
      </c>
      <c r="J222" s="194">
        <f t="shared" si="87"/>
        <v>339797</v>
      </c>
      <c r="K222" s="194">
        <f t="shared" si="87"/>
        <v>239650</v>
      </c>
      <c r="L222" s="194">
        <f t="shared" si="87"/>
        <v>73600</v>
      </c>
      <c r="M222" s="194">
        <f t="shared" si="87"/>
        <v>73600</v>
      </c>
      <c r="N222" s="194">
        <f t="shared" si="87"/>
        <v>73600</v>
      </c>
      <c r="O222" s="195">
        <f t="shared" si="87"/>
        <v>115358</v>
      </c>
      <c r="P222" s="194">
        <f t="shared" si="87"/>
        <v>15259</v>
      </c>
      <c r="Q222" s="194">
        <f t="shared" si="87"/>
        <v>60000</v>
      </c>
      <c r="R222" s="194">
        <f t="shared" si="87"/>
        <v>40099</v>
      </c>
      <c r="S222" s="194">
        <f t="shared" si="87"/>
        <v>0</v>
      </c>
      <c r="T222" s="194"/>
      <c r="U222" s="194"/>
      <c r="V222" s="147"/>
      <c r="AA222" s="226"/>
      <c r="AB222" s="226"/>
      <c r="AC222" s="226"/>
      <c r="AD222" s="226"/>
      <c r="AE222" s="226"/>
      <c r="AF222" s="226"/>
      <c r="AG222" s="226"/>
      <c r="AH222" s="226"/>
    </row>
    <row r="223" spans="1:34" ht="66">
      <c r="A223" s="166">
        <v>1</v>
      </c>
      <c r="B223" s="167" t="s">
        <v>478</v>
      </c>
      <c r="C223" s="166" t="s">
        <v>79</v>
      </c>
      <c r="D223" s="166" t="s">
        <v>186</v>
      </c>
      <c r="E223" s="166" t="s">
        <v>3</v>
      </c>
      <c r="F223" s="168">
        <v>7622001</v>
      </c>
      <c r="G223" s="166" t="s">
        <v>604</v>
      </c>
      <c r="H223" s="166" t="s">
        <v>605</v>
      </c>
      <c r="I223" s="190">
        <v>39522</v>
      </c>
      <c r="J223" s="190">
        <v>39522</v>
      </c>
      <c r="K223" s="190">
        <f>39000-7850</f>
        <v>31150</v>
      </c>
      <c r="L223" s="190">
        <f>10000+18000</f>
        <v>28000</v>
      </c>
      <c r="M223" s="190">
        <v>28000</v>
      </c>
      <c r="N223" s="190">
        <v>28000</v>
      </c>
      <c r="O223" s="151">
        <f t="shared" ref="O223:O228" si="88">SUM(P223:S223)</f>
        <v>3000</v>
      </c>
      <c r="P223" s="190"/>
      <c r="Q223" s="190"/>
      <c r="R223" s="190">
        <v>3000</v>
      </c>
      <c r="S223" s="190"/>
      <c r="T223" s="190"/>
      <c r="U223" s="190"/>
      <c r="V223" s="200"/>
      <c r="AA223" s="226"/>
      <c r="AB223" s="226"/>
      <c r="AC223" s="226"/>
      <c r="AD223" s="226"/>
      <c r="AE223" s="226"/>
      <c r="AF223" s="226"/>
      <c r="AG223" s="226"/>
      <c r="AH223" s="226"/>
    </row>
    <row r="224" spans="1:34" ht="66">
      <c r="A224" s="166">
        <v>1</v>
      </c>
      <c r="B224" s="167" t="s">
        <v>479</v>
      </c>
      <c r="C224" s="166" t="s">
        <v>79</v>
      </c>
      <c r="D224" s="166" t="s">
        <v>186</v>
      </c>
      <c r="E224" s="166" t="s">
        <v>3</v>
      </c>
      <c r="F224" s="168">
        <v>7627264</v>
      </c>
      <c r="G224" s="166" t="s">
        <v>18</v>
      </c>
      <c r="H224" s="166" t="s">
        <v>606</v>
      </c>
      <c r="I224" s="190">
        <v>10334</v>
      </c>
      <c r="J224" s="190">
        <v>10334</v>
      </c>
      <c r="K224" s="190">
        <v>10000</v>
      </c>
      <c r="L224" s="190">
        <f>8000-2400</f>
        <v>5600</v>
      </c>
      <c r="M224" s="190">
        <f>8000-2400</f>
        <v>5600</v>
      </c>
      <c r="N224" s="190">
        <f>8000-2400</f>
        <v>5600</v>
      </c>
      <c r="O224" s="151">
        <f t="shared" si="88"/>
        <v>4400</v>
      </c>
      <c r="P224" s="190"/>
      <c r="Q224" s="190"/>
      <c r="R224" s="190">
        <v>4400</v>
      </c>
      <c r="S224" s="190"/>
      <c r="T224" s="190"/>
      <c r="U224" s="190"/>
      <c r="V224" s="200"/>
      <c r="AA224" s="226"/>
      <c r="AB224" s="226"/>
      <c r="AC224" s="226"/>
      <c r="AD224" s="226"/>
      <c r="AE224" s="226"/>
      <c r="AF224" s="226"/>
      <c r="AG224" s="226"/>
      <c r="AH224" s="226"/>
    </row>
    <row r="225" spans="1:34" ht="66">
      <c r="A225" s="166">
        <v>2</v>
      </c>
      <c r="B225" s="167" t="s">
        <v>480</v>
      </c>
      <c r="C225" s="166" t="s">
        <v>79</v>
      </c>
      <c r="D225" s="166" t="s">
        <v>186</v>
      </c>
      <c r="E225" s="166" t="s">
        <v>3</v>
      </c>
      <c r="F225" s="168">
        <v>7558970</v>
      </c>
      <c r="G225" s="166" t="s">
        <v>604</v>
      </c>
      <c r="H225" s="166" t="s">
        <v>607</v>
      </c>
      <c r="I225" s="190">
        <v>39541</v>
      </c>
      <c r="J225" s="190">
        <v>39541</v>
      </c>
      <c r="K225" s="190">
        <v>38500</v>
      </c>
      <c r="L225" s="190">
        <f>13000+18000-6000</f>
        <v>25000</v>
      </c>
      <c r="M225" s="190">
        <f>31000-6000</f>
        <v>25000</v>
      </c>
      <c r="N225" s="190">
        <f>31000-6000</f>
        <v>25000</v>
      </c>
      <c r="O225" s="151">
        <f t="shared" si="88"/>
        <v>13500</v>
      </c>
      <c r="P225" s="190"/>
      <c r="Q225" s="190"/>
      <c r="R225" s="190">
        <v>13500</v>
      </c>
      <c r="S225" s="190"/>
      <c r="T225" s="190"/>
      <c r="U225" s="190"/>
      <c r="V225" s="200"/>
      <c r="AA225" s="226"/>
      <c r="AB225" s="226"/>
      <c r="AC225" s="226"/>
      <c r="AD225" s="226"/>
      <c r="AE225" s="226"/>
      <c r="AF225" s="226"/>
      <c r="AG225" s="226"/>
      <c r="AH225" s="226"/>
    </row>
    <row r="226" spans="1:34" ht="66">
      <c r="A226" s="166">
        <v>3</v>
      </c>
      <c r="B226" s="167" t="s">
        <v>481</v>
      </c>
      <c r="C226" s="166" t="s">
        <v>79</v>
      </c>
      <c r="D226" s="166" t="s">
        <v>186</v>
      </c>
      <c r="E226" s="166" t="s">
        <v>3</v>
      </c>
      <c r="F226" s="168">
        <v>7709347</v>
      </c>
      <c r="G226" s="166" t="s">
        <v>502</v>
      </c>
      <c r="H226" s="166" t="s">
        <v>608</v>
      </c>
      <c r="I226" s="190">
        <v>43816</v>
      </c>
      <c r="J226" s="190">
        <v>43816</v>
      </c>
      <c r="K226" s="190">
        <f>15000+15000</f>
        <v>30000</v>
      </c>
      <c r="L226" s="190">
        <f>7000+8000</f>
        <v>15000</v>
      </c>
      <c r="M226" s="190">
        <f>7000+8000</f>
        <v>15000</v>
      </c>
      <c r="N226" s="190">
        <f>7000+8000</f>
        <v>15000</v>
      </c>
      <c r="O226" s="151">
        <f t="shared" si="88"/>
        <v>15000</v>
      </c>
      <c r="P226" s="190"/>
      <c r="Q226" s="190"/>
      <c r="R226" s="190">
        <v>15000</v>
      </c>
      <c r="S226" s="190"/>
      <c r="T226" s="190"/>
      <c r="U226" s="190"/>
      <c r="V226" s="166"/>
      <c r="AA226" s="226"/>
      <c r="AB226" s="226"/>
      <c r="AC226" s="226"/>
      <c r="AD226" s="226"/>
      <c r="AE226" s="226"/>
      <c r="AF226" s="226"/>
      <c r="AG226" s="226"/>
      <c r="AH226" s="226"/>
    </row>
    <row r="227" spans="1:34" ht="82.5">
      <c r="A227" s="166">
        <v>4</v>
      </c>
      <c r="B227" s="167" t="s">
        <v>482</v>
      </c>
      <c r="C227" s="166" t="s">
        <v>79</v>
      </c>
      <c r="D227" s="166" t="s">
        <v>186</v>
      </c>
      <c r="E227" s="166" t="s">
        <v>3</v>
      </c>
      <c r="F227" s="168">
        <v>7781680</v>
      </c>
      <c r="G227" s="166" t="s">
        <v>549</v>
      </c>
      <c r="H227" s="166" t="s">
        <v>609</v>
      </c>
      <c r="I227" s="190">
        <v>79606</v>
      </c>
      <c r="J227" s="190">
        <v>79606</v>
      </c>
      <c r="K227" s="190">
        <f>21000+29000</f>
        <v>50000</v>
      </c>
      <c r="L227" s="190"/>
      <c r="M227" s="190">
        <v>0</v>
      </c>
      <c r="N227" s="190">
        <v>0</v>
      </c>
      <c r="O227" s="151">
        <f t="shared" si="88"/>
        <v>19458</v>
      </c>
      <c r="P227" s="190">
        <f>21000-4199-1542</f>
        <v>15259</v>
      </c>
      <c r="Q227" s="190"/>
      <c r="R227" s="190">
        <v>4199</v>
      </c>
      <c r="S227" s="190"/>
      <c r="T227" s="190"/>
      <c r="U227" s="190"/>
      <c r="V227" s="166"/>
      <c r="AA227" s="226"/>
      <c r="AB227" s="226"/>
      <c r="AC227" s="226"/>
      <c r="AD227" s="226"/>
      <c r="AE227" s="226"/>
      <c r="AF227" s="226"/>
      <c r="AG227" s="226"/>
      <c r="AH227" s="226"/>
    </row>
    <row r="228" spans="1:34" ht="82.5">
      <c r="A228" s="166">
        <v>5</v>
      </c>
      <c r="B228" s="167" t="s">
        <v>483</v>
      </c>
      <c r="C228" s="166" t="s">
        <v>79</v>
      </c>
      <c r="D228" s="166" t="s">
        <v>186</v>
      </c>
      <c r="E228" s="166" t="s">
        <v>3</v>
      </c>
      <c r="F228" s="168">
        <v>7781681</v>
      </c>
      <c r="G228" s="166" t="s">
        <v>549</v>
      </c>
      <c r="H228" s="166" t="s">
        <v>610</v>
      </c>
      <c r="I228" s="190">
        <v>126978</v>
      </c>
      <c r="J228" s="190">
        <v>126978</v>
      </c>
      <c r="K228" s="190">
        <v>80000</v>
      </c>
      <c r="L228" s="190"/>
      <c r="M228" s="190">
        <v>0</v>
      </c>
      <c r="N228" s="190">
        <v>0</v>
      </c>
      <c r="O228" s="151">
        <f t="shared" si="88"/>
        <v>60000</v>
      </c>
      <c r="P228" s="190"/>
      <c r="Q228" s="190">
        <v>60000</v>
      </c>
      <c r="R228" s="190"/>
      <c r="S228" s="190"/>
      <c r="T228" s="190"/>
      <c r="U228" s="190"/>
      <c r="V228" s="200"/>
      <c r="AA228" s="226"/>
      <c r="AB228" s="226"/>
      <c r="AC228" s="226"/>
      <c r="AD228" s="226"/>
      <c r="AE228" s="226"/>
      <c r="AF228" s="226"/>
      <c r="AG228" s="226"/>
      <c r="AH228" s="226"/>
    </row>
    <row r="229" spans="1:34" ht="30.75" customHeight="1">
      <c r="A229" s="144" t="s">
        <v>31</v>
      </c>
      <c r="B229" s="145" t="s">
        <v>171</v>
      </c>
      <c r="C229" s="144"/>
      <c r="D229" s="145"/>
      <c r="E229" s="144"/>
      <c r="F229" s="146"/>
      <c r="G229" s="144"/>
      <c r="H229" s="144"/>
      <c r="I229" s="194">
        <f t="shared" ref="I229:S229" si="89">I230+I231</f>
        <v>142601</v>
      </c>
      <c r="J229" s="194">
        <f t="shared" si="89"/>
        <v>142601</v>
      </c>
      <c r="K229" s="194">
        <f t="shared" si="89"/>
        <v>632475</v>
      </c>
      <c r="L229" s="194">
        <f t="shared" si="89"/>
        <v>474363</v>
      </c>
      <c r="M229" s="194">
        <f t="shared" si="89"/>
        <v>96482</v>
      </c>
      <c r="N229" s="194">
        <f t="shared" si="89"/>
        <v>96482</v>
      </c>
      <c r="O229" s="195">
        <f t="shared" si="89"/>
        <v>155140</v>
      </c>
      <c r="P229" s="194">
        <f t="shared" si="89"/>
        <v>51930</v>
      </c>
      <c r="Q229" s="194">
        <f t="shared" si="89"/>
        <v>20352</v>
      </c>
      <c r="R229" s="194">
        <f t="shared" si="89"/>
        <v>82858</v>
      </c>
      <c r="S229" s="194">
        <f t="shared" si="89"/>
        <v>0</v>
      </c>
      <c r="T229" s="194"/>
      <c r="U229" s="194"/>
      <c r="V229" s="200"/>
      <c r="AA229" s="226"/>
      <c r="AB229" s="226"/>
      <c r="AC229" s="226"/>
      <c r="AD229" s="226"/>
      <c r="AE229" s="226"/>
      <c r="AF229" s="226"/>
      <c r="AG229" s="226"/>
      <c r="AH229" s="226"/>
    </row>
    <row r="230" spans="1:34" ht="33.75" customHeight="1">
      <c r="A230" s="144" t="s">
        <v>73</v>
      </c>
      <c r="B230" s="145" t="s">
        <v>164</v>
      </c>
      <c r="C230" s="144"/>
      <c r="D230" s="145"/>
      <c r="E230" s="144"/>
      <c r="F230" s="146"/>
      <c r="G230" s="144"/>
      <c r="H230" s="144"/>
      <c r="I230" s="169">
        <v>0</v>
      </c>
      <c r="J230" s="169">
        <v>0</v>
      </c>
      <c r="K230" s="199">
        <v>525785</v>
      </c>
      <c r="L230" s="199">
        <f t="shared" ref="L230" si="90">273193+121088</f>
        <v>394281</v>
      </c>
      <c r="M230" s="199"/>
      <c r="N230" s="199"/>
      <c r="O230" s="151">
        <f>SUM(P230:S230)</f>
        <v>131504</v>
      </c>
      <c r="P230" s="199">
        <v>51930</v>
      </c>
      <c r="Q230" s="199">
        <v>20352</v>
      </c>
      <c r="R230" s="199">
        <v>59222</v>
      </c>
      <c r="S230" s="199"/>
      <c r="T230" s="199"/>
      <c r="U230" s="199"/>
      <c r="V230" s="200"/>
      <c r="AA230" s="226"/>
      <c r="AB230" s="226"/>
      <c r="AC230" s="226"/>
      <c r="AD230" s="226"/>
      <c r="AE230" s="226"/>
      <c r="AF230" s="226"/>
      <c r="AG230" s="226"/>
      <c r="AH230" s="226"/>
    </row>
    <row r="231" spans="1:34" ht="42.75" customHeight="1">
      <c r="A231" s="144" t="s">
        <v>60</v>
      </c>
      <c r="B231" s="145" t="s">
        <v>166</v>
      </c>
      <c r="C231" s="144"/>
      <c r="D231" s="145"/>
      <c r="E231" s="144"/>
      <c r="F231" s="146"/>
      <c r="G231" s="144"/>
      <c r="H231" s="144"/>
      <c r="I231" s="194">
        <f t="shared" ref="I231:S231" si="91">SUM(I232:I236)</f>
        <v>142601</v>
      </c>
      <c r="J231" s="194">
        <f t="shared" si="91"/>
        <v>142601</v>
      </c>
      <c r="K231" s="194">
        <f t="shared" si="91"/>
        <v>106690</v>
      </c>
      <c r="L231" s="194">
        <f t="shared" si="91"/>
        <v>80082</v>
      </c>
      <c r="M231" s="194">
        <f t="shared" si="91"/>
        <v>96482</v>
      </c>
      <c r="N231" s="194">
        <f t="shared" si="91"/>
        <v>96482</v>
      </c>
      <c r="O231" s="195">
        <f t="shared" si="91"/>
        <v>23636</v>
      </c>
      <c r="P231" s="194">
        <f t="shared" si="91"/>
        <v>0</v>
      </c>
      <c r="Q231" s="194">
        <f t="shared" si="91"/>
        <v>0</v>
      </c>
      <c r="R231" s="194">
        <f t="shared" si="91"/>
        <v>23636</v>
      </c>
      <c r="S231" s="194">
        <f t="shared" si="91"/>
        <v>0</v>
      </c>
      <c r="T231" s="194"/>
      <c r="U231" s="194"/>
      <c r="V231" s="200"/>
      <c r="AA231" s="226"/>
      <c r="AB231" s="226"/>
      <c r="AC231" s="226"/>
      <c r="AD231" s="226"/>
      <c r="AE231" s="226"/>
      <c r="AF231" s="226"/>
      <c r="AG231" s="226"/>
      <c r="AH231" s="226"/>
    </row>
    <row r="232" spans="1:34" ht="49.5">
      <c r="A232" s="166">
        <v>1</v>
      </c>
      <c r="B232" s="167" t="s">
        <v>484</v>
      </c>
      <c r="C232" s="166" t="s">
        <v>13</v>
      </c>
      <c r="D232" s="166" t="s">
        <v>611</v>
      </c>
      <c r="E232" s="166" t="s">
        <v>3</v>
      </c>
      <c r="F232" s="168">
        <v>7462521</v>
      </c>
      <c r="G232" s="166" t="s">
        <v>315</v>
      </c>
      <c r="H232" s="166" t="s">
        <v>612</v>
      </c>
      <c r="I232" s="190">
        <v>23573</v>
      </c>
      <c r="J232" s="190">
        <v>23573</v>
      </c>
      <c r="K232" s="190">
        <v>6150</v>
      </c>
      <c r="L232" s="190">
        <v>3000</v>
      </c>
      <c r="M232" s="190">
        <v>18500</v>
      </c>
      <c r="N232" s="190">
        <v>18500</v>
      </c>
      <c r="O232" s="151">
        <f>SUM(P232:S232)</f>
        <v>3150</v>
      </c>
      <c r="P232" s="190"/>
      <c r="Q232" s="190"/>
      <c r="R232" s="190">
        <v>3150</v>
      </c>
      <c r="S232" s="190"/>
      <c r="T232" s="190"/>
      <c r="U232" s="190"/>
      <c r="V232" s="200"/>
      <c r="AA232" s="226"/>
      <c r="AB232" s="226"/>
      <c r="AC232" s="226"/>
      <c r="AD232" s="226"/>
      <c r="AE232" s="226"/>
      <c r="AF232" s="226"/>
      <c r="AG232" s="226"/>
      <c r="AH232" s="226"/>
    </row>
    <row r="233" spans="1:34" ht="82.5">
      <c r="A233" s="166">
        <v>2</v>
      </c>
      <c r="B233" s="167" t="s">
        <v>485</v>
      </c>
      <c r="C233" s="166" t="s">
        <v>13</v>
      </c>
      <c r="D233" s="166" t="s">
        <v>611</v>
      </c>
      <c r="E233" s="166" t="s">
        <v>3</v>
      </c>
      <c r="F233" s="168">
        <v>7687187</v>
      </c>
      <c r="G233" s="166" t="s">
        <v>18</v>
      </c>
      <c r="H233" s="166" t="s">
        <v>613</v>
      </c>
      <c r="I233" s="190">
        <v>25985</v>
      </c>
      <c r="J233" s="190">
        <v>25985</v>
      </c>
      <c r="K233" s="190">
        <f>23000-6900</f>
        <v>16100</v>
      </c>
      <c r="L233" s="190">
        <f>7000-3000</f>
        <v>4000</v>
      </c>
      <c r="M233" s="190">
        <f>7000-3000</f>
        <v>4000</v>
      </c>
      <c r="N233" s="190">
        <f>7000-3000</f>
        <v>4000</v>
      </c>
      <c r="O233" s="151">
        <f>SUM(P233:S233)</f>
        <v>11000</v>
      </c>
      <c r="P233" s="190"/>
      <c r="Q233" s="190"/>
      <c r="R233" s="190">
        <v>11000</v>
      </c>
      <c r="S233" s="190"/>
      <c r="T233" s="190"/>
      <c r="U233" s="190"/>
      <c r="V233" s="200"/>
      <c r="AA233" s="226"/>
      <c r="AB233" s="226"/>
      <c r="AC233" s="226"/>
      <c r="AD233" s="226"/>
      <c r="AE233" s="226"/>
      <c r="AF233" s="226"/>
      <c r="AG233" s="226"/>
      <c r="AH233" s="226"/>
    </row>
    <row r="234" spans="1:34" ht="49.5">
      <c r="A234" s="166">
        <v>3</v>
      </c>
      <c r="B234" s="167" t="s">
        <v>486</v>
      </c>
      <c r="C234" s="166" t="s">
        <v>13</v>
      </c>
      <c r="D234" s="166" t="s">
        <v>611</v>
      </c>
      <c r="E234" s="166" t="s">
        <v>3</v>
      </c>
      <c r="F234" s="168">
        <v>7564191</v>
      </c>
      <c r="G234" s="166" t="s">
        <v>25</v>
      </c>
      <c r="H234" s="166" t="s">
        <v>614</v>
      </c>
      <c r="I234" s="190">
        <v>37628</v>
      </c>
      <c r="J234" s="190">
        <v>37628</v>
      </c>
      <c r="K234" s="190">
        <v>34000</v>
      </c>
      <c r="L234" s="190">
        <v>28100</v>
      </c>
      <c r="M234" s="190">
        <v>28100</v>
      </c>
      <c r="N234" s="190">
        <v>28100</v>
      </c>
      <c r="O234" s="151">
        <f>SUM(P234:S234)</f>
        <v>5128</v>
      </c>
      <c r="P234" s="190"/>
      <c r="Q234" s="190"/>
      <c r="R234" s="190">
        <v>5128</v>
      </c>
      <c r="S234" s="190"/>
      <c r="T234" s="190"/>
      <c r="U234" s="190"/>
      <c r="V234" s="200"/>
      <c r="AA234" s="226"/>
      <c r="AB234" s="226"/>
      <c r="AC234" s="226"/>
      <c r="AD234" s="226"/>
      <c r="AE234" s="226"/>
      <c r="AF234" s="226"/>
      <c r="AG234" s="226"/>
      <c r="AH234" s="226"/>
    </row>
    <row r="235" spans="1:34" ht="66">
      <c r="A235" s="166">
        <v>4</v>
      </c>
      <c r="B235" s="167" t="s">
        <v>487</v>
      </c>
      <c r="C235" s="166" t="s">
        <v>13</v>
      </c>
      <c r="D235" s="166" t="s">
        <v>611</v>
      </c>
      <c r="E235" s="166" t="s">
        <v>3</v>
      </c>
      <c r="F235" s="168">
        <v>7576529</v>
      </c>
      <c r="G235" s="166" t="s">
        <v>25</v>
      </c>
      <c r="H235" s="166" t="s">
        <v>615</v>
      </c>
      <c r="I235" s="190">
        <v>13754</v>
      </c>
      <c r="J235" s="190">
        <v>13754</v>
      </c>
      <c r="K235" s="190">
        <v>12940</v>
      </c>
      <c r="L235" s="190">
        <f>11482-1000</f>
        <v>10482</v>
      </c>
      <c r="M235" s="190">
        <f>12382-1000</f>
        <v>11382</v>
      </c>
      <c r="N235" s="190">
        <f>12382-1000</f>
        <v>11382</v>
      </c>
      <c r="O235" s="151">
        <f>SUM(P235:S235)</f>
        <v>1458</v>
      </c>
      <c r="P235" s="190"/>
      <c r="Q235" s="190"/>
      <c r="R235" s="190">
        <v>1458</v>
      </c>
      <c r="S235" s="190"/>
      <c r="T235" s="190"/>
      <c r="U235" s="190"/>
      <c r="V235" s="200"/>
      <c r="AA235" s="226"/>
      <c r="AB235" s="226"/>
      <c r="AC235" s="226"/>
      <c r="AD235" s="226"/>
      <c r="AE235" s="226"/>
      <c r="AF235" s="226"/>
      <c r="AG235" s="226"/>
      <c r="AH235" s="226"/>
    </row>
    <row r="236" spans="1:34" ht="66">
      <c r="A236" s="166">
        <v>5</v>
      </c>
      <c r="B236" s="167" t="s">
        <v>488</v>
      </c>
      <c r="C236" s="166" t="s">
        <v>13</v>
      </c>
      <c r="D236" s="166" t="s">
        <v>611</v>
      </c>
      <c r="E236" s="166" t="s">
        <v>3</v>
      </c>
      <c r="F236" s="168">
        <v>7576538</v>
      </c>
      <c r="G236" s="166" t="s">
        <v>25</v>
      </c>
      <c r="H236" s="166" t="s">
        <v>616</v>
      </c>
      <c r="I236" s="190">
        <v>41661</v>
      </c>
      <c r="J236" s="190">
        <v>41661</v>
      </c>
      <c r="K236" s="190">
        <v>37500</v>
      </c>
      <c r="L236" s="190">
        <v>34500</v>
      </c>
      <c r="M236" s="190">
        <v>34500</v>
      </c>
      <c r="N236" s="190">
        <v>34500</v>
      </c>
      <c r="O236" s="151">
        <f>SUM(P236:S236)</f>
        <v>2900</v>
      </c>
      <c r="P236" s="190"/>
      <c r="Q236" s="190"/>
      <c r="R236" s="190">
        <v>2900</v>
      </c>
      <c r="S236" s="190"/>
      <c r="T236" s="190"/>
      <c r="U236" s="190"/>
      <c r="V236" s="200"/>
      <c r="AA236" s="226"/>
      <c r="AB236" s="226"/>
      <c r="AC236" s="226"/>
      <c r="AD236" s="226"/>
      <c r="AE236" s="226"/>
      <c r="AF236" s="226"/>
      <c r="AG236" s="226"/>
      <c r="AH236" s="226"/>
    </row>
    <row r="237" spans="1:34" ht="35.450000000000003" customHeight="1">
      <c r="A237" s="144" t="s">
        <v>33</v>
      </c>
      <c r="B237" s="145" t="s">
        <v>172</v>
      </c>
      <c r="C237" s="144"/>
      <c r="D237" s="145"/>
      <c r="E237" s="144"/>
      <c r="F237" s="146"/>
      <c r="G237" s="144"/>
      <c r="H237" s="144"/>
      <c r="I237" s="194">
        <f t="shared" ref="I237:S237" si="92">I238+I239</f>
        <v>211251</v>
      </c>
      <c r="J237" s="194">
        <f t="shared" si="92"/>
        <v>211251</v>
      </c>
      <c r="K237" s="194">
        <f t="shared" si="92"/>
        <v>729162</v>
      </c>
      <c r="L237" s="194">
        <f t="shared" si="92"/>
        <v>571859</v>
      </c>
      <c r="M237" s="194">
        <f t="shared" si="92"/>
        <v>177578</v>
      </c>
      <c r="N237" s="194">
        <f t="shared" si="92"/>
        <v>177578</v>
      </c>
      <c r="O237" s="195">
        <f t="shared" si="92"/>
        <v>157303</v>
      </c>
      <c r="P237" s="194">
        <f t="shared" si="92"/>
        <v>65947</v>
      </c>
      <c r="Q237" s="194">
        <f t="shared" si="92"/>
        <v>25531</v>
      </c>
      <c r="R237" s="194">
        <f t="shared" si="92"/>
        <v>65825</v>
      </c>
      <c r="S237" s="194">
        <f t="shared" si="92"/>
        <v>0</v>
      </c>
      <c r="T237" s="194"/>
      <c r="U237" s="194"/>
      <c r="V237" s="200"/>
      <c r="AA237" s="226"/>
      <c r="AB237" s="226"/>
      <c r="AC237" s="226"/>
      <c r="AD237" s="226"/>
      <c r="AE237" s="226"/>
      <c r="AF237" s="226"/>
      <c r="AG237" s="226"/>
      <c r="AH237" s="226"/>
    </row>
    <row r="238" spans="1:34" ht="39.200000000000003" customHeight="1">
      <c r="A238" s="144" t="s">
        <v>73</v>
      </c>
      <c r="B238" s="145" t="s">
        <v>164</v>
      </c>
      <c r="C238" s="144"/>
      <c r="D238" s="145"/>
      <c r="E238" s="144"/>
      <c r="F238" s="146"/>
      <c r="G238" s="144"/>
      <c r="H238" s="144"/>
      <c r="I238" s="169">
        <v>0</v>
      </c>
      <c r="J238" s="169">
        <v>0</v>
      </c>
      <c r="K238" s="169">
        <v>525785</v>
      </c>
      <c r="L238" s="199">
        <f t="shared" ref="L238" si="93">273193+121088</f>
        <v>394281</v>
      </c>
      <c r="M238" s="199"/>
      <c r="N238" s="199"/>
      <c r="O238" s="151">
        <f>SUM(P238:S238)</f>
        <v>131504</v>
      </c>
      <c r="P238" s="194">
        <v>51930</v>
      </c>
      <c r="Q238" s="194">
        <v>20352</v>
      </c>
      <c r="R238" s="194">
        <v>59222</v>
      </c>
      <c r="S238" s="194"/>
      <c r="T238" s="194"/>
      <c r="U238" s="194"/>
      <c r="V238" s="200"/>
      <c r="AA238" s="226"/>
      <c r="AB238" s="226"/>
      <c r="AC238" s="226"/>
      <c r="AD238" s="226"/>
      <c r="AE238" s="226"/>
      <c r="AF238" s="226"/>
      <c r="AG238" s="226"/>
      <c r="AH238" s="226"/>
    </row>
    <row r="239" spans="1:34" ht="40.700000000000003" customHeight="1">
      <c r="A239" s="144" t="s">
        <v>60</v>
      </c>
      <c r="B239" s="145" t="s">
        <v>166</v>
      </c>
      <c r="C239" s="144"/>
      <c r="D239" s="145"/>
      <c r="E239" s="144"/>
      <c r="F239" s="146"/>
      <c r="G239" s="144"/>
      <c r="H239" s="144"/>
      <c r="I239" s="194">
        <f t="shared" ref="I239:S239" si="94">SUM(I240:I244)</f>
        <v>211251</v>
      </c>
      <c r="J239" s="194">
        <f t="shared" si="94"/>
        <v>211251</v>
      </c>
      <c r="K239" s="194">
        <f t="shared" si="94"/>
        <v>203377</v>
      </c>
      <c r="L239" s="194">
        <f t="shared" si="94"/>
        <v>177578</v>
      </c>
      <c r="M239" s="194">
        <f t="shared" si="94"/>
        <v>177578</v>
      </c>
      <c r="N239" s="194">
        <f t="shared" si="94"/>
        <v>177578</v>
      </c>
      <c r="O239" s="195">
        <f t="shared" si="94"/>
        <v>25799</v>
      </c>
      <c r="P239" s="194">
        <f t="shared" si="94"/>
        <v>14017</v>
      </c>
      <c r="Q239" s="194">
        <f t="shared" si="94"/>
        <v>5179</v>
      </c>
      <c r="R239" s="194">
        <f t="shared" si="94"/>
        <v>6603</v>
      </c>
      <c r="S239" s="194">
        <f t="shared" si="94"/>
        <v>0</v>
      </c>
      <c r="T239" s="194"/>
      <c r="U239" s="194"/>
      <c r="V239" s="200"/>
      <c r="AA239" s="226"/>
      <c r="AB239" s="226"/>
      <c r="AC239" s="226"/>
      <c r="AD239" s="226"/>
      <c r="AE239" s="226"/>
      <c r="AF239" s="226"/>
      <c r="AG239" s="226"/>
      <c r="AH239" s="226"/>
    </row>
    <row r="240" spans="1:34" ht="165">
      <c r="A240" s="166">
        <v>1</v>
      </c>
      <c r="B240" s="167" t="s">
        <v>359</v>
      </c>
      <c r="C240" s="166" t="s">
        <v>32</v>
      </c>
      <c r="D240" s="166" t="s">
        <v>187</v>
      </c>
      <c r="E240" s="166" t="s">
        <v>2</v>
      </c>
      <c r="F240" s="168">
        <v>7607483</v>
      </c>
      <c r="G240" s="166" t="s">
        <v>34</v>
      </c>
      <c r="H240" s="166" t="s">
        <v>363</v>
      </c>
      <c r="I240" s="190">
        <v>120757</v>
      </c>
      <c r="J240" s="190">
        <v>120757</v>
      </c>
      <c r="K240" s="190">
        <v>120757</v>
      </c>
      <c r="L240" s="190">
        <f>75578+40000</f>
        <v>115578</v>
      </c>
      <c r="M240" s="190">
        <f>40000+75578</f>
        <v>115578</v>
      </c>
      <c r="N240" s="190">
        <f>40000+75578</f>
        <v>115578</v>
      </c>
      <c r="O240" s="151">
        <f>SUM(P240:S240)</f>
        <v>5179</v>
      </c>
      <c r="P240" s="190"/>
      <c r="Q240" s="190">
        <v>5179</v>
      </c>
      <c r="R240" s="190"/>
      <c r="S240" s="190"/>
      <c r="T240" s="190"/>
      <c r="U240" s="190"/>
      <c r="V240" s="200"/>
      <c r="AA240" s="226"/>
      <c r="AB240" s="226"/>
      <c r="AC240" s="226"/>
      <c r="AD240" s="226"/>
      <c r="AE240" s="226"/>
      <c r="AF240" s="226"/>
      <c r="AG240" s="226"/>
      <c r="AH240" s="226"/>
    </row>
    <row r="241" spans="1:34" ht="66">
      <c r="A241" s="166">
        <v>2</v>
      </c>
      <c r="B241" s="167" t="s">
        <v>489</v>
      </c>
      <c r="C241" s="166" t="s">
        <v>32</v>
      </c>
      <c r="D241" s="166" t="s">
        <v>187</v>
      </c>
      <c r="E241" s="166" t="s">
        <v>3</v>
      </c>
      <c r="F241" s="168">
        <v>7644035</v>
      </c>
      <c r="G241" s="166" t="s">
        <v>18</v>
      </c>
      <c r="H241" s="166" t="s">
        <v>617</v>
      </c>
      <c r="I241" s="190">
        <v>28288</v>
      </c>
      <c r="J241" s="190">
        <v>28288</v>
      </c>
      <c r="K241" s="190">
        <v>25459</v>
      </c>
      <c r="L241" s="190">
        <v>21000</v>
      </c>
      <c r="M241" s="190">
        <v>21000</v>
      </c>
      <c r="N241" s="190">
        <v>21000</v>
      </c>
      <c r="O241" s="151">
        <f>SUM(P241:S241)</f>
        <v>4459</v>
      </c>
      <c r="P241" s="190">
        <v>1630</v>
      </c>
      <c r="Q241" s="190"/>
      <c r="R241" s="190">
        <v>2829</v>
      </c>
      <c r="S241" s="190"/>
      <c r="T241" s="190"/>
      <c r="U241" s="190"/>
      <c r="V241" s="200"/>
      <c r="AA241" s="226"/>
      <c r="AB241" s="226"/>
      <c r="AC241" s="226"/>
      <c r="AD241" s="226"/>
      <c r="AE241" s="226"/>
      <c r="AF241" s="226"/>
      <c r="AG241" s="226"/>
      <c r="AH241" s="226"/>
    </row>
    <row r="242" spans="1:34" ht="66">
      <c r="A242" s="166">
        <v>3</v>
      </c>
      <c r="B242" s="167" t="s">
        <v>490</v>
      </c>
      <c r="C242" s="166" t="s">
        <v>32</v>
      </c>
      <c r="D242" s="166" t="s">
        <v>187</v>
      </c>
      <c r="E242" s="166" t="s">
        <v>3</v>
      </c>
      <c r="F242" s="168">
        <v>7614057</v>
      </c>
      <c r="G242" s="166" t="s">
        <v>18</v>
      </c>
      <c r="H242" s="166" t="s">
        <v>618</v>
      </c>
      <c r="I242" s="190">
        <v>23698</v>
      </c>
      <c r="J242" s="190">
        <v>23698</v>
      </c>
      <c r="K242" s="190">
        <v>21328</v>
      </c>
      <c r="L242" s="190">
        <v>14000</v>
      </c>
      <c r="M242" s="190">
        <v>14000</v>
      </c>
      <c r="N242" s="190">
        <v>14000</v>
      </c>
      <c r="O242" s="151">
        <f>SUM(P242:S242)</f>
        <v>7328</v>
      </c>
      <c r="P242" s="190">
        <v>4958</v>
      </c>
      <c r="Q242" s="190"/>
      <c r="R242" s="190">
        <v>2370</v>
      </c>
      <c r="S242" s="190"/>
      <c r="T242" s="190"/>
      <c r="U242" s="190"/>
      <c r="V242" s="200"/>
      <c r="AA242" s="226"/>
      <c r="AB242" s="226"/>
      <c r="AC242" s="226"/>
      <c r="AD242" s="226"/>
      <c r="AE242" s="226"/>
      <c r="AF242" s="226"/>
      <c r="AG242" s="226"/>
      <c r="AH242" s="226"/>
    </row>
    <row r="243" spans="1:34" ht="66">
      <c r="A243" s="166">
        <v>4</v>
      </c>
      <c r="B243" s="167" t="s">
        <v>491</v>
      </c>
      <c r="C243" s="166" t="s">
        <v>32</v>
      </c>
      <c r="D243" s="166" t="s">
        <v>187</v>
      </c>
      <c r="E243" s="166" t="s">
        <v>3</v>
      </c>
      <c r="F243" s="168">
        <v>7610848</v>
      </c>
      <c r="G243" s="166" t="s">
        <v>225</v>
      </c>
      <c r="H243" s="166" t="s">
        <v>619</v>
      </c>
      <c r="I243" s="190">
        <v>12762</v>
      </c>
      <c r="J243" s="190">
        <v>12762</v>
      </c>
      <c r="K243" s="190">
        <v>11358</v>
      </c>
      <c r="L243" s="190">
        <v>5000</v>
      </c>
      <c r="M243" s="190">
        <v>5000</v>
      </c>
      <c r="N243" s="190">
        <v>5000</v>
      </c>
      <c r="O243" s="151">
        <f>SUM(P243:S243)</f>
        <v>6358</v>
      </c>
      <c r="P243" s="190">
        <v>4954</v>
      </c>
      <c r="Q243" s="190"/>
      <c r="R243" s="190">
        <v>1404</v>
      </c>
      <c r="S243" s="190"/>
      <c r="T243" s="190"/>
      <c r="U243" s="190"/>
      <c r="V243" s="200"/>
      <c r="AA243" s="226"/>
      <c r="AB243" s="226"/>
      <c r="AC243" s="226"/>
      <c r="AD243" s="226"/>
      <c r="AE243" s="226"/>
      <c r="AF243" s="226"/>
      <c r="AG243" s="226"/>
      <c r="AH243" s="226"/>
    </row>
    <row r="244" spans="1:34" ht="82.5">
      <c r="A244" s="166">
        <v>5</v>
      </c>
      <c r="B244" s="167" t="s">
        <v>204</v>
      </c>
      <c r="C244" s="166" t="s">
        <v>32</v>
      </c>
      <c r="D244" s="166" t="s">
        <v>187</v>
      </c>
      <c r="E244" s="166" t="s">
        <v>3</v>
      </c>
      <c r="F244" s="168">
        <v>7004692</v>
      </c>
      <c r="G244" s="166" t="s">
        <v>18</v>
      </c>
      <c r="H244" s="166" t="s">
        <v>206</v>
      </c>
      <c r="I244" s="190">
        <v>25746</v>
      </c>
      <c r="J244" s="190">
        <v>25746</v>
      </c>
      <c r="K244" s="190">
        <f>23271+1204</f>
        <v>24475</v>
      </c>
      <c r="L244" s="190">
        <v>22000</v>
      </c>
      <c r="M244" s="190">
        <v>22000</v>
      </c>
      <c r="N244" s="190">
        <v>22000</v>
      </c>
      <c r="O244" s="151">
        <f>SUM(P244:S244)</f>
        <v>2475</v>
      </c>
      <c r="P244" s="190">
        <v>2475</v>
      </c>
      <c r="Q244" s="190"/>
      <c r="R244" s="190"/>
      <c r="S244" s="190"/>
      <c r="T244" s="190"/>
      <c r="U244" s="190"/>
      <c r="V244" s="166"/>
      <c r="AA244" s="226"/>
      <c r="AB244" s="226"/>
      <c r="AC244" s="226"/>
      <c r="AD244" s="226"/>
      <c r="AE244" s="226"/>
      <c r="AF244" s="226"/>
      <c r="AG244" s="226"/>
      <c r="AH244" s="226"/>
    </row>
    <row r="245" spans="1:34" ht="28.5" customHeight="1">
      <c r="A245" s="144" t="s">
        <v>174</v>
      </c>
      <c r="B245" s="145" t="s">
        <v>175</v>
      </c>
      <c r="C245" s="144"/>
      <c r="D245" s="145"/>
      <c r="E245" s="144"/>
      <c r="F245" s="146"/>
      <c r="G245" s="144"/>
      <c r="H245" s="144"/>
      <c r="I245" s="194">
        <f t="shared" ref="I245:S245" si="95">I246+I247</f>
        <v>122388.079484</v>
      </c>
      <c r="J245" s="194">
        <f t="shared" si="95"/>
        <v>122388.079484</v>
      </c>
      <c r="K245" s="194">
        <f t="shared" si="95"/>
        <v>594173</v>
      </c>
      <c r="L245" s="194">
        <f t="shared" si="95"/>
        <v>414430</v>
      </c>
      <c r="M245" s="194">
        <f t="shared" si="95"/>
        <v>49000</v>
      </c>
      <c r="N245" s="194">
        <f t="shared" si="95"/>
        <v>49000</v>
      </c>
      <c r="O245" s="195">
        <f t="shared" si="95"/>
        <v>149393</v>
      </c>
      <c r="P245" s="194">
        <f t="shared" si="95"/>
        <v>54140</v>
      </c>
      <c r="Q245" s="194">
        <f t="shared" si="95"/>
        <v>38863</v>
      </c>
      <c r="R245" s="194">
        <f t="shared" si="95"/>
        <v>56390</v>
      </c>
      <c r="S245" s="194">
        <f t="shared" si="95"/>
        <v>0</v>
      </c>
      <c r="T245" s="194"/>
      <c r="U245" s="194"/>
      <c r="V245" s="200"/>
      <c r="AA245" s="226"/>
      <c r="AB245" s="226"/>
      <c r="AC245" s="226"/>
      <c r="AD245" s="226"/>
      <c r="AE245" s="226"/>
      <c r="AF245" s="226"/>
      <c r="AG245" s="226"/>
      <c r="AH245" s="226"/>
    </row>
    <row r="246" spans="1:34" ht="37.5" customHeight="1">
      <c r="A246" s="144" t="s">
        <v>73</v>
      </c>
      <c r="B246" s="145" t="s">
        <v>164</v>
      </c>
      <c r="C246" s="144"/>
      <c r="D246" s="145"/>
      <c r="E246" s="144"/>
      <c r="F246" s="146"/>
      <c r="G246" s="144"/>
      <c r="H246" s="144"/>
      <c r="I246" s="169">
        <v>0</v>
      </c>
      <c r="J246" s="169">
        <v>0</v>
      </c>
      <c r="K246" s="169">
        <v>487313</v>
      </c>
      <c r="L246" s="199">
        <f>253202+112228</f>
        <v>365430</v>
      </c>
      <c r="M246" s="199"/>
      <c r="N246" s="199"/>
      <c r="O246" s="151">
        <f>SUM(P246:S246)</f>
        <v>121883</v>
      </c>
      <c r="P246" s="199">
        <v>48130</v>
      </c>
      <c r="Q246" s="199">
        <v>18863</v>
      </c>
      <c r="R246" s="199">
        <v>54890</v>
      </c>
      <c r="S246" s="199"/>
      <c r="T246" s="199"/>
      <c r="U246" s="199"/>
      <c r="V246" s="200"/>
      <c r="AA246" s="226"/>
      <c r="AB246" s="226"/>
      <c r="AC246" s="226"/>
      <c r="AD246" s="226"/>
      <c r="AE246" s="226"/>
      <c r="AF246" s="226"/>
      <c r="AG246" s="226"/>
      <c r="AH246" s="226"/>
    </row>
    <row r="247" spans="1:34" ht="42.75" customHeight="1">
      <c r="A247" s="144" t="s">
        <v>60</v>
      </c>
      <c r="B247" s="145" t="s">
        <v>166</v>
      </c>
      <c r="C247" s="144"/>
      <c r="D247" s="145"/>
      <c r="E247" s="144"/>
      <c r="F247" s="146"/>
      <c r="G247" s="144"/>
      <c r="H247" s="144"/>
      <c r="I247" s="194">
        <f>SUM(I248:I251)</f>
        <v>122388.079484</v>
      </c>
      <c r="J247" s="194">
        <f t="shared" ref="J247:S247" si="96">SUM(J248:J251)</f>
        <v>122388.079484</v>
      </c>
      <c r="K247" s="194">
        <f t="shared" si="96"/>
        <v>106860</v>
      </c>
      <c r="L247" s="194">
        <f t="shared" si="96"/>
        <v>49000</v>
      </c>
      <c r="M247" s="194">
        <f t="shared" si="96"/>
        <v>49000</v>
      </c>
      <c r="N247" s="194">
        <f t="shared" si="96"/>
        <v>49000</v>
      </c>
      <c r="O247" s="195">
        <f t="shared" si="96"/>
        <v>27510</v>
      </c>
      <c r="P247" s="194">
        <f t="shared" si="96"/>
        <v>6010</v>
      </c>
      <c r="Q247" s="194">
        <f t="shared" si="96"/>
        <v>20000</v>
      </c>
      <c r="R247" s="194">
        <f t="shared" si="96"/>
        <v>1500</v>
      </c>
      <c r="S247" s="194">
        <f t="shared" si="96"/>
        <v>0</v>
      </c>
      <c r="T247" s="194"/>
      <c r="U247" s="194"/>
      <c r="V247" s="200"/>
      <c r="AA247" s="226"/>
      <c r="AB247" s="226"/>
      <c r="AC247" s="226"/>
      <c r="AD247" s="226"/>
      <c r="AE247" s="226"/>
      <c r="AF247" s="226"/>
      <c r="AG247" s="226"/>
      <c r="AH247" s="226"/>
    </row>
    <row r="248" spans="1:34" ht="82.5">
      <c r="A248" s="166">
        <v>1</v>
      </c>
      <c r="B248" s="167" t="s">
        <v>191</v>
      </c>
      <c r="C248" s="166" t="s">
        <v>62</v>
      </c>
      <c r="D248" s="166" t="s">
        <v>620</v>
      </c>
      <c r="E248" s="166" t="s">
        <v>3</v>
      </c>
      <c r="F248" s="168">
        <v>7004692</v>
      </c>
      <c r="G248" s="166" t="s">
        <v>18</v>
      </c>
      <c r="H248" s="166" t="s">
        <v>195</v>
      </c>
      <c r="I248" s="190">
        <v>25184.909</v>
      </c>
      <c r="J248" s="190">
        <v>25184.909</v>
      </c>
      <c r="K248" s="190">
        <v>22290</v>
      </c>
      <c r="L248" s="190">
        <v>17000</v>
      </c>
      <c r="M248" s="190">
        <v>17000</v>
      </c>
      <c r="N248" s="190">
        <v>17000</v>
      </c>
      <c r="O248" s="151">
        <f>SUM(P248:S248)</f>
        <v>5140</v>
      </c>
      <c r="P248" s="190">
        <v>5140</v>
      </c>
      <c r="Q248" s="190"/>
      <c r="R248" s="190"/>
      <c r="S248" s="190"/>
      <c r="T248" s="190"/>
      <c r="U248" s="190"/>
      <c r="V248" s="200"/>
      <c r="AA248" s="226"/>
      <c r="AB248" s="226"/>
      <c r="AC248" s="226"/>
      <c r="AD248" s="226"/>
      <c r="AE248" s="226"/>
      <c r="AF248" s="226"/>
      <c r="AG248" s="226"/>
      <c r="AH248" s="226"/>
    </row>
    <row r="249" spans="1:34" ht="82.5">
      <c r="A249" s="166">
        <v>2</v>
      </c>
      <c r="B249" s="167" t="s">
        <v>196</v>
      </c>
      <c r="C249" s="166" t="s">
        <v>62</v>
      </c>
      <c r="D249" s="166" t="s">
        <v>620</v>
      </c>
      <c r="E249" s="166" t="s">
        <v>3</v>
      </c>
      <c r="F249" s="168">
        <v>7004686</v>
      </c>
      <c r="G249" s="166" t="s">
        <v>18</v>
      </c>
      <c r="H249" s="166" t="s">
        <v>199</v>
      </c>
      <c r="I249" s="190">
        <v>11839.170484</v>
      </c>
      <c r="J249" s="190">
        <v>11839.170484</v>
      </c>
      <c r="K249" s="190">
        <v>10970</v>
      </c>
      <c r="L249" s="190">
        <v>10000</v>
      </c>
      <c r="M249" s="190">
        <v>10000</v>
      </c>
      <c r="N249" s="190">
        <v>10000</v>
      </c>
      <c r="O249" s="151">
        <f>SUM(P249:S249)</f>
        <v>870</v>
      </c>
      <c r="P249" s="190">
        <v>870</v>
      </c>
      <c r="Q249" s="190"/>
      <c r="R249" s="190"/>
      <c r="S249" s="190"/>
      <c r="T249" s="190"/>
      <c r="U249" s="190"/>
      <c r="V249" s="200"/>
      <c r="AA249" s="226"/>
      <c r="AB249" s="226"/>
      <c r="AC249" s="226"/>
      <c r="AD249" s="226"/>
      <c r="AE249" s="226"/>
      <c r="AF249" s="226"/>
      <c r="AG249" s="226"/>
      <c r="AH249" s="226"/>
    </row>
    <row r="250" spans="1:34" ht="66">
      <c r="A250" s="166">
        <v>4</v>
      </c>
      <c r="B250" s="167" t="s">
        <v>492</v>
      </c>
      <c r="C250" s="166" t="s">
        <v>62</v>
      </c>
      <c r="D250" s="166" t="s">
        <v>620</v>
      </c>
      <c r="E250" s="166" t="s">
        <v>3</v>
      </c>
      <c r="F250" s="168">
        <v>7614574</v>
      </c>
      <c r="G250" s="166" t="s">
        <v>18</v>
      </c>
      <c r="H250" s="166" t="s">
        <v>621</v>
      </c>
      <c r="I250" s="190">
        <v>27682</v>
      </c>
      <c r="J250" s="190">
        <v>27682</v>
      </c>
      <c r="K250" s="190">
        <v>21600</v>
      </c>
      <c r="L250" s="190">
        <f>12000+8000</f>
        <v>20000</v>
      </c>
      <c r="M250" s="190">
        <v>20000</v>
      </c>
      <c r="N250" s="190">
        <v>20000</v>
      </c>
      <c r="O250" s="151">
        <f>SUM(P250:S250)</f>
        <v>1500</v>
      </c>
      <c r="P250" s="190"/>
      <c r="Q250" s="190"/>
      <c r="R250" s="190">
        <v>1500</v>
      </c>
      <c r="S250" s="190"/>
      <c r="T250" s="190"/>
      <c r="U250" s="190"/>
      <c r="V250" s="200"/>
      <c r="AA250" s="226"/>
      <c r="AB250" s="226"/>
      <c r="AC250" s="226"/>
      <c r="AD250" s="226"/>
      <c r="AE250" s="226"/>
      <c r="AF250" s="226"/>
      <c r="AG250" s="226"/>
      <c r="AH250" s="226"/>
    </row>
    <row r="251" spans="1:34" ht="66">
      <c r="A251" s="166">
        <v>5</v>
      </c>
      <c r="B251" s="167" t="s">
        <v>493</v>
      </c>
      <c r="C251" s="166" t="s">
        <v>62</v>
      </c>
      <c r="D251" s="166" t="s">
        <v>620</v>
      </c>
      <c r="E251" s="166" t="s">
        <v>3</v>
      </c>
      <c r="F251" s="168">
        <v>7568242</v>
      </c>
      <c r="G251" s="166" t="s">
        <v>502</v>
      </c>
      <c r="H251" s="166" t="s">
        <v>622</v>
      </c>
      <c r="I251" s="190">
        <v>57682</v>
      </c>
      <c r="J251" s="190">
        <v>57682</v>
      </c>
      <c r="K251" s="190">
        <v>52000</v>
      </c>
      <c r="L251" s="190">
        <v>2000</v>
      </c>
      <c r="M251" s="190">
        <v>2000</v>
      </c>
      <c r="N251" s="190">
        <v>2000</v>
      </c>
      <c r="O251" s="151">
        <f>SUM(P251:S251)</f>
        <v>20000</v>
      </c>
      <c r="P251" s="190"/>
      <c r="Q251" s="190">
        <v>20000</v>
      </c>
      <c r="R251" s="190"/>
      <c r="S251" s="190"/>
      <c r="T251" s="190"/>
      <c r="U251" s="190"/>
      <c r="V251" s="200"/>
      <c r="AA251" s="226"/>
      <c r="AB251" s="226"/>
      <c r="AC251" s="226"/>
      <c r="AD251" s="226"/>
      <c r="AE251" s="226"/>
      <c r="AF251" s="226"/>
      <c r="AG251" s="226"/>
      <c r="AH251" s="226"/>
    </row>
    <row r="252" spans="1:34">
      <c r="AA252" s="210"/>
      <c r="AB252" s="210"/>
      <c r="AC252" s="210"/>
      <c r="AD252" s="210"/>
      <c r="AE252" s="210"/>
      <c r="AF252" s="210"/>
      <c r="AG252" s="210"/>
      <c r="AH252" s="210"/>
    </row>
  </sheetData>
  <mergeCells count="33">
    <mergeCell ref="A1:B1"/>
    <mergeCell ref="A2:V2"/>
    <mergeCell ref="A3:V3"/>
    <mergeCell ref="A4:V4"/>
    <mergeCell ref="R6:V6"/>
    <mergeCell ref="V7:V11"/>
    <mergeCell ref="I8:J8"/>
    <mergeCell ref="I9:I11"/>
    <mergeCell ref="M9:M11"/>
    <mergeCell ref="N9:N11"/>
    <mergeCell ref="O9:O11"/>
    <mergeCell ref="T10:T11"/>
    <mergeCell ref="U10:U11"/>
    <mergeCell ref="P9:U9"/>
    <mergeCell ref="L7:L11"/>
    <mergeCell ref="M7:N8"/>
    <mergeCell ref="O7:S8"/>
    <mergeCell ref="AF7:AG7"/>
    <mergeCell ref="A7:A11"/>
    <mergeCell ref="B7:B11"/>
    <mergeCell ref="C7:C11"/>
    <mergeCell ref="D7:D11"/>
    <mergeCell ref="J9:J11"/>
    <mergeCell ref="Q10:Q11"/>
    <mergeCell ref="R10:R11"/>
    <mergeCell ref="S10:S11"/>
    <mergeCell ref="H8:H11"/>
    <mergeCell ref="E7:E11"/>
    <mergeCell ref="F7:F11"/>
    <mergeCell ref="G7:G11"/>
    <mergeCell ref="H7:J7"/>
    <mergeCell ref="K7:K11"/>
    <mergeCell ref="P10:P11"/>
  </mergeCells>
  <printOptions horizontalCentered="1"/>
  <pageMargins left="0.5" right="0.5" top="0.75" bottom="0.75" header="0.3" footer="0.3"/>
  <pageSetup paperSize="8" scale="65" fitToHeight="0" orientation="landscape" r:id="rId1"/>
  <headerFooter>
    <oddFooter>&amp;C&amp;"Times New Roman,Regular"&amp;P/&amp;N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topLeftCell="A1048576" zoomScale="55" zoomScaleNormal="55" workbookViewId="0">
      <selection activeCell="A4" sqref="A1:XFD1048576"/>
    </sheetView>
  </sheetViews>
  <sheetFormatPr defaultColWidth="9.140625" defaultRowHeight="15.75" zeroHeight="1"/>
  <cols>
    <col min="1" max="1" width="5.42578125" style="43" bestFit="1" customWidth="1"/>
    <col min="2" max="2" width="34.140625" style="2" customWidth="1"/>
    <col min="3" max="3" width="15.7109375" style="2" customWidth="1"/>
    <col min="4" max="4" width="12.42578125" style="7" customWidth="1"/>
    <col min="5" max="5" width="11" style="2" customWidth="1"/>
    <col min="6" max="6" width="12" style="2" customWidth="1"/>
    <col min="7" max="7" width="17.7109375" style="2" customWidth="1"/>
    <col min="8" max="8" width="13.28515625" style="2" customWidth="1"/>
    <col min="9" max="9" width="13.140625" style="2" customWidth="1"/>
    <col min="10" max="10" width="12" style="2" customWidth="1"/>
    <col min="11" max="11" width="12.140625" style="2" customWidth="1"/>
    <col min="12" max="12" width="9.42578125" style="2" customWidth="1"/>
    <col min="13" max="13" width="13" style="2" customWidth="1"/>
    <col min="14" max="14" width="12" style="2" customWidth="1"/>
    <col min="15" max="15" width="13.5703125" style="2" customWidth="1"/>
    <col min="16" max="16" width="12" style="2" customWidth="1"/>
    <col min="17" max="17" width="12" style="2" bestFit="1" customWidth="1"/>
    <col min="18" max="18" width="11.28515625" style="2" bestFit="1" customWidth="1"/>
    <col min="19" max="256" width="9.140625" style="2"/>
    <col min="257" max="257" width="5.42578125" style="2" bestFit="1" customWidth="1"/>
    <col min="258" max="258" width="34.140625" style="2" customWidth="1"/>
    <col min="259" max="259" width="15.7109375" style="2" customWidth="1"/>
    <col min="260" max="260" width="12.42578125" style="2" customWidth="1"/>
    <col min="261" max="261" width="11" style="2" customWidth="1"/>
    <col min="262" max="262" width="12" style="2" customWidth="1"/>
    <col min="263" max="263" width="17.7109375" style="2" customWidth="1"/>
    <col min="264" max="264" width="13.28515625" style="2" customWidth="1"/>
    <col min="265" max="265" width="13.140625" style="2" customWidth="1"/>
    <col min="266" max="266" width="12" style="2" customWidth="1"/>
    <col min="267" max="267" width="12.140625" style="2" customWidth="1"/>
    <col min="268" max="268" width="9.42578125" style="2" customWidth="1"/>
    <col min="269" max="269" width="13" style="2" customWidth="1"/>
    <col min="270" max="270" width="12" style="2" customWidth="1"/>
    <col min="271" max="271" width="13.5703125" style="2" customWidth="1"/>
    <col min="272" max="272" width="12" style="2" customWidth="1"/>
    <col min="273" max="273" width="12" style="2" bestFit="1" customWidth="1"/>
    <col min="274" max="274" width="11.28515625" style="2" bestFit="1" customWidth="1"/>
    <col min="275" max="512" width="9.140625" style="2"/>
    <col min="513" max="513" width="5.42578125" style="2" bestFit="1" customWidth="1"/>
    <col min="514" max="514" width="34.140625" style="2" customWidth="1"/>
    <col min="515" max="515" width="15.7109375" style="2" customWidth="1"/>
    <col min="516" max="516" width="12.42578125" style="2" customWidth="1"/>
    <col min="517" max="517" width="11" style="2" customWidth="1"/>
    <col min="518" max="518" width="12" style="2" customWidth="1"/>
    <col min="519" max="519" width="17.7109375" style="2" customWidth="1"/>
    <col min="520" max="520" width="13.28515625" style="2" customWidth="1"/>
    <col min="521" max="521" width="13.140625" style="2" customWidth="1"/>
    <col min="522" max="522" width="12" style="2" customWidth="1"/>
    <col min="523" max="523" width="12.140625" style="2" customWidth="1"/>
    <col min="524" max="524" width="9.42578125" style="2" customWidth="1"/>
    <col min="525" max="525" width="13" style="2" customWidth="1"/>
    <col min="526" max="526" width="12" style="2" customWidth="1"/>
    <col min="527" max="527" width="13.5703125" style="2" customWidth="1"/>
    <col min="528" max="528" width="12" style="2" customWidth="1"/>
    <col min="529" max="529" width="12" style="2" bestFit="1" customWidth="1"/>
    <col min="530" max="530" width="11.28515625" style="2" bestFit="1" customWidth="1"/>
    <col min="531" max="768" width="9.140625" style="2"/>
    <col min="769" max="769" width="5.42578125" style="2" bestFit="1" customWidth="1"/>
    <col min="770" max="770" width="34.140625" style="2" customWidth="1"/>
    <col min="771" max="771" width="15.7109375" style="2" customWidth="1"/>
    <col min="772" max="772" width="12.42578125" style="2" customWidth="1"/>
    <col min="773" max="773" width="11" style="2" customWidth="1"/>
    <col min="774" max="774" width="12" style="2" customWidth="1"/>
    <col min="775" max="775" width="17.7109375" style="2" customWidth="1"/>
    <col min="776" max="776" width="13.28515625" style="2" customWidth="1"/>
    <col min="777" max="777" width="13.140625" style="2" customWidth="1"/>
    <col min="778" max="778" width="12" style="2" customWidth="1"/>
    <col min="779" max="779" width="12.140625" style="2" customWidth="1"/>
    <col min="780" max="780" width="9.42578125" style="2" customWidth="1"/>
    <col min="781" max="781" width="13" style="2" customWidth="1"/>
    <col min="782" max="782" width="12" style="2" customWidth="1"/>
    <col min="783" max="783" width="13.5703125" style="2" customWidth="1"/>
    <col min="784" max="784" width="12" style="2" customWidth="1"/>
    <col min="785" max="785" width="12" style="2" bestFit="1" customWidth="1"/>
    <col min="786" max="786" width="11.28515625" style="2" bestFit="1" customWidth="1"/>
    <col min="787" max="1024" width="9.140625" style="2"/>
    <col min="1025" max="1025" width="5.42578125" style="2" bestFit="1" customWidth="1"/>
    <col min="1026" max="1026" width="34.140625" style="2" customWidth="1"/>
    <col min="1027" max="1027" width="15.7109375" style="2" customWidth="1"/>
    <col min="1028" max="1028" width="12.42578125" style="2" customWidth="1"/>
    <col min="1029" max="1029" width="11" style="2" customWidth="1"/>
    <col min="1030" max="1030" width="12" style="2" customWidth="1"/>
    <col min="1031" max="1031" width="17.7109375" style="2" customWidth="1"/>
    <col min="1032" max="1032" width="13.28515625" style="2" customWidth="1"/>
    <col min="1033" max="1033" width="13.140625" style="2" customWidth="1"/>
    <col min="1034" max="1034" width="12" style="2" customWidth="1"/>
    <col min="1035" max="1035" width="12.140625" style="2" customWidth="1"/>
    <col min="1036" max="1036" width="9.42578125" style="2" customWidth="1"/>
    <col min="1037" max="1037" width="13" style="2" customWidth="1"/>
    <col min="1038" max="1038" width="12" style="2" customWidth="1"/>
    <col min="1039" max="1039" width="13.5703125" style="2" customWidth="1"/>
    <col min="1040" max="1040" width="12" style="2" customWidth="1"/>
    <col min="1041" max="1041" width="12" style="2" bestFit="1" customWidth="1"/>
    <col min="1042" max="1042" width="11.28515625" style="2" bestFit="1" customWidth="1"/>
    <col min="1043" max="1280" width="9.140625" style="2"/>
    <col min="1281" max="1281" width="5.42578125" style="2" bestFit="1" customWidth="1"/>
    <col min="1282" max="1282" width="34.140625" style="2" customWidth="1"/>
    <col min="1283" max="1283" width="15.7109375" style="2" customWidth="1"/>
    <col min="1284" max="1284" width="12.42578125" style="2" customWidth="1"/>
    <col min="1285" max="1285" width="11" style="2" customWidth="1"/>
    <col min="1286" max="1286" width="12" style="2" customWidth="1"/>
    <col min="1287" max="1287" width="17.7109375" style="2" customWidth="1"/>
    <col min="1288" max="1288" width="13.28515625" style="2" customWidth="1"/>
    <col min="1289" max="1289" width="13.140625" style="2" customWidth="1"/>
    <col min="1290" max="1290" width="12" style="2" customWidth="1"/>
    <col min="1291" max="1291" width="12.140625" style="2" customWidth="1"/>
    <col min="1292" max="1292" width="9.42578125" style="2" customWidth="1"/>
    <col min="1293" max="1293" width="13" style="2" customWidth="1"/>
    <col min="1294" max="1294" width="12" style="2" customWidth="1"/>
    <col min="1295" max="1295" width="13.5703125" style="2" customWidth="1"/>
    <col min="1296" max="1296" width="12" style="2" customWidth="1"/>
    <col min="1297" max="1297" width="12" style="2" bestFit="1" customWidth="1"/>
    <col min="1298" max="1298" width="11.28515625" style="2" bestFit="1" customWidth="1"/>
    <col min="1299" max="1536" width="9.140625" style="2"/>
    <col min="1537" max="1537" width="5.42578125" style="2" bestFit="1" customWidth="1"/>
    <col min="1538" max="1538" width="34.140625" style="2" customWidth="1"/>
    <col min="1539" max="1539" width="15.7109375" style="2" customWidth="1"/>
    <col min="1540" max="1540" width="12.42578125" style="2" customWidth="1"/>
    <col min="1541" max="1541" width="11" style="2" customWidth="1"/>
    <col min="1542" max="1542" width="12" style="2" customWidth="1"/>
    <col min="1543" max="1543" width="17.7109375" style="2" customWidth="1"/>
    <col min="1544" max="1544" width="13.28515625" style="2" customWidth="1"/>
    <col min="1545" max="1545" width="13.140625" style="2" customWidth="1"/>
    <col min="1546" max="1546" width="12" style="2" customWidth="1"/>
    <col min="1547" max="1547" width="12.140625" style="2" customWidth="1"/>
    <col min="1548" max="1548" width="9.42578125" style="2" customWidth="1"/>
    <col min="1549" max="1549" width="13" style="2" customWidth="1"/>
    <col min="1550" max="1550" width="12" style="2" customWidth="1"/>
    <col min="1551" max="1551" width="13.5703125" style="2" customWidth="1"/>
    <col min="1552" max="1552" width="12" style="2" customWidth="1"/>
    <col min="1553" max="1553" width="12" style="2" bestFit="1" customWidth="1"/>
    <col min="1554" max="1554" width="11.28515625" style="2" bestFit="1" customWidth="1"/>
    <col min="1555" max="1792" width="9.140625" style="2"/>
    <col min="1793" max="1793" width="5.42578125" style="2" bestFit="1" customWidth="1"/>
    <col min="1794" max="1794" width="34.140625" style="2" customWidth="1"/>
    <col min="1795" max="1795" width="15.7109375" style="2" customWidth="1"/>
    <col min="1796" max="1796" width="12.42578125" style="2" customWidth="1"/>
    <col min="1797" max="1797" width="11" style="2" customWidth="1"/>
    <col min="1798" max="1798" width="12" style="2" customWidth="1"/>
    <col min="1799" max="1799" width="17.7109375" style="2" customWidth="1"/>
    <col min="1800" max="1800" width="13.28515625" style="2" customWidth="1"/>
    <col min="1801" max="1801" width="13.140625" style="2" customWidth="1"/>
    <col min="1802" max="1802" width="12" style="2" customWidth="1"/>
    <col min="1803" max="1803" width="12.140625" style="2" customWidth="1"/>
    <col min="1804" max="1804" width="9.42578125" style="2" customWidth="1"/>
    <col min="1805" max="1805" width="13" style="2" customWidth="1"/>
    <col min="1806" max="1806" width="12" style="2" customWidth="1"/>
    <col min="1807" max="1807" width="13.5703125" style="2" customWidth="1"/>
    <col min="1808" max="1808" width="12" style="2" customWidth="1"/>
    <col min="1809" max="1809" width="12" style="2" bestFit="1" customWidth="1"/>
    <col min="1810" max="1810" width="11.28515625" style="2" bestFit="1" customWidth="1"/>
    <col min="1811" max="2048" width="9.140625" style="2"/>
    <col min="2049" max="2049" width="5.42578125" style="2" bestFit="1" customWidth="1"/>
    <col min="2050" max="2050" width="34.140625" style="2" customWidth="1"/>
    <col min="2051" max="2051" width="15.7109375" style="2" customWidth="1"/>
    <col min="2052" max="2052" width="12.42578125" style="2" customWidth="1"/>
    <col min="2053" max="2053" width="11" style="2" customWidth="1"/>
    <col min="2054" max="2054" width="12" style="2" customWidth="1"/>
    <col min="2055" max="2055" width="17.7109375" style="2" customWidth="1"/>
    <col min="2056" max="2056" width="13.28515625" style="2" customWidth="1"/>
    <col min="2057" max="2057" width="13.140625" style="2" customWidth="1"/>
    <col min="2058" max="2058" width="12" style="2" customWidth="1"/>
    <col min="2059" max="2059" width="12.140625" style="2" customWidth="1"/>
    <col min="2060" max="2060" width="9.42578125" style="2" customWidth="1"/>
    <col min="2061" max="2061" width="13" style="2" customWidth="1"/>
    <col min="2062" max="2062" width="12" style="2" customWidth="1"/>
    <col min="2063" max="2063" width="13.5703125" style="2" customWidth="1"/>
    <col min="2064" max="2064" width="12" style="2" customWidth="1"/>
    <col min="2065" max="2065" width="12" style="2" bestFit="1" customWidth="1"/>
    <col min="2066" max="2066" width="11.28515625" style="2" bestFit="1" customWidth="1"/>
    <col min="2067" max="2304" width="9.140625" style="2"/>
    <col min="2305" max="2305" width="5.42578125" style="2" bestFit="1" customWidth="1"/>
    <col min="2306" max="2306" width="34.140625" style="2" customWidth="1"/>
    <col min="2307" max="2307" width="15.7109375" style="2" customWidth="1"/>
    <col min="2308" max="2308" width="12.42578125" style="2" customWidth="1"/>
    <col min="2309" max="2309" width="11" style="2" customWidth="1"/>
    <col min="2310" max="2310" width="12" style="2" customWidth="1"/>
    <col min="2311" max="2311" width="17.7109375" style="2" customWidth="1"/>
    <col min="2312" max="2312" width="13.28515625" style="2" customWidth="1"/>
    <col min="2313" max="2313" width="13.140625" style="2" customWidth="1"/>
    <col min="2314" max="2314" width="12" style="2" customWidth="1"/>
    <col min="2315" max="2315" width="12.140625" style="2" customWidth="1"/>
    <col min="2316" max="2316" width="9.42578125" style="2" customWidth="1"/>
    <col min="2317" max="2317" width="13" style="2" customWidth="1"/>
    <col min="2318" max="2318" width="12" style="2" customWidth="1"/>
    <col min="2319" max="2319" width="13.5703125" style="2" customWidth="1"/>
    <col min="2320" max="2320" width="12" style="2" customWidth="1"/>
    <col min="2321" max="2321" width="12" style="2" bestFit="1" customWidth="1"/>
    <col min="2322" max="2322" width="11.28515625" style="2" bestFit="1" customWidth="1"/>
    <col min="2323" max="2560" width="9.140625" style="2"/>
    <col min="2561" max="2561" width="5.42578125" style="2" bestFit="1" customWidth="1"/>
    <col min="2562" max="2562" width="34.140625" style="2" customWidth="1"/>
    <col min="2563" max="2563" width="15.7109375" style="2" customWidth="1"/>
    <col min="2564" max="2564" width="12.42578125" style="2" customWidth="1"/>
    <col min="2565" max="2565" width="11" style="2" customWidth="1"/>
    <col min="2566" max="2566" width="12" style="2" customWidth="1"/>
    <col min="2567" max="2567" width="17.7109375" style="2" customWidth="1"/>
    <col min="2568" max="2568" width="13.28515625" style="2" customWidth="1"/>
    <col min="2569" max="2569" width="13.140625" style="2" customWidth="1"/>
    <col min="2570" max="2570" width="12" style="2" customWidth="1"/>
    <col min="2571" max="2571" width="12.140625" style="2" customWidth="1"/>
    <col min="2572" max="2572" width="9.42578125" style="2" customWidth="1"/>
    <col min="2573" max="2573" width="13" style="2" customWidth="1"/>
    <col min="2574" max="2574" width="12" style="2" customWidth="1"/>
    <col min="2575" max="2575" width="13.5703125" style="2" customWidth="1"/>
    <col min="2576" max="2576" width="12" style="2" customWidth="1"/>
    <col min="2577" max="2577" width="12" style="2" bestFit="1" customWidth="1"/>
    <col min="2578" max="2578" width="11.28515625" style="2" bestFit="1" customWidth="1"/>
    <col min="2579" max="2816" width="9.140625" style="2"/>
    <col min="2817" max="2817" width="5.42578125" style="2" bestFit="1" customWidth="1"/>
    <col min="2818" max="2818" width="34.140625" style="2" customWidth="1"/>
    <col min="2819" max="2819" width="15.7109375" style="2" customWidth="1"/>
    <col min="2820" max="2820" width="12.42578125" style="2" customWidth="1"/>
    <col min="2821" max="2821" width="11" style="2" customWidth="1"/>
    <col min="2822" max="2822" width="12" style="2" customWidth="1"/>
    <col min="2823" max="2823" width="17.7109375" style="2" customWidth="1"/>
    <col min="2824" max="2824" width="13.28515625" style="2" customWidth="1"/>
    <col min="2825" max="2825" width="13.140625" style="2" customWidth="1"/>
    <col min="2826" max="2826" width="12" style="2" customWidth="1"/>
    <col min="2827" max="2827" width="12.140625" style="2" customWidth="1"/>
    <col min="2828" max="2828" width="9.42578125" style="2" customWidth="1"/>
    <col min="2829" max="2829" width="13" style="2" customWidth="1"/>
    <col min="2830" max="2830" width="12" style="2" customWidth="1"/>
    <col min="2831" max="2831" width="13.5703125" style="2" customWidth="1"/>
    <col min="2832" max="2832" width="12" style="2" customWidth="1"/>
    <col min="2833" max="2833" width="12" style="2" bestFit="1" customWidth="1"/>
    <col min="2834" max="2834" width="11.28515625" style="2" bestFit="1" customWidth="1"/>
    <col min="2835" max="3072" width="9.140625" style="2"/>
    <col min="3073" max="3073" width="5.42578125" style="2" bestFit="1" customWidth="1"/>
    <col min="3074" max="3074" width="34.140625" style="2" customWidth="1"/>
    <col min="3075" max="3075" width="15.7109375" style="2" customWidth="1"/>
    <col min="3076" max="3076" width="12.42578125" style="2" customWidth="1"/>
    <col min="3077" max="3077" width="11" style="2" customWidth="1"/>
    <col min="3078" max="3078" width="12" style="2" customWidth="1"/>
    <col min="3079" max="3079" width="17.7109375" style="2" customWidth="1"/>
    <col min="3080" max="3080" width="13.28515625" style="2" customWidth="1"/>
    <col min="3081" max="3081" width="13.140625" style="2" customWidth="1"/>
    <col min="3082" max="3082" width="12" style="2" customWidth="1"/>
    <col min="3083" max="3083" width="12.140625" style="2" customWidth="1"/>
    <col min="3084" max="3084" width="9.42578125" style="2" customWidth="1"/>
    <col min="3085" max="3085" width="13" style="2" customWidth="1"/>
    <col min="3086" max="3086" width="12" style="2" customWidth="1"/>
    <col min="3087" max="3087" width="13.5703125" style="2" customWidth="1"/>
    <col min="3088" max="3088" width="12" style="2" customWidth="1"/>
    <col min="3089" max="3089" width="12" style="2" bestFit="1" customWidth="1"/>
    <col min="3090" max="3090" width="11.28515625" style="2" bestFit="1" customWidth="1"/>
    <col min="3091" max="3328" width="9.140625" style="2"/>
    <col min="3329" max="3329" width="5.42578125" style="2" bestFit="1" customWidth="1"/>
    <col min="3330" max="3330" width="34.140625" style="2" customWidth="1"/>
    <col min="3331" max="3331" width="15.7109375" style="2" customWidth="1"/>
    <col min="3332" max="3332" width="12.42578125" style="2" customWidth="1"/>
    <col min="3333" max="3333" width="11" style="2" customWidth="1"/>
    <col min="3334" max="3334" width="12" style="2" customWidth="1"/>
    <col min="3335" max="3335" width="17.7109375" style="2" customWidth="1"/>
    <col min="3336" max="3336" width="13.28515625" style="2" customWidth="1"/>
    <col min="3337" max="3337" width="13.140625" style="2" customWidth="1"/>
    <col min="3338" max="3338" width="12" style="2" customWidth="1"/>
    <col min="3339" max="3339" width="12.140625" style="2" customWidth="1"/>
    <col min="3340" max="3340" width="9.42578125" style="2" customWidth="1"/>
    <col min="3341" max="3341" width="13" style="2" customWidth="1"/>
    <col min="3342" max="3342" width="12" style="2" customWidth="1"/>
    <col min="3343" max="3343" width="13.5703125" style="2" customWidth="1"/>
    <col min="3344" max="3344" width="12" style="2" customWidth="1"/>
    <col min="3345" max="3345" width="12" style="2" bestFit="1" customWidth="1"/>
    <col min="3346" max="3346" width="11.28515625" style="2" bestFit="1" customWidth="1"/>
    <col min="3347" max="3584" width="9.140625" style="2"/>
    <col min="3585" max="3585" width="5.42578125" style="2" bestFit="1" customWidth="1"/>
    <col min="3586" max="3586" width="34.140625" style="2" customWidth="1"/>
    <col min="3587" max="3587" width="15.7109375" style="2" customWidth="1"/>
    <col min="3588" max="3588" width="12.42578125" style="2" customWidth="1"/>
    <col min="3589" max="3589" width="11" style="2" customWidth="1"/>
    <col min="3590" max="3590" width="12" style="2" customWidth="1"/>
    <col min="3591" max="3591" width="17.7109375" style="2" customWidth="1"/>
    <col min="3592" max="3592" width="13.28515625" style="2" customWidth="1"/>
    <col min="3593" max="3593" width="13.140625" style="2" customWidth="1"/>
    <col min="3594" max="3594" width="12" style="2" customWidth="1"/>
    <col min="3595" max="3595" width="12.140625" style="2" customWidth="1"/>
    <col min="3596" max="3596" width="9.42578125" style="2" customWidth="1"/>
    <col min="3597" max="3597" width="13" style="2" customWidth="1"/>
    <col min="3598" max="3598" width="12" style="2" customWidth="1"/>
    <col min="3599" max="3599" width="13.5703125" style="2" customWidth="1"/>
    <col min="3600" max="3600" width="12" style="2" customWidth="1"/>
    <col min="3601" max="3601" width="12" style="2" bestFit="1" customWidth="1"/>
    <col min="3602" max="3602" width="11.28515625" style="2" bestFit="1" customWidth="1"/>
    <col min="3603" max="3840" width="9.140625" style="2"/>
    <col min="3841" max="3841" width="5.42578125" style="2" bestFit="1" customWidth="1"/>
    <col min="3842" max="3842" width="34.140625" style="2" customWidth="1"/>
    <col min="3843" max="3843" width="15.7109375" style="2" customWidth="1"/>
    <col min="3844" max="3844" width="12.42578125" style="2" customWidth="1"/>
    <col min="3845" max="3845" width="11" style="2" customWidth="1"/>
    <col min="3846" max="3846" width="12" style="2" customWidth="1"/>
    <col min="3847" max="3847" width="17.7109375" style="2" customWidth="1"/>
    <col min="3848" max="3848" width="13.28515625" style="2" customWidth="1"/>
    <col min="3849" max="3849" width="13.140625" style="2" customWidth="1"/>
    <col min="3850" max="3850" width="12" style="2" customWidth="1"/>
    <col min="3851" max="3851" width="12.140625" style="2" customWidth="1"/>
    <col min="3852" max="3852" width="9.42578125" style="2" customWidth="1"/>
    <col min="3853" max="3853" width="13" style="2" customWidth="1"/>
    <col min="3854" max="3854" width="12" style="2" customWidth="1"/>
    <col min="3855" max="3855" width="13.5703125" style="2" customWidth="1"/>
    <col min="3856" max="3856" width="12" style="2" customWidth="1"/>
    <col min="3857" max="3857" width="12" style="2" bestFit="1" customWidth="1"/>
    <col min="3858" max="3858" width="11.28515625" style="2" bestFit="1" customWidth="1"/>
    <col min="3859" max="4096" width="9.140625" style="2"/>
    <col min="4097" max="4097" width="5.42578125" style="2" bestFit="1" customWidth="1"/>
    <col min="4098" max="4098" width="34.140625" style="2" customWidth="1"/>
    <col min="4099" max="4099" width="15.7109375" style="2" customWidth="1"/>
    <col min="4100" max="4100" width="12.42578125" style="2" customWidth="1"/>
    <col min="4101" max="4101" width="11" style="2" customWidth="1"/>
    <col min="4102" max="4102" width="12" style="2" customWidth="1"/>
    <col min="4103" max="4103" width="17.7109375" style="2" customWidth="1"/>
    <col min="4104" max="4104" width="13.28515625" style="2" customWidth="1"/>
    <col min="4105" max="4105" width="13.140625" style="2" customWidth="1"/>
    <col min="4106" max="4106" width="12" style="2" customWidth="1"/>
    <col min="4107" max="4107" width="12.140625" style="2" customWidth="1"/>
    <col min="4108" max="4108" width="9.42578125" style="2" customWidth="1"/>
    <col min="4109" max="4109" width="13" style="2" customWidth="1"/>
    <col min="4110" max="4110" width="12" style="2" customWidth="1"/>
    <col min="4111" max="4111" width="13.5703125" style="2" customWidth="1"/>
    <col min="4112" max="4112" width="12" style="2" customWidth="1"/>
    <col min="4113" max="4113" width="12" style="2" bestFit="1" customWidth="1"/>
    <col min="4114" max="4114" width="11.28515625" style="2" bestFit="1" customWidth="1"/>
    <col min="4115" max="4352" width="9.140625" style="2"/>
    <col min="4353" max="4353" width="5.42578125" style="2" bestFit="1" customWidth="1"/>
    <col min="4354" max="4354" width="34.140625" style="2" customWidth="1"/>
    <col min="4355" max="4355" width="15.7109375" style="2" customWidth="1"/>
    <col min="4356" max="4356" width="12.42578125" style="2" customWidth="1"/>
    <col min="4357" max="4357" width="11" style="2" customWidth="1"/>
    <col min="4358" max="4358" width="12" style="2" customWidth="1"/>
    <col min="4359" max="4359" width="17.7109375" style="2" customWidth="1"/>
    <col min="4360" max="4360" width="13.28515625" style="2" customWidth="1"/>
    <col min="4361" max="4361" width="13.140625" style="2" customWidth="1"/>
    <col min="4362" max="4362" width="12" style="2" customWidth="1"/>
    <col min="4363" max="4363" width="12.140625" style="2" customWidth="1"/>
    <col min="4364" max="4364" width="9.42578125" style="2" customWidth="1"/>
    <col min="4365" max="4365" width="13" style="2" customWidth="1"/>
    <col min="4366" max="4366" width="12" style="2" customWidth="1"/>
    <col min="4367" max="4367" width="13.5703125" style="2" customWidth="1"/>
    <col min="4368" max="4368" width="12" style="2" customWidth="1"/>
    <col min="4369" max="4369" width="12" style="2" bestFit="1" customWidth="1"/>
    <col min="4370" max="4370" width="11.28515625" style="2" bestFit="1" customWidth="1"/>
    <col min="4371" max="4608" width="9.140625" style="2"/>
    <col min="4609" max="4609" width="5.42578125" style="2" bestFit="1" customWidth="1"/>
    <col min="4610" max="4610" width="34.140625" style="2" customWidth="1"/>
    <col min="4611" max="4611" width="15.7109375" style="2" customWidth="1"/>
    <col min="4612" max="4612" width="12.42578125" style="2" customWidth="1"/>
    <col min="4613" max="4613" width="11" style="2" customWidth="1"/>
    <col min="4614" max="4614" width="12" style="2" customWidth="1"/>
    <col min="4615" max="4615" width="17.7109375" style="2" customWidth="1"/>
    <col min="4616" max="4616" width="13.28515625" style="2" customWidth="1"/>
    <col min="4617" max="4617" width="13.140625" style="2" customWidth="1"/>
    <col min="4618" max="4618" width="12" style="2" customWidth="1"/>
    <col min="4619" max="4619" width="12.140625" style="2" customWidth="1"/>
    <col min="4620" max="4620" width="9.42578125" style="2" customWidth="1"/>
    <col min="4621" max="4621" width="13" style="2" customWidth="1"/>
    <col min="4622" max="4622" width="12" style="2" customWidth="1"/>
    <col min="4623" max="4623" width="13.5703125" style="2" customWidth="1"/>
    <col min="4624" max="4624" width="12" style="2" customWidth="1"/>
    <col min="4625" max="4625" width="12" style="2" bestFit="1" customWidth="1"/>
    <col min="4626" max="4626" width="11.28515625" style="2" bestFit="1" customWidth="1"/>
    <col min="4627" max="4864" width="9.140625" style="2"/>
    <col min="4865" max="4865" width="5.42578125" style="2" bestFit="1" customWidth="1"/>
    <col min="4866" max="4866" width="34.140625" style="2" customWidth="1"/>
    <col min="4867" max="4867" width="15.7109375" style="2" customWidth="1"/>
    <col min="4868" max="4868" width="12.42578125" style="2" customWidth="1"/>
    <col min="4869" max="4869" width="11" style="2" customWidth="1"/>
    <col min="4870" max="4870" width="12" style="2" customWidth="1"/>
    <col min="4871" max="4871" width="17.7109375" style="2" customWidth="1"/>
    <col min="4872" max="4872" width="13.28515625" style="2" customWidth="1"/>
    <col min="4873" max="4873" width="13.140625" style="2" customWidth="1"/>
    <col min="4874" max="4874" width="12" style="2" customWidth="1"/>
    <col min="4875" max="4875" width="12.140625" style="2" customWidth="1"/>
    <col min="4876" max="4876" width="9.42578125" style="2" customWidth="1"/>
    <col min="4877" max="4877" width="13" style="2" customWidth="1"/>
    <col min="4878" max="4878" width="12" style="2" customWidth="1"/>
    <col min="4879" max="4879" width="13.5703125" style="2" customWidth="1"/>
    <col min="4880" max="4880" width="12" style="2" customWidth="1"/>
    <col min="4881" max="4881" width="12" style="2" bestFit="1" customWidth="1"/>
    <col min="4882" max="4882" width="11.28515625" style="2" bestFit="1" customWidth="1"/>
    <col min="4883" max="5120" width="9.140625" style="2"/>
    <col min="5121" max="5121" width="5.42578125" style="2" bestFit="1" customWidth="1"/>
    <col min="5122" max="5122" width="34.140625" style="2" customWidth="1"/>
    <col min="5123" max="5123" width="15.7109375" style="2" customWidth="1"/>
    <col min="5124" max="5124" width="12.42578125" style="2" customWidth="1"/>
    <col min="5125" max="5125" width="11" style="2" customWidth="1"/>
    <col min="5126" max="5126" width="12" style="2" customWidth="1"/>
    <col min="5127" max="5127" width="17.7109375" style="2" customWidth="1"/>
    <col min="5128" max="5128" width="13.28515625" style="2" customWidth="1"/>
    <col min="5129" max="5129" width="13.140625" style="2" customWidth="1"/>
    <col min="5130" max="5130" width="12" style="2" customWidth="1"/>
    <col min="5131" max="5131" width="12.140625" style="2" customWidth="1"/>
    <col min="5132" max="5132" width="9.42578125" style="2" customWidth="1"/>
    <col min="5133" max="5133" width="13" style="2" customWidth="1"/>
    <col min="5134" max="5134" width="12" style="2" customWidth="1"/>
    <col min="5135" max="5135" width="13.5703125" style="2" customWidth="1"/>
    <col min="5136" max="5136" width="12" style="2" customWidth="1"/>
    <col min="5137" max="5137" width="12" style="2" bestFit="1" customWidth="1"/>
    <col min="5138" max="5138" width="11.28515625" style="2" bestFit="1" customWidth="1"/>
    <col min="5139" max="5376" width="9.140625" style="2"/>
    <col min="5377" max="5377" width="5.42578125" style="2" bestFit="1" customWidth="1"/>
    <col min="5378" max="5378" width="34.140625" style="2" customWidth="1"/>
    <col min="5379" max="5379" width="15.7109375" style="2" customWidth="1"/>
    <col min="5380" max="5380" width="12.42578125" style="2" customWidth="1"/>
    <col min="5381" max="5381" width="11" style="2" customWidth="1"/>
    <col min="5382" max="5382" width="12" style="2" customWidth="1"/>
    <col min="5383" max="5383" width="17.7109375" style="2" customWidth="1"/>
    <col min="5384" max="5384" width="13.28515625" style="2" customWidth="1"/>
    <col min="5385" max="5385" width="13.140625" style="2" customWidth="1"/>
    <col min="5386" max="5386" width="12" style="2" customWidth="1"/>
    <col min="5387" max="5387" width="12.140625" style="2" customWidth="1"/>
    <col min="5388" max="5388" width="9.42578125" style="2" customWidth="1"/>
    <col min="5389" max="5389" width="13" style="2" customWidth="1"/>
    <col min="5390" max="5390" width="12" style="2" customWidth="1"/>
    <col min="5391" max="5391" width="13.5703125" style="2" customWidth="1"/>
    <col min="5392" max="5392" width="12" style="2" customWidth="1"/>
    <col min="5393" max="5393" width="12" style="2" bestFit="1" customWidth="1"/>
    <col min="5394" max="5394" width="11.28515625" style="2" bestFit="1" customWidth="1"/>
    <col min="5395" max="5632" width="9.140625" style="2"/>
    <col min="5633" max="5633" width="5.42578125" style="2" bestFit="1" customWidth="1"/>
    <col min="5634" max="5634" width="34.140625" style="2" customWidth="1"/>
    <col min="5635" max="5635" width="15.7109375" style="2" customWidth="1"/>
    <col min="5636" max="5636" width="12.42578125" style="2" customWidth="1"/>
    <col min="5637" max="5637" width="11" style="2" customWidth="1"/>
    <col min="5638" max="5638" width="12" style="2" customWidth="1"/>
    <col min="5639" max="5639" width="17.7109375" style="2" customWidth="1"/>
    <col min="5640" max="5640" width="13.28515625" style="2" customWidth="1"/>
    <col min="5641" max="5641" width="13.140625" style="2" customWidth="1"/>
    <col min="5642" max="5642" width="12" style="2" customWidth="1"/>
    <col min="5643" max="5643" width="12.140625" style="2" customWidth="1"/>
    <col min="5644" max="5644" width="9.42578125" style="2" customWidth="1"/>
    <col min="5645" max="5645" width="13" style="2" customWidth="1"/>
    <col min="5646" max="5646" width="12" style="2" customWidth="1"/>
    <col min="5647" max="5647" width="13.5703125" style="2" customWidth="1"/>
    <col min="5648" max="5648" width="12" style="2" customWidth="1"/>
    <col min="5649" max="5649" width="12" style="2" bestFit="1" customWidth="1"/>
    <col min="5650" max="5650" width="11.28515625" style="2" bestFit="1" customWidth="1"/>
    <col min="5651" max="5888" width="9.140625" style="2"/>
    <col min="5889" max="5889" width="5.42578125" style="2" bestFit="1" customWidth="1"/>
    <col min="5890" max="5890" width="34.140625" style="2" customWidth="1"/>
    <col min="5891" max="5891" width="15.7109375" style="2" customWidth="1"/>
    <col min="5892" max="5892" width="12.42578125" style="2" customWidth="1"/>
    <col min="5893" max="5893" width="11" style="2" customWidth="1"/>
    <col min="5894" max="5894" width="12" style="2" customWidth="1"/>
    <col min="5895" max="5895" width="17.7109375" style="2" customWidth="1"/>
    <col min="5896" max="5896" width="13.28515625" style="2" customWidth="1"/>
    <col min="5897" max="5897" width="13.140625" style="2" customWidth="1"/>
    <col min="5898" max="5898" width="12" style="2" customWidth="1"/>
    <col min="5899" max="5899" width="12.140625" style="2" customWidth="1"/>
    <col min="5900" max="5900" width="9.42578125" style="2" customWidth="1"/>
    <col min="5901" max="5901" width="13" style="2" customWidth="1"/>
    <col min="5902" max="5902" width="12" style="2" customWidth="1"/>
    <col min="5903" max="5903" width="13.5703125" style="2" customWidth="1"/>
    <col min="5904" max="5904" width="12" style="2" customWidth="1"/>
    <col min="5905" max="5905" width="12" style="2" bestFit="1" customWidth="1"/>
    <col min="5906" max="5906" width="11.28515625" style="2" bestFit="1" customWidth="1"/>
    <col min="5907" max="6144" width="9.140625" style="2"/>
    <col min="6145" max="6145" width="5.42578125" style="2" bestFit="1" customWidth="1"/>
    <col min="6146" max="6146" width="34.140625" style="2" customWidth="1"/>
    <col min="6147" max="6147" width="15.7109375" style="2" customWidth="1"/>
    <col min="6148" max="6148" width="12.42578125" style="2" customWidth="1"/>
    <col min="6149" max="6149" width="11" style="2" customWidth="1"/>
    <col min="6150" max="6150" width="12" style="2" customWidth="1"/>
    <col min="6151" max="6151" width="17.7109375" style="2" customWidth="1"/>
    <col min="6152" max="6152" width="13.28515625" style="2" customWidth="1"/>
    <col min="6153" max="6153" width="13.140625" style="2" customWidth="1"/>
    <col min="6154" max="6154" width="12" style="2" customWidth="1"/>
    <col min="6155" max="6155" width="12.140625" style="2" customWidth="1"/>
    <col min="6156" max="6156" width="9.42578125" style="2" customWidth="1"/>
    <col min="6157" max="6157" width="13" style="2" customWidth="1"/>
    <col min="6158" max="6158" width="12" style="2" customWidth="1"/>
    <col min="6159" max="6159" width="13.5703125" style="2" customWidth="1"/>
    <col min="6160" max="6160" width="12" style="2" customWidth="1"/>
    <col min="6161" max="6161" width="12" style="2" bestFit="1" customWidth="1"/>
    <col min="6162" max="6162" width="11.28515625" style="2" bestFit="1" customWidth="1"/>
    <col min="6163" max="6400" width="9.140625" style="2"/>
    <col min="6401" max="6401" width="5.42578125" style="2" bestFit="1" customWidth="1"/>
    <col min="6402" max="6402" width="34.140625" style="2" customWidth="1"/>
    <col min="6403" max="6403" width="15.7109375" style="2" customWidth="1"/>
    <col min="6404" max="6404" width="12.42578125" style="2" customWidth="1"/>
    <col min="6405" max="6405" width="11" style="2" customWidth="1"/>
    <col min="6406" max="6406" width="12" style="2" customWidth="1"/>
    <col min="6407" max="6407" width="17.7109375" style="2" customWidth="1"/>
    <col min="6408" max="6408" width="13.28515625" style="2" customWidth="1"/>
    <col min="6409" max="6409" width="13.140625" style="2" customWidth="1"/>
    <col min="6410" max="6410" width="12" style="2" customWidth="1"/>
    <col min="6411" max="6411" width="12.140625" style="2" customWidth="1"/>
    <col min="6412" max="6412" width="9.42578125" style="2" customWidth="1"/>
    <col min="6413" max="6413" width="13" style="2" customWidth="1"/>
    <col min="6414" max="6414" width="12" style="2" customWidth="1"/>
    <col min="6415" max="6415" width="13.5703125" style="2" customWidth="1"/>
    <col min="6416" max="6416" width="12" style="2" customWidth="1"/>
    <col min="6417" max="6417" width="12" style="2" bestFit="1" customWidth="1"/>
    <col min="6418" max="6418" width="11.28515625" style="2" bestFit="1" customWidth="1"/>
    <col min="6419" max="6656" width="9.140625" style="2"/>
    <col min="6657" max="6657" width="5.42578125" style="2" bestFit="1" customWidth="1"/>
    <col min="6658" max="6658" width="34.140625" style="2" customWidth="1"/>
    <col min="6659" max="6659" width="15.7109375" style="2" customWidth="1"/>
    <col min="6660" max="6660" width="12.42578125" style="2" customWidth="1"/>
    <col min="6661" max="6661" width="11" style="2" customWidth="1"/>
    <col min="6662" max="6662" width="12" style="2" customWidth="1"/>
    <col min="6663" max="6663" width="17.7109375" style="2" customWidth="1"/>
    <col min="6664" max="6664" width="13.28515625" style="2" customWidth="1"/>
    <col min="6665" max="6665" width="13.140625" style="2" customWidth="1"/>
    <col min="6666" max="6666" width="12" style="2" customWidth="1"/>
    <col min="6667" max="6667" width="12.140625" style="2" customWidth="1"/>
    <col min="6668" max="6668" width="9.42578125" style="2" customWidth="1"/>
    <col min="6669" max="6669" width="13" style="2" customWidth="1"/>
    <col min="6670" max="6670" width="12" style="2" customWidth="1"/>
    <col min="6671" max="6671" width="13.5703125" style="2" customWidth="1"/>
    <col min="6672" max="6672" width="12" style="2" customWidth="1"/>
    <col min="6673" max="6673" width="12" style="2" bestFit="1" customWidth="1"/>
    <col min="6674" max="6674" width="11.28515625" style="2" bestFit="1" customWidth="1"/>
    <col min="6675" max="6912" width="9.140625" style="2"/>
    <col min="6913" max="6913" width="5.42578125" style="2" bestFit="1" customWidth="1"/>
    <col min="6914" max="6914" width="34.140625" style="2" customWidth="1"/>
    <col min="6915" max="6915" width="15.7109375" style="2" customWidth="1"/>
    <col min="6916" max="6916" width="12.42578125" style="2" customWidth="1"/>
    <col min="6917" max="6917" width="11" style="2" customWidth="1"/>
    <col min="6918" max="6918" width="12" style="2" customWidth="1"/>
    <col min="6919" max="6919" width="17.7109375" style="2" customWidth="1"/>
    <col min="6920" max="6920" width="13.28515625" style="2" customWidth="1"/>
    <col min="6921" max="6921" width="13.140625" style="2" customWidth="1"/>
    <col min="6922" max="6922" width="12" style="2" customWidth="1"/>
    <col min="6923" max="6923" width="12.140625" style="2" customWidth="1"/>
    <col min="6924" max="6924" width="9.42578125" style="2" customWidth="1"/>
    <col min="6925" max="6925" width="13" style="2" customWidth="1"/>
    <col min="6926" max="6926" width="12" style="2" customWidth="1"/>
    <col min="6927" max="6927" width="13.5703125" style="2" customWidth="1"/>
    <col min="6928" max="6928" width="12" style="2" customWidth="1"/>
    <col min="6929" max="6929" width="12" style="2" bestFit="1" customWidth="1"/>
    <col min="6930" max="6930" width="11.28515625" style="2" bestFit="1" customWidth="1"/>
    <col min="6931" max="7168" width="9.140625" style="2"/>
    <col min="7169" max="7169" width="5.42578125" style="2" bestFit="1" customWidth="1"/>
    <col min="7170" max="7170" width="34.140625" style="2" customWidth="1"/>
    <col min="7171" max="7171" width="15.7109375" style="2" customWidth="1"/>
    <col min="7172" max="7172" width="12.42578125" style="2" customWidth="1"/>
    <col min="7173" max="7173" width="11" style="2" customWidth="1"/>
    <col min="7174" max="7174" width="12" style="2" customWidth="1"/>
    <col min="7175" max="7175" width="17.7109375" style="2" customWidth="1"/>
    <col min="7176" max="7176" width="13.28515625" style="2" customWidth="1"/>
    <col min="7177" max="7177" width="13.140625" style="2" customWidth="1"/>
    <col min="7178" max="7178" width="12" style="2" customWidth="1"/>
    <col min="7179" max="7179" width="12.140625" style="2" customWidth="1"/>
    <col min="7180" max="7180" width="9.42578125" style="2" customWidth="1"/>
    <col min="7181" max="7181" width="13" style="2" customWidth="1"/>
    <col min="7182" max="7182" width="12" style="2" customWidth="1"/>
    <col min="7183" max="7183" width="13.5703125" style="2" customWidth="1"/>
    <col min="7184" max="7184" width="12" style="2" customWidth="1"/>
    <col min="7185" max="7185" width="12" style="2" bestFit="1" customWidth="1"/>
    <col min="7186" max="7186" width="11.28515625" style="2" bestFit="1" customWidth="1"/>
    <col min="7187" max="7424" width="9.140625" style="2"/>
    <col min="7425" max="7425" width="5.42578125" style="2" bestFit="1" customWidth="1"/>
    <col min="7426" max="7426" width="34.140625" style="2" customWidth="1"/>
    <col min="7427" max="7427" width="15.7109375" style="2" customWidth="1"/>
    <col min="7428" max="7428" width="12.42578125" style="2" customWidth="1"/>
    <col min="7429" max="7429" width="11" style="2" customWidth="1"/>
    <col min="7430" max="7430" width="12" style="2" customWidth="1"/>
    <col min="7431" max="7431" width="17.7109375" style="2" customWidth="1"/>
    <col min="7432" max="7432" width="13.28515625" style="2" customWidth="1"/>
    <col min="7433" max="7433" width="13.140625" style="2" customWidth="1"/>
    <col min="7434" max="7434" width="12" style="2" customWidth="1"/>
    <col min="7435" max="7435" width="12.140625" style="2" customWidth="1"/>
    <col min="7436" max="7436" width="9.42578125" style="2" customWidth="1"/>
    <col min="7437" max="7437" width="13" style="2" customWidth="1"/>
    <col min="7438" max="7438" width="12" style="2" customWidth="1"/>
    <col min="7439" max="7439" width="13.5703125" style="2" customWidth="1"/>
    <col min="7440" max="7440" width="12" style="2" customWidth="1"/>
    <col min="7441" max="7441" width="12" style="2" bestFit="1" customWidth="1"/>
    <col min="7442" max="7442" width="11.28515625" style="2" bestFit="1" customWidth="1"/>
    <col min="7443" max="7680" width="9.140625" style="2"/>
    <col min="7681" max="7681" width="5.42578125" style="2" bestFit="1" customWidth="1"/>
    <col min="7682" max="7682" width="34.140625" style="2" customWidth="1"/>
    <col min="7683" max="7683" width="15.7109375" style="2" customWidth="1"/>
    <col min="7684" max="7684" width="12.42578125" style="2" customWidth="1"/>
    <col min="7685" max="7685" width="11" style="2" customWidth="1"/>
    <col min="7686" max="7686" width="12" style="2" customWidth="1"/>
    <col min="7687" max="7687" width="17.7109375" style="2" customWidth="1"/>
    <col min="7688" max="7688" width="13.28515625" style="2" customWidth="1"/>
    <col min="7689" max="7689" width="13.140625" style="2" customWidth="1"/>
    <col min="7690" max="7690" width="12" style="2" customWidth="1"/>
    <col min="7691" max="7691" width="12.140625" style="2" customWidth="1"/>
    <col min="7692" max="7692" width="9.42578125" style="2" customWidth="1"/>
    <col min="7693" max="7693" width="13" style="2" customWidth="1"/>
    <col min="7694" max="7694" width="12" style="2" customWidth="1"/>
    <col min="7695" max="7695" width="13.5703125" style="2" customWidth="1"/>
    <col min="7696" max="7696" width="12" style="2" customWidth="1"/>
    <col min="7697" max="7697" width="12" style="2" bestFit="1" customWidth="1"/>
    <col min="7698" max="7698" width="11.28515625" style="2" bestFit="1" customWidth="1"/>
    <col min="7699" max="7936" width="9.140625" style="2"/>
    <col min="7937" max="7937" width="5.42578125" style="2" bestFit="1" customWidth="1"/>
    <col min="7938" max="7938" width="34.140625" style="2" customWidth="1"/>
    <col min="7939" max="7939" width="15.7109375" style="2" customWidth="1"/>
    <col min="7940" max="7940" width="12.42578125" style="2" customWidth="1"/>
    <col min="7941" max="7941" width="11" style="2" customWidth="1"/>
    <col min="7942" max="7942" width="12" style="2" customWidth="1"/>
    <col min="7943" max="7943" width="17.7109375" style="2" customWidth="1"/>
    <col min="7944" max="7944" width="13.28515625" style="2" customWidth="1"/>
    <col min="7945" max="7945" width="13.140625" style="2" customWidth="1"/>
    <col min="7946" max="7946" width="12" style="2" customWidth="1"/>
    <col min="7947" max="7947" width="12.140625" style="2" customWidth="1"/>
    <col min="7948" max="7948" width="9.42578125" style="2" customWidth="1"/>
    <col min="7949" max="7949" width="13" style="2" customWidth="1"/>
    <col min="7950" max="7950" width="12" style="2" customWidth="1"/>
    <col min="7951" max="7951" width="13.5703125" style="2" customWidth="1"/>
    <col min="7952" max="7952" width="12" style="2" customWidth="1"/>
    <col min="7953" max="7953" width="12" style="2" bestFit="1" customWidth="1"/>
    <col min="7954" max="7954" width="11.28515625" style="2" bestFit="1" customWidth="1"/>
    <col min="7955" max="8192" width="9.140625" style="2"/>
    <col min="8193" max="8193" width="5.42578125" style="2" bestFit="1" customWidth="1"/>
    <col min="8194" max="8194" width="34.140625" style="2" customWidth="1"/>
    <col min="8195" max="8195" width="15.7109375" style="2" customWidth="1"/>
    <col min="8196" max="8196" width="12.42578125" style="2" customWidth="1"/>
    <col min="8197" max="8197" width="11" style="2" customWidth="1"/>
    <col min="8198" max="8198" width="12" style="2" customWidth="1"/>
    <col min="8199" max="8199" width="17.7109375" style="2" customWidth="1"/>
    <col min="8200" max="8200" width="13.28515625" style="2" customWidth="1"/>
    <col min="8201" max="8201" width="13.140625" style="2" customWidth="1"/>
    <col min="8202" max="8202" width="12" style="2" customWidth="1"/>
    <col min="8203" max="8203" width="12.140625" style="2" customWidth="1"/>
    <col min="8204" max="8204" width="9.42578125" style="2" customWidth="1"/>
    <col min="8205" max="8205" width="13" style="2" customWidth="1"/>
    <col min="8206" max="8206" width="12" style="2" customWidth="1"/>
    <col min="8207" max="8207" width="13.5703125" style="2" customWidth="1"/>
    <col min="8208" max="8208" width="12" style="2" customWidth="1"/>
    <col min="8209" max="8209" width="12" style="2" bestFit="1" customWidth="1"/>
    <col min="8210" max="8210" width="11.28515625" style="2" bestFit="1" customWidth="1"/>
    <col min="8211" max="8448" width="9.140625" style="2"/>
    <col min="8449" max="8449" width="5.42578125" style="2" bestFit="1" customWidth="1"/>
    <col min="8450" max="8450" width="34.140625" style="2" customWidth="1"/>
    <col min="8451" max="8451" width="15.7109375" style="2" customWidth="1"/>
    <col min="8452" max="8452" width="12.42578125" style="2" customWidth="1"/>
    <col min="8453" max="8453" width="11" style="2" customWidth="1"/>
    <col min="8454" max="8454" width="12" style="2" customWidth="1"/>
    <col min="8455" max="8455" width="17.7109375" style="2" customWidth="1"/>
    <col min="8456" max="8456" width="13.28515625" style="2" customWidth="1"/>
    <col min="8457" max="8457" width="13.140625" style="2" customWidth="1"/>
    <col min="8458" max="8458" width="12" style="2" customWidth="1"/>
    <col min="8459" max="8459" width="12.140625" style="2" customWidth="1"/>
    <col min="8460" max="8460" width="9.42578125" style="2" customWidth="1"/>
    <col min="8461" max="8461" width="13" style="2" customWidth="1"/>
    <col min="8462" max="8462" width="12" style="2" customWidth="1"/>
    <col min="8463" max="8463" width="13.5703125" style="2" customWidth="1"/>
    <col min="8464" max="8464" width="12" style="2" customWidth="1"/>
    <col min="8465" max="8465" width="12" style="2" bestFit="1" customWidth="1"/>
    <col min="8466" max="8466" width="11.28515625" style="2" bestFit="1" customWidth="1"/>
    <col min="8467" max="8704" width="9.140625" style="2"/>
    <col min="8705" max="8705" width="5.42578125" style="2" bestFit="1" customWidth="1"/>
    <col min="8706" max="8706" width="34.140625" style="2" customWidth="1"/>
    <col min="8707" max="8707" width="15.7109375" style="2" customWidth="1"/>
    <col min="8708" max="8708" width="12.42578125" style="2" customWidth="1"/>
    <col min="8709" max="8709" width="11" style="2" customWidth="1"/>
    <col min="8710" max="8710" width="12" style="2" customWidth="1"/>
    <col min="8711" max="8711" width="17.7109375" style="2" customWidth="1"/>
    <col min="8712" max="8712" width="13.28515625" style="2" customWidth="1"/>
    <col min="8713" max="8713" width="13.140625" style="2" customWidth="1"/>
    <col min="8714" max="8714" width="12" style="2" customWidth="1"/>
    <col min="8715" max="8715" width="12.140625" style="2" customWidth="1"/>
    <col min="8716" max="8716" width="9.42578125" style="2" customWidth="1"/>
    <col min="8717" max="8717" width="13" style="2" customWidth="1"/>
    <col min="8718" max="8718" width="12" style="2" customWidth="1"/>
    <col min="8719" max="8719" width="13.5703125" style="2" customWidth="1"/>
    <col min="8720" max="8720" width="12" style="2" customWidth="1"/>
    <col min="8721" max="8721" width="12" style="2" bestFit="1" customWidth="1"/>
    <col min="8722" max="8722" width="11.28515625" style="2" bestFit="1" customWidth="1"/>
    <col min="8723" max="8960" width="9.140625" style="2"/>
    <col min="8961" max="8961" width="5.42578125" style="2" bestFit="1" customWidth="1"/>
    <col min="8962" max="8962" width="34.140625" style="2" customWidth="1"/>
    <col min="8963" max="8963" width="15.7109375" style="2" customWidth="1"/>
    <col min="8964" max="8964" width="12.42578125" style="2" customWidth="1"/>
    <col min="8965" max="8965" width="11" style="2" customWidth="1"/>
    <col min="8966" max="8966" width="12" style="2" customWidth="1"/>
    <col min="8967" max="8967" width="17.7109375" style="2" customWidth="1"/>
    <col min="8968" max="8968" width="13.28515625" style="2" customWidth="1"/>
    <col min="8969" max="8969" width="13.140625" style="2" customWidth="1"/>
    <col min="8970" max="8970" width="12" style="2" customWidth="1"/>
    <col min="8971" max="8971" width="12.140625" style="2" customWidth="1"/>
    <col min="8972" max="8972" width="9.42578125" style="2" customWidth="1"/>
    <col min="8973" max="8973" width="13" style="2" customWidth="1"/>
    <col min="8974" max="8974" width="12" style="2" customWidth="1"/>
    <col min="8975" max="8975" width="13.5703125" style="2" customWidth="1"/>
    <col min="8976" max="8976" width="12" style="2" customWidth="1"/>
    <col min="8977" max="8977" width="12" style="2" bestFit="1" customWidth="1"/>
    <col min="8978" max="8978" width="11.28515625" style="2" bestFit="1" customWidth="1"/>
    <col min="8979" max="9216" width="9.140625" style="2"/>
    <col min="9217" max="9217" width="5.42578125" style="2" bestFit="1" customWidth="1"/>
    <col min="9218" max="9218" width="34.140625" style="2" customWidth="1"/>
    <col min="9219" max="9219" width="15.7109375" style="2" customWidth="1"/>
    <col min="9220" max="9220" width="12.42578125" style="2" customWidth="1"/>
    <col min="9221" max="9221" width="11" style="2" customWidth="1"/>
    <col min="9222" max="9222" width="12" style="2" customWidth="1"/>
    <col min="9223" max="9223" width="17.7109375" style="2" customWidth="1"/>
    <col min="9224" max="9224" width="13.28515625" style="2" customWidth="1"/>
    <col min="9225" max="9225" width="13.140625" style="2" customWidth="1"/>
    <col min="9226" max="9226" width="12" style="2" customWidth="1"/>
    <col min="9227" max="9227" width="12.140625" style="2" customWidth="1"/>
    <col min="9228" max="9228" width="9.42578125" style="2" customWidth="1"/>
    <col min="9229" max="9229" width="13" style="2" customWidth="1"/>
    <col min="9230" max="9230" width="12" style="2" customWidth="1"/>
    <col min="9231" max="9231" width="13.5703125" style="2" customWidth="1"/>
    <col min="9232" max="9232" width="12" style="2" customWidth="1"/>
    <col min="9233" max="9233" width="12" style="2" bestFit="1" customWidth="1"/>
    <col min="9234" max="9234" width="11.28515625" style="2" bestFit="1" customWidth="1"/>
    <col min="9235" max="9472" width="9.140625" style="2"/>
    <col min="9473" max="9473" width="5.42578125" style="2" bestFit="1" customWidth="1"/>
    <col min="9474" max="9474" width="34.140625" style="2" customWidth="1"/>
    <col min="9475" max="9475" width="15.7109375" style="2" customWidth="1"/>
    <col min="9476" max="9476" width="12.42578125" style="2" customWidth="1"/>
    <col min="9477" max="9477" width="11" style="2" customWidth="1"/>
    <col min="9478" max="9478" width="12" style="2" customWidth="1"/>
    <col min="9479" max="9479" width="17.7109375" style="2" customWidth="1"/>
    <col min="9480" max="9480" width="13.28515625" style="2" customWidth="1"/>
    <col min="9481" max="9481" width="13.140625" style="2" customWidth="1"/>
    <col min="9482" max="9482" width="12" style="2" customWidth="1"/>
    <col min="9483" max="9483" width="12.140625" style="2" customWidth="1"/>
    <col min="9484" max="9484" width="9.42578125" style="2" customWidth="1"/>
    <col min="9485" max="9485" width="13" style="2" customWidth="1"/>
    <col min="9486" max="9486" width="12" style="2" customWidth="1"/>
    <col min="9487" max="9487" width="13.5703125" style="2" customWidth="1"/>
    <col min="9488" max="9488" width="12" style="2" customWidth="1"/>
    <col min="9489" max="9489" width="12" style="2" bestFit="1" customWidth="1"/>
    <col min="9490" max="9490" width="11.28515625" style="2" bestFit="1" customWidth="1"/>
    <col min="9491" max="9728" width="9.140625" style="2"/>
    <col min="9729" max="9729" width="5.42578125" style="2" bestFit="1" customWidth="1"/>
    <col min="9730" max="9730" width="34.140625" style="2" customWidth="1"/>
    <col min="9731" max="9731" width="15.7109375" style="2" customWidth="1"/>
    <col min="9732" max="9732" width="12.42578125" style="2" customWidth="1"/>
    <col min="9733" max="9733" width="11" style="2" customWidth="1"/>
    <col min="9734" max="9734" width="12" style="2" customWidth="1"/>
    <col min="9735" max="9735" width="17.7109375" style="2" customWidth="1"/>
    <col min="9736" max="9736" width="13.28515625" style="2" customWidth="1"/>
    <col min="9737" max="9737" width="13.140625" style="2" customWidth="1"/>
    <col min="9738" max="9738" width="12" style="2" customWidth="1"/>
    <col min="9739" max="9739" width="12.140625" style="2" customWidth="1"/>
    <col min="9740" max="9740" width="9.42578125" style="2" customWidth="1"/>
    <col min="9741" max="9741" width="13" style="2" customWidth="1"/>
    <col min="9742" max="9742" width="12" style="2" customWidth="1"/>
    <col min="9743" max="9743" width="13.5703125" style="2" customWidth="1"/>
    <col min="9744" max="9744" width="12" style="2" customWidth="1"/>
    <col min="9745" max="9745" width="12" style="2" bestFit="1" customWidth="1"/>
    <col min="9746" max="9746" width="11.28515625" style="2" bestFit="1" customWidth="1"/>
    <col min="9747" max="9984" width="9.140625" style="2"/>
    <col min="9985" max="9985" width="5.42578125" style="2" bestFit="1" customWidth="1"/>
    <col min="9986" max="9986" width="34.140625" style="2" customWidth="1"/>
    <col min="9987" max="9987" width="15.7109375" style="2" customWidth="1"/>
    <col min="9988" max="9988" width="12.42578125" style="2" customWidth="1"/>
    <col min="9989" max="9989" width="11" style="2" customWidth="1"/>
    <col min="9990" max="9990" width="12" style="2" customWidth="1"/>
    <col min="9991" max="9991" width="17.7109375" style="2" customWidth="1"/>
    <col min="9992" max="9992" width="13.28515625" style="2" customWidth="1"/>
    <col min="9993" max="9993" width="13.140625" style="2" customWidth="1"/>
    <col min="9994" max="9994" width="12" style="2" customWidth="1"/>
    <col min="9995" max="9995" width="12.140625" style="2" customWidth="1"/>
    <col min="9996" max="9996" width="9.42578125" style="2" customWidth="1"/>
    <col min="9997" max="9997" width="13" style="2" customWidth="1"/>
    <col min="9998" max="9998" width="12" style="2" customWidth="1"/>
    <col min="9999" max="9999" width="13.5703125" style="2" customWidth="1"/>
    <col min="10000" max="10000" width="12" style="2" customWidth="1"/>
    <col min="10001" max="10001" width="12" style="2" bestFit="1" customWidth="1"/>
    <col min="10002" max="10002" width="11.28515625" style="2" bestFit="1" customWidth="1"/>
    <col min="10003" max="10240" width="9.140625" style="2"/>
    <col min="10241" max="10241" width="5.42578125" style="2" bestFit="1" customWidth="1"/>
    <col min="10242" max="10242" width="34.140625" style="2" customWidth="1"/>
    <col min="10243" max="10243" width="15.7109375" style="2" customWidth="1"/>
    <col min="10244" max="10244" width="12.42578125" style="2" customWidth="1"/>
    <col min="10245" max="10245" width="11" style="2" customWidth="1"/>
    <col min="10246" max="10246" width="12" style="2" customWidth="1"/>
    <col min="10247" max="10247" width="17.7109375" style="2" customWidth="1"/>
    <col min="10248" max="10248" width="13.28515625" style="2" customWidth="1"/>
    <col min="10249" max="10249" width="13.140625" style="2" customWidth="1"/>
    <col min="10250" max="10250" width="12" style="2" customWidth="1"/>
    <col min="10251" max="10251" width="12.140625" style="2" customWidth="1"/>
    <col min="10252" max="10252" width="9.42578125" style="2" customWidth="1"/>
    <col min="10253" max="10253" width="13" style="2" customWidth="1"/>
    <col min="10254" max="10254" width="12" style="2" customWidth="1"/>
    <col min="10255" max="10255" width="13.5703125" style="2" customWidth="1"/>
    <col min="10256" max="10256" width="12" style="2" customWidth="1"/>
    <col min="10257" max="10257" width="12" style="2" bestFit="1" customWidth="1"/>
    <col min="10258" max="10258" width="11.28515625" style="2" bestFit="1" customWidth="1"/>
    <col min="10259" max="10496" width="9.140625" style="2"/>
    <col min="10497" max="10497" width="5.42578125" style="2" bestFit="1" customWidth="1"/>
    <col min="10498" max="10498" width="34.140625" style="2" customWidth="1"/>
    <col min="10499" max="10499" width="15.7109375" style="2" customWidth="1"/>
    <col min="10500" max="10500" width="12.42578125" style="2" customWidth="1"/>
    <col min="10501" max="10501" width="11" style="2" customWidth="1"/>
    <col min="10502" max="10502" width="12" style="2" customWidth="1"/>
    <col min="10503" max="10503" width="17.7109375" style="2" customWidth="1"/>
    <col min="10504" max="10504" width="13.28515625" style="2" customWidth="1"/>
    <col min="10505" max="10505" width="13.140625" style="2" customWidth="1"/>
    <col min="10506" max="10506" width="12" style="2" customWidth="1"/>
    <col min="10507" max="10507" width="12.140625" style="2" customWidth="1"/>
    <col min="10508" max="10508" width="9.42578125" style="2" customWidth="1"/>
    <col min="10509" max="10509" width="13" style="2" customWidth="1"/>
    <col min="10510" max="10510" width="12" style="2" customWidth="1"/>
    <col min="10511" max="10511" width="13.5703125" style="2" customWidth="1"/>
    <col min="10512" max="10512" width="12" style="2" customWidth="1"/>
    <col min="10513" max="10513" width="12" style="2" bestFit="1" customWidth="1"/>
    <col min="10514" max="10514" width="11.28515625" style="2" bestFit="1" customWidth="1"/>
    <col min="10515" max="10752" width="9.140625" style="2"/>
    <col min="10753" max="10753" width="5.42578125" style="2" bestFit="1" customWidth="1"/>
    <col min="10754" max="10754" width="34.140625" style="2" customWidth="1"/>
    <col min="10755" max="10755" width="15.7109375" style="2" customWidth="1"/>
    <col min="10756" max="10756" width="12.42578125" style="2" customWidth="1"/>
    <col min="10757" max="10757" width="11" style="2" customWidth="1"/>
    <col min="10758" max="10758" width="12" style="2" customWidth="1"/>
    <col min="10759" max="10759" width="17.7109375" style="2" customWidth="1"/>
    <col min="10760" max="10760" width="13.28515625" style="2" customWidth="1"/>
    <col min="10761" max="10761" width="13.140625" style="2" customWidth="1"/>
    <col min="10762" max="10762" width="12" style="2" customWidth="1"/>
    <col min="10763" max="10763" width="12.140625" style="2" customWidth="1"/>
    <col min="10764" max="10764" width="9.42578125" style="2" customWidth="1"/>
    <col min="10765" max="10765" width="13" style="2" customWidth="1"/>
    <col min="10766" max="10766" width="12" style="2" customWidth="1"/>
    <col min="10767" max="10767" width="13.5703125" style="2" customWidth="1"/>
    <col min="10768" max="10768" width="12" style="2" customWidth="1"/>
    <col min="10769" max="10769" width="12" style="2" bestFit="1" customWidth="1"/>
    <col min="10770" max="10770" width="11.28515625" style="2" bestFit="1" customWidth="1"/>
    <col min="10771" max="11008" width="9.140625" style="2"/>
    <col min="11009" max="11009" width="5.42578125" style="2" bestFit="1" customWidth="1"/>
    <col min="11010" max="11010" width="34.140625" style="2" customWidth="1"/>
    <col min="11011" max="11011" width="15.7109375" style="2" customWidth="1"/>
    <col min="11012" max="11012" width="12.42578125" style="2" customWidth="1"/>
    <col min="11013" max="11013" width="11" style="2" customWidth="1"/>
    <col min="11014" max="11014" width="12" style="2" customWidth="1"/>
    <col min="11015" max="11015" width="17.7109375" style="2" customWidth="1"/>
    <col min="11016" max="11016" width="13.28515625" style="2" customWidth="1"/>
    <col min="11017" max="11017" width="13.140625" style="2" customWidth="1"/>
    <col min="11018" max="11018" width="12" style="2" customWidth="1"/>
    <col min="11019" max="11019" width="12.140625" style="2" customWidth="1"/>
    <col min="11020" max="11020" width="9.42578125" style="2" customWidth="1"/>
    <col min="11021" max="11021" width="13" style="2" customWidth="1"/>
    <col min="11022" max="11022" width="12" style="2" customWidth="1"/>
    <col min="11023" max="11023" width="13.5703125" style="2" customWidth="1"/>
    <col min="11024" max="11024" width="12" style="2" customWidth="1"/>
    <col min="11025" max="11025" width="12" style="2" bestFit="1" customWidth="1"/>
    <col min="11026" max="11026" width="11.28515625" style="2" bestFit="1" customWidth="1"/>
    <col min="11027" max="11264" width="9.140625" style="2"/>
    <col min="11265" max="11265" width="5.42578125" style="2" bestFit="1" customWidth="1"/>
    <col min="11266" max="11266" width="34.140625" style="2" customWidth="1"/>
    <col min="11267" max="11267" width="15.7109375" style="2" customWidth="1"/>
    <col min="11268" max="11268" width="12.42578125" style="2" customWidth="1"/>
    <col min="11269" max="11269" width="11" style="2" customWidth="1"/>
    <col min="11270" max="11270" width="12" style="2" customWidth="1"/>
    <col min="11271" max="11271" width="17.7109375" style="2" customWidth="1"/>
    <col min="11272" max="11272" width="13.28515625" style="2" customWidth="1"/>
    <col min="11273" max="11273" width="13.140625" style="2" customWidth="1"/>
    <col min="11274" max="11274" width="12" style="2" customWidth="1"/>
    <col min="11275" max="11275" width="12.140625" style="2" customWidth="1"/>
    <col min="11276" max="11276" width="9.42578125" style="2" customWidth="1"/>
    <col min="11277" max="11277" width="13" style="2" customWidth="1"/>
    <col min="11278" max="11278" width="12" style="2" customWidth="1"/>
    <col min="11279" max="11279" width="13.5703125" style="2" customWidth="1"/>
    <col min="11280" max="11280" width="12" style="2" customWidth="1"/>
    <col min="11281" max="11281" width="12" style="2" bestFit="1" customWidth="1"/>
    <col min="11282" max="11282" width="11.28515625" style="2" bestFit="1" customWidth="1"/>
    <col min="11283" max="11520" width="9.140625" style="2"/>
    <col min="11521" max="11521" width="5.42578125" style="2" bestFit="1" customWidth="1"/>
    <col min="11522" max="11522" width="34.140625" style="2" customWidth="1"/>
    <col min="11523" max="11523" width="15.7109375" style="2" customWidth="1"/>
    <col min="11524" max="11524" width="12.42578125" style="2" customWidth="1"/>
    <col min="11525" max="11525" width="11" style="2" customWidth="1"/>
    <col min="11526" max="11526" width="12" style="2" customWidth="1"/>
    <col min="11527" max="11527" width="17.7109375" style="2" customWidth="1"/>
    <col min="11528" max="11528" width="13.28515625" style="2" customWidth="1"/>
    <col min="11529" max="11529" width="13.140625" style="2" customWidth="1"/>
    <col min="11530" max="11530" width="12" style="2" customWidth="1"/>
    <col min="11531" max="11531" width="12.140625" style="2" customWidth="1"/>
    <col min="11532" max="11532" width="9.42578125" style="2" customWidth="1"/>
    <col min="11533" max="11533" width="13" style="2" customWidth="1"/>
    <col min="11534" max="11534" width="12" style="2" customWidth="1"/>
    <col min="11535" max="11535" width="13.5703125" style="2" customWidth="1"/>
    <col min="11536" max="11536" width="12" style="2" customWidth="1"/>
    <col min="11537" max="11537" width="12" style="2" bestFit="1" customWidth="1"/>
    <col min="11538" max="11538" width="11.28515625" style="2" bestFit="1" customWidth="1"/>
    <col min="11539" max="11776" width="9.140625" style="2"/>
    <col min="11777" max="11777" width="5.42578125" style="2" bestFit="1" customWidth="1"/>
    <col min="11778" max="11778" width="34.140625" style="2" customWidth="1"/>
    <col min="11779" max="11779" width="15.7109375" style="2" customWidth="1"/>
    <col min="11780" max="11780" width="12.42578125" style="2" customWidth="1"/>
    <col min="11781" max="11781" width="11" style="2" customWidth="1"/>
    <col min="11782" max="11782" width="12" style="2" customWidth="1"/>
    <col min="11783" max="11783" width="17.7109375" style="2" customWidth="1"/>
    <col min="11784" max="11784" width="13.28515625" style="2" customWidth="1"/>
    <col min="11785" max="11785" width="13.140625" style="2" customWidth="1"/>
    <col min="11786" max="11786" width="12" style="2" customWidth="1"/>
    <col min="11787" max="11787" width="12.140625" style="2" customWidth="1"/>
    <col min="11788" max="11788" width="9.42578125" style="2" customWidth="1"/>
    <col min="11789" max="11789" width="13" style="2" customWidth="1"/>
    <col min="11790" max="11790" width="12" style="2" customWidth="1"/>
    <col min="11791" max="11791" width="13.5703125" style="2" customWidth="1"/>
    <col min="11792" max="11792" width="12" style="2" customWidth="1"/>
    <col min="11793" max="11793" width="12" style="2" bestFit="1" customWidth="1"/>
    <col min="11794" max="11794" width="11.28515625" style="2" bestFit="1" customWidth="1"/>
    <col min="11795" max="12032" width="9.140625" style="2"/>
    <col min="12033" max="12033" width="5.42578125" style="2" bestFit="1" customWidth="1"/>
    <col min="12034" max="12034" width="34.140625" style="2" customWidth="1"/>
    <col min="12035" max="12035" width="15.7109375" style="2" customWidth="1"/>
    <col min="12036" max="12036" width="12.42578125" style="2" customWidth="1"/>
    <col min="12037" max="12037" width="11" style="2" customWidth="1"/>
    <col min="12038" max="12038" width="12" style="2" customWidth="1"/>
    <col min="12039" max="12039" width="17.7109375" style="2" customWidth="1"/>
    <col min="12040" max="12040" width="13.28515625" style="2" customWidth="1"/>
    <col min="12041" max="12041" width="13.140625" style="2" customWidth="1"/>
    <col min="12042" max="12042" width="12" style="2" customWidth="1"/>
    <col min="12043" max="12043" width="12.140625" style="2" customWidth="1"/>
    <col min="12044" max="12044" width="9.42578125" style="2" customWidth="1"/>
    <col min="12045" max="12045" width="13" style="2" customWidth="1"/>
    <col min="12046" max="12046" width="12" style="2" customWidth="1"/>
    <col min="12047" max="12047" width="13.5703125" style="2" customWidth="1"/>
    <col min="12048" max="12048" width="12" style="2" customWidth="1"/>
    <col min="12049" max="12049" width="12" style="2" bestFit="1" customWidth="1"/>
    <col min="12050" max="12050" width="11.28515625" style="2" bestFit="1" customWidth="1"/>
    <col min="12051" max="12288" width="9.140625" style="2"/>
    <col min="12289" max="12289" width="5.42578125" style="2" bestFit="1" customWidth="1"/>
    <col min="12290" max="12290" width="34.140625" style="2" customWidth="1"/>
    <col min="12291" max="12291" width="15.7109375" style="2" customWidth="1"/>
    <col min="12292" max="12292" width="12.42578125" style="2" customWidth="1"/>
    <col min="12293" max="12293" width="11" style="2" customWidth="1"/>
    <col min="12294" max="12294" width="12" style="2" customWidth="1"/>
    <col min="12295" max="12295" width="17.7109375" style="2" customWidth="1"/>
    <col min="12296" max="12296" width="13.28515625" style="2" customWidth="1"/>
    <col min="12297" max="12297" width="13.140625" style="2" customWidth="1"/>
    <col min="12298" max="12298" width="12" style="2" customWidth="1"/>
    <col min="12299" max="12299" width="12.140625" style="2" customWidth="1"/>
    <col min="12300" max="12300" width="9.42578125" style="2" customWidth="1"/>
    <col min="12301" max="12301" width="13" style="2" customWidth="1"/>
    <col min="12302" max="12302" width="12" style="2" customWidth="1"/>
    <col min="12303" max="12303" width="13.5703125" style="2" customWidth="1"/>
    <col min="12304" max="12304" width="12" style="2" customWidth="1"/>
    <col min="12305" max="12305" width="12" style="2" bestFit="1" customWidth="1"/>
    <col min="12306" max="12306" width="11.28515625" style="2" bestFit="1" customWidth="1"/>
    <col min="12307" max="12544" width="9.140625" style="2"/>
    <col min="12545" max="12545" width="5.42578125" style="2" bestFit="1" customWidth="1"/>
    <col min="12546" max="12546" width="34.140625" style="2" customWidth="1"/>
    <col min="12547" max="12547" width="15.7109375" style="2" customWidth="1"/>
    <col min="12548" max="12548" width="12.42578125" style="2" customWidth="1"/>
    <col min="12549" max="12549" width="11" style="2" customWidth="1"/>
    <col min="12550" max="12550" width="12" style="2" customWidth="1"/>
    <col min="12551" max="12551" width="17.7109375" style="2" customWidth="1"/>
    <col min="12552" max="12552" width="13.28515625" style="2" customWidth="1"/>
    <col min="12553" max="12553" width="13.140625" style="2" customWidth="1"/>
    <col min="12554" max="12554" width="12" style="2" customWidth="1"/>
    <col min="12555" max="12555" width="12.140625" style="2" customWidth="1"/>
    <col min="12556" max="12556" width="9.42578125" style="2" customWidth="1"/>
    <col min="12557" max="12557" width="13" style="2" customWidth="1"/>
    <col min="12558" max="12558" width="12" style="2" customWidth="1"/>
    <col min="12559" max="12559" width="13.5703125" style="2" customWidth="1"/>
    <col min="12560" max="12560" width="12" style="2" customWidth="1"/>
    <col min="12561" max="12561" width="12" style="2" bestFit="1" customWidth="1"/>
    <col min="12562" max="12562" width="11.28515625" style="2" bestFit="1" customWidth="1"/>
    <col min="12563" max="12800" width="9.140625" style="2"/>
    <col min="12801" max="12801" width="5.42578125" style="2" bestFit="1" customWidth="1"/>
    <col min="12802" max="12802" width="34.140625" style="2" customWidth="1"/>
    <col min="12803" max="12803" width="15.7109375" style="2" customWidth="1"/>
    <col min="12804" max="12804" width="12.42578125" style="2" customWidth="1"/>
    <col min="12805" max="12805" width="11" style="2" customWidth="1"/>
    <col min="12806" max="12806" width="12" style="2" customWidth="1"/>
    <col min="12807" max="12807" width="17.7109375" style="2" customWidth="1"/>
    <col min="12808" max="12808" width="13.28515625" style="2" customWidth="1"/>
    <col min="12809" max="12809" width="13.140625" style="2" customWidth="1"/>
    <col min="12810" max="12810" width="12" style="2" customWidth="1"/>
    <col min="12811" max="12811" width="12.140625" style="2" customWidth="1"/>
    <col min="12812" max="12812" width="9.42578125" style="2" customWidth="1"/>
    <col min="12813" max="12813" width="13" style="2" customWidth="1"/>
    <col min="12814" max="12814" width="12" style="2" customWidth="1"/>
    <col min="12815" max="12815" width="13.5703125" style="2" customWidth="1"/>
    <col min="12816" max="12816" width="12" style="2" customWidth="1"/>
    <col min="12817" max="12817" width="12" style="2" bestFit="1" customWidth="1"/>
    <col min="12818" max="12818" width="11.28515625" style="2" bestFit="1" customWidth="1"/>
    <col min="12819" max="13056" width="9.140625" style="2"/>
    <col min="13057" max="13057" width="5.42578125" style="2" bestFit="1" customWidth="1"/>
    <col min="13058" max="13058" width="34.140625" style="2" customWidth="1"/>
    <col min="13059" max="13059" width="15.7109375" style="2" customWidth="1"/>
    <col min="13060" max="13060" width="12.42578125" style="2" customWidth="1"/>
    <col min="13061" max="13061" width="11" style="2" customWidth="1"/>
    <col min="13062" max="13062" width="12" style="2" customWidth="1"/>
    <col min="13063" max="13063" width="17.7109375" style="2" customWidth="1"/>
    <col min="13064" max="13064" width="13.28515625" style="2" customWidth="1"/>
    <col min="13065" max="13065" width="13.140625" style="2" customWidth="1"/>
    <col min="13066" max="13066" width="12" style="2" customWidth="1"/>
    <col min="13067" max="13067" width="12.140625" style="2" customWidth="1"/>
    <col min="13068" max="13068" width="9.42578125" style="2" customWidth="1"/>
    <col min="13069" max="13069" width="13" style="2" customWidth="1"/>
    <col min="13070" max="13070" width="12" style="2" customWidth="1"/>
    <col min="13071" max="13071" width="13.5703125" style="2" customWidth="1"/>
    <col min="13072" max="13072" width="12" style="2" customWidth="1"/>
    <col min="13073" max="13073" width="12" style="2" bestFit="1" customWidth="1"/>
    <col min="13074" max="13074" width="11.28515625" style="2" bestFit="1" customWidth="1"/>
    <col min="13075" max="13312" width="9.140625" style="2"/>
    <col min="13313" max="13313" width="5.42578125" style="2" bestFit="1" customWidth="1"/>
    <col min="13314" max="13314" width="34.140625" style="2" customWidth="1"/>
    <col min="13315" max="13315" width="15.7109375" style="2" customWidth="1"/>
    <col min="13316" max="13316" width="12.42578125" style="2" customWidth="1"/>
    <col min="13317" max="13317" width="11" style="2" customWidth="1"/>
    <col min="13318" max="13318" width="12" style="2" customWidth="1"/>
    <col min="13319" max="13319" width="17.7109375" style="2" customWidth="1"/>
    <col min="13320" max="13320" width="13.28515625" style="2" customWidth="1"/>
    <col min="13321" max="13321" width="13.140625" style="2" customWidth="1"/>
    <col min="13322" max="13322" width="12" style="2" customWidth="1"/>
    <col min="13323" max="13323" width="12.140625" style="2" customWidth="1"/>
    <col min="13324" max="13324" width="9.42578125" style="2" customWidth="1"/>
    <col min="13325" max="13325" width="13" style="2" customWidth="1"/>
    <col min="13326" max="13326" width="12" style="2" customWidth="1"/>
    <col min="13327" max="13327" width="13.5703125" style="2" customWidth="1"/>
    <col min="13328" max="13328" width="12" style="2" customWidth="1"/>
    <col min="13329" max="13329" width="12" style="2" bestFit="1" customWidth="1"/>
    <col min="13330" max="13330" width="11.28515625" style="2" bestFit="1" customWidth="1"/>
    <col min="13331" max="13568" width="9.140625" style="2"/>
    <col min="13569" max="13569" width="5.42578125" style="2" bestFit="1" customWidth="1"/>
    <col min="13570" max="13570" width="34.140625" style="2" customWidth="1"/>
    <col min="13571" max="13571" width="15.7109375" style="2" customWidth="1"/>
    <col min="13572" max="13572" width="12.42578125" style="2" customWidth="1"/>
    <col min="13573" max="13573" width="11" style="2" customWidth="1"/>
    <col min="13574" max="13574" width="12" style="2" customWidth="1"/>
    <col min="13575" max="13575" width="17.7109375" style="2" customWidth="1"/>
    <col min="13576" max="13576" width="13.28515625" style="2" customWidth="1"/>
    <col min="13577" max="13577" width="13.140625" style="2" customWidth="1"/>
    <col min="13578" max="13578" width="12" style="2" customWidth="1"/>
    <col min="13579" max="13579" width="12.140625" style="2" customWidth="1"/>
    <col min="13580" max="13580" width="9.42578125" style="2" customWidth="1"/>
    <col min="13581" max="13581" width="13" style="2" customWidth="1"/>
    <col min="13582" max="13582" width="12" style="2" customWidth="1"/>
    <col min="13583" max="13583" width="13.5703125" style="2" customWidth="1"/>
    <col min="13584" max="13584" width="12" style="2" customWidth="1"/>
    <col min="13585" max="13585" width="12" style="2" bestFit="1" customWidth="1"/>
    <col min="13586" max="13586" width="11.28515625" style="2" bestFit="1" customWidth="1"/>
    <col min="13587" max="13824" width="9.140625" style="2"/>
    <col min="13825" max="13825" width="5.42578125" style="2" bestFit="1" customWidth="1"/>
    <col min="13826" max="13826" width="34.140625" style="2" customWidth="1"/>
    <col min="13827" max="13827" width="15.7109375" style="2" customWidth="1"/>
    <col min="13828" max="13828" width="12.42578125" style="2" customWidth="1"/>
    <col min="13829" max="13829" width="11" style="2" customWidth="1"/>
    <col min="13830" max="13830" width="12" style="2" customWidth="1"/>
    <col min="13831" max="13831" width="17.7109375" style="2" customWidth="1"/>
    <col min="13832" max="13832" width="13.28515625" style="2" customWidth="1"/>
    <col min="13833" max="13833" width="13.140625" style="2" customWidth="1"/>
    <col min="13834" max="13834" width="12" style="2" customWidth="1"/>
    <col min="13835" max="13835" width="12.140625" style="2" customWidth="1"/>
    <col min="13836" max="13836" width="9.42578125" style="2" customWidth="1"/>
    <col min="13837" max="13837" width="13" style="2" customWidth="1"/>
    <col min="13838" max="13838" width="12" style="2" customWidth="1"/>
    <col min="13839" max="13839" width="13.5703125" style="2" customWidth="1"/>
    <col min="13840" max="13840" width="12" style="2" customWidth="1"/>
    <col min="13841" max="13841" width="12" style="2" bestFit="1" customWidth="1"/>
    <col min="13842" max="13842" width="11.28515625" style="2" bestFit="1" customWidth="1"/>
    <col min="13843" max="14080" width="9.140625" style="2"/>
    <col min="14081" max="14081" width="5.42578125" style="2" bestFit="1" customWidth="1"/>
    <col min="14082" max="14082" width="34.140625" style="2" customWidth="1"/>
    <col min="14083" max="14083" width="15.7109375" style="2" customWidth="1"/>
    <col min="14084" max="14084" width="12.42578125" style="2" customWidth="1"/>
    <col min="14085" max="14085" width="11" style="2" customWidth="1"/>
    <col min="14086" max="14086" width="12" style="2" customWidth="1"/>
    <col min="14087" max="14087" width="17.7109375" style="2" customWidth="1"/>
    <col min="14088" max="14088" width="13.28515625" style="2" customWidth="1"/>
    <col min="14089" max="14089" width="13.140625" style="2" customWidth="1"/>
    <col min="14090" max="14090" width="12" style="2" customWidth="1"/>
    <col min="14091" max="14091" width="12.140625" style="2" customWidth="1"/>
    <col min="14092" max="14092" width="9.42578125" style="2" customWidth="1"/>
    <col min="14093" max="14093" width="13" style="2" customWidth="1"/>
    <col min="14094" max="14094" width="12" style="2" customWidth="1"/>
    <col min="14095" max="14095" width="13.5703125" style="2" customWidth="1"/>
    <col min="14096" max="14096" width="12" style="2" customWidth="1"/>
    <col min="14097" max="14097" width="12" style="2" bestFit="1" customWidth="1"/>
    <col min="14098" max="14098" width="11.28515625" style="2" bestFit="1" customWidth="1"/>
    <col min="14099" max="14336" width="9.140625" style="2"/>
    <col min="14337" max="14337" width="5.42578125" style="2" bestFit="1" customWidth="1"/>
    <col min="14338" max="14338" width="34.140625" style="2" customWidth="1"/>
    <col min="14339" max="14339" width="15.7109375" style="2" customWidth="1"/>
    <col min="14340" max="14340" width="12.42578125" style="2" customWidth="1"/>
    <col min="14341" max="14341" width="11" style="2" customWidth="1"/>
    <col min="14342" max="14342" width="12" style="2" customWidth="1"/>
    <col min="14343" max="14343" width="17.7109375" style="2" customWidth="1"/>
    <col min="14344" max="14344" width="13.28515625" style="2" customWidth="1"/>
    <col min="14345" max="14345" width="13.140625" style="2" customWidth="1"/>
    <col min="14346" max="14346" width="12" style="2" customWidth="1"/>
    <col min="14347" max="14347" width="12.140625" style="2" customWidth="1"/>
    <col min="14348" max="14348" width="9.42578125" style="2" customWidth="1"/>
    <col min="14349" max="14349" width="13" style="2" customWidth="1"/>
    <col min="14350" max="14350" width="12" style="2" customWidth="1"/>
    <col min="14351" max="14351" width="13.5703125" style="2" customWidth="1"/>
    <col min="14352" max="14352" width="12" style="2" customWidth="1"/>
    <col min="14353" max="14353" width="12" style="2" bestFit="1" customWidth="1"/>
    <col min="14354" max="14354" width="11.28515625" style="2" bestFit="1" customWidth="1"/>
    <col min="14355" max="14592" width="9.140625" style="2"/>
    <col min="14593" max="14593" width="5.42578125" style="2" bestFit="1" customWidth="1"/>
    <col min="14594" max="14594" width="34.140625" style="2" customWidth="1"/>
    <col min="14595" max="14595" width="15.7109375" style="2" customWidth="1"/>
    <col min="14596" max="14596" width="12.42578125" style="2" customWidth="1"/>
    <col min="14597" max="14597" width="11" style="2" customWidth="1"/>
    <col min="14598" max="14598" width="12" style="2" customWidth="1"/>
    <col min="14599" max="14599" width="17.7109375" style="2" customWidth="1"/>
    <col min="14600" max="14600" width="13.28515625" style="2" customWidth="1"/>
    <col min="14601" max="14601" width="13.140625" style="2" customWidth="1"/>
    <col min="14602" max="14602" width="12" style="2" customWidth="1"/>
    <col min="14603" max="14603" width="12.140625" style="2" customWidth="1"/>
    <col min="14604" max="14604" width="9.42578125" style="2" customWidth="1"/>
    <col min="14605" max="14605" width="13" style="2" customWidth="1"/>
    <col min="14606" max="14606" width="12" style="2" customWidth="1"/>
    <col min="14607" max="14607" width="13.5703125" style="2" customWidth="1"/>
    <col min="14608" max="14608" width="12" style="2" customWidth="1"/>
    <col min="14609" max="14609" width="12" style="2" bestFit="1" customWidth="1"/>
    <col min="14610" max="14610" width="11.28515625" style="2" bestFit="1" customWidth="1"/>
    <col min="14611" max="14848" width="9.140625" style="2"/>
    <col min="14849" max="14849" width="5.42578125" style="2" bestFit="1" customWidth="1"/>
    <col min="14850" max="14850" width="34.140625" style="2" customWidth="1"/>
    <col min="14851" max="14851" width="15.7109375" style="2" customWidth="1"/>
    <col min="14852" max="14852" width="12.42578125" style="2" customWidth="1"/>
    <col min="14853" max="14853" width="11" style="2" customWidth="1"/>
    <col min="14854" max="14854" width="12" style="2" customWidth="1"/>
    <col min="14855" max="14855" width="17.7109375" style="2" customWidth="1"/>
    <col min="14856" max="14856" width="13.28515625" style="2" customWidth="1"/>
    <col min="14857" max="14857" width="13.140625" style="2" customWidth="1"/>
    <col min="14858" max="14858" width="12" style="2" customWidth="1"/>
    <col min="14859" max="14859" width="12.140625" style="2" customWidth="1"/>
    <col min="14860" max="14860" width="9.42578125" style="2" customWidth="1"/>
    <col min="14861" max="14861" width="13" style="2" customWidth="1"/>
    <col min="14862" max="14862" width="12" style="2" customWidth="1"/>
    <col min="14863" max="14863" width="13.5703125" style="2" customWidth="1"/>
    <col min="14864" max="14864" width="12" style="2" customWidth="1"/>
    <col min="14865" max="14865" width="12" style="2" bestFit="1" customWidth="1"/>
    <col min="14866" max="14866" width="11.28515625" style="2" bestFit="1" customWidth="1"/>
    <col min="14867" max="15104" width="9.140625" style="2"/>
    <col min="15105" max="15105" width="5.42578125" style="2" bestFit="1" customWidth="1"/>
    <col min="15106" max="15106" width="34.140625" style="2" customWidth="1"/>
    <col min="15107" max="15107" width="15.7109375" style="2" customWidth="1"/>
    <col min="15108" max="15108" width="12.42578125" style="2" customWidth="1"/>
    <col min="15109" max="15109" width="11" style="2" customWidth="1"/>
    <col min="15110" max="15110" width="12" style="2" customWidth="1"/>
    <col min="15111" max="15111" width="17.7109375" style="2" customWidth="1"/>
    <col min="15112" max="15112" width="13.28515625" style="2" customWidth="1"/>
    <col min="15113" max="15113" width="13.140625" style="2" customWidth="1"/>
    <col min="15114" max="15114" width="12" style="2" customWidth="1"/>
    <col min="15115" max="15115" width="12.140625" style="2" customWidth="1"/>
    <col min="15116" max="15116" width="9.42578125" style="2" customWidth="1"/>
    <col min="15117" max="15117" width="13" style="2" customWidth="1"/>
    <col min="15118" max="15118" width="12" style="2" customWidth="1"/>
    <col min="15119" max="15119" width="13.5703125" style="2" customWidth="1"/>
    <col min="15120" max="15120" width="12" style="2" customWidth="1"/>
    <col min="15121" max="15121" width="12" style="2" bestFit="1" customWidth="1"/>
    <col min="15122" max="15122" width="11.28515625" style="2" bestFit="1" customWidth="1"/>
    <col min="15123" max="15360" width="9.140625" style="2"/>
    <col min="15361" max="15361" width="5.42578125" style="2" bestFit="1" customWidth="1"/>
    <col min="15362" max="15362" width="34.140625" style="2" customWidth="1"/>
    <col min="15363" max="15363" width="15.7109375" style="2" customWidth="1"/>
    <col min="15364" max="15364" width="12.42578125" style="2" customWidth="1"/>
    <col min="15365" max="15365" width="11" style="2" customWidth="1"/>
    <col min="15366" max="15366" width="12" style="2" customWidth="1"/>
    <col min="15367" max="15367" width="17.7109375" style="2" customWidth="1"/>
    <col min="15368" max="15368" width="13.28515625" style="2" customWidth="1"/>
    <col min="15369" max="15369" width="13.140625" style="2" customWidth="1"/>
    <col min="15370" max="15370" width="12" style="2" customWidth="1"/>
    <col min="15371" max="15371" width="12.140625" style="2" customWidth="1"/>
    <col min="15372" max="15372" width="9.42578125" style="2" customWidth="1"/>
    <col min="15373" max="15373" width="13" style="2" customWidth="1"/>
    <col min="15374" max="15374" width="12" style="2" customWidth="1"/>
    <col min="15375" max="15375" width="13.5703125" style="2" customWidth="1"/>
    <col min="15376" max="15376" width="12" style="2" customWidth="1"/>
    <col min="15377" max="15377" width="12" style="2" bestFit="1" customWidth="1"/>
    <col min="15378" max="15378" width="11.28515625" style="2" bestFit="1" customWidth="1"/>
    <col min="15379" max="15616" width="9.140625" style="2"/>
    <col min="15617" max="15617" width="5.42578125" style="2" bestFit="1" customWidth="1"/>
    <col min="15618" max="15618" width="34.140625" style="2" customWidth="1"/>
    <col min="15619" max="15619" width="15.7109375" style="2" customWidth="1"/>
    <col min="15620" max="15620" width="12.42578125" style="2" customWidth="1"/>
    <col min="15621" max="15621" width="11" style="2" customWidth="1"/>
    <col min="15622" max="15622" width="12" style="2" customWidth="1"/>
    <col min="15623" max="15623" width="17.7109375" style="2" customWidth="1"/>
    <col min="15624" max="15624" width="13.28515625" style="2" customWidth="1"/>
    <col min="15625" max="15625" width="13.140625" style="2" customWidth="1"/>
    <col min="15626" max="15626" width="12" style="2" customWidth="1"/>
    <col min="15627" max="15627" width="12.140625" style="2" customWidth="1"/>
    <col min="15628" max="15628" width="9.42578125" style="2" customWidth="1"/>
    <col min="15629" max="15629" width="13" style="2" customWidth="1"/>
    <col min="15630" max="15630" width="12" style="2" customWidth="1"/>
    <col min="15631" max="15631" width="13.5703125" style="2" customWidth="1"/>
    <col min="15632" max="15632" width="12" style="2" customWidth="1"/>
    <col min="15633" max="15633" width="12" style="2" bestFit="1" customWidth="1"/>
    <col min="15634" max="15634" width="11.28515625" style="2" bestFit="1" customWidth="1"/>
    <col min="15635" max="15872" width="9.140625" style="2"/>
    <col min="15873" max="15873" width="5.42578125" style="2" bestFit="1" customWidth="1"/>
    <col min="15874" max="15874" width="34.140625" style="2" customWidth="1"/>
    <col min="15875" max="15875" width="15.7109375" style="2" customWidth="1"/>
    <col min="15876" max="15876" width="12.42578125" style="2" customWidth="1"/>
    <col min="15877" max="15877" width="11" style="2" customWidth="1"/>
    <col min="15878" max="15878" width="12" style="2" customWidth="1"/>
    <col min="15879" max="15879" width="17.7109375" style="2" customWidth="1"/>
    <col min="15880" max="15880" width="13.28515625" style="2" customWidth="1"/>
    <col min="15881" max="15881" width="13.140625" style="2" customWidth="1"/>
    <col min="15882" max="15882" width="12" style="2" customWidth="1"/>
    <col min="15883" max="15883" width="12.140625" style="2" customWidth="1"/>
    <col min="15884" max="15884" width="9.42578125" style="2" customWidth="1"/>
    <col min="15885" max="15885" width="13" style="2" customWidth="1"/>
    <col min="15886" max="15886" width="12" style="2" customWidth="1"/>
    <col min="15887" max="15887" width="13.5703125" style="2" customWidth="1"/>
    <col min="15888" max="15888" width="12" style="2" customWidth="1"/>
    <col min="15889" max="15889" width="12" style="2" bestFit="1" customWidth="1"/>
    <col min="15890" max="15890" width="11.28515625" style="2" bestFit="1" customWidth="1"/>
    <col min="15891" max="16128" width="9.140625" style="2"/>
    <col min="16129" max="16129" width="5.42578125" style="2" bestFit="1" customWidth="1"/>
    <col min="16130" max="16130" width="34.140625" style="2" customWidth="1"/>
    <col min="16131" max="16131" width="15.7109375" style="2" customWidth="1"/>
    <col min="16132" max="16132" width="12.42578125" style="2" customWidth="1"/>
    <col min="16133" max="16133" width="11" style="2" customWidth="1"/>
    <col min="16134" max="16134" width="12" style="2" customWidth="1"/>
    <col min="16135" max="16135" width="17.7109375" style="2" customWidth="1"/>
    <col min="16136" max="16136" width="13.28515625" style="2" customWidth="1"/>
    <col min="16137" max="16137" width="13.140625" style="2" customWidth="1"/>
    <col min="16138" max="16138" width="12" style="2" customWidth="1"/>
    <col min="16139" max="16139" width="12.140625" style="2" customWidth="1"/>
    <col min="16140" max="16140" width="9.42578125" style="2" customWidth="1"/>
    <col min="16141" max="16141" width="13" style="2" customWidth="1"/>
    <col min="16142" max="16142" width="12" style="2" customWidth="1"/>
    <col min="16143" max="16143" width="13.5703125" style="2" customWidth="1"/>
    <col min="16144" max="16144" width="12" style="2" customWidth="1"/>
    <col min="16145" max="16145" width="12" style="2" bestFit="1" customWidth="1"/>
    <col min="16146" max="16146" width="11.28515625" style="2" bestFit="1" customWidth="1"/>
    <col min="16147" max="16384" width="9.140625" style="2"/>
  </cols>
  <sheetData>
    <row r="3" spans="1:17" ht="18.75" hidden="1">
      <c r="A3" s="273" t="s">
        <v>266</v>
      </c>
      <c r="B3" s="273"/>
      <c r="C3" s="273"/>
      <c r="D3" s="273"/>
      <c r="E3" s="273"/>
      <c r="F3" s="273"/>
      <c r="G3" s="273"/>
      <c r="H3" s="273"/>
      <c r="I3" s="273"/>
      <c r="J3" s="273"/>
      <c r="K3" s="273"/>
      <c r="L3" s="273"/>
      <c r="M3" s="273"/>
      <c r="N3" s="273"/>
      <c r="O3" s="273"/>
      <c r="P3" s="273"/>
      <c r="Q3" s="273"/>
    </row>
    <row r="4" spans="1:17" customFormat="1" ht="20.25" hidden="1">
      <c r="A4" s="274" t="s">
        <v>267</v>
      </c>
      <c r="B4" s="274"/>
      <c r="C4" s="274"/>
      <c r="D4" s="274"/>
      <c r="E4" s="274"/>
      <c r="F4" s="274"/>
      <c r="G4" s="274"/>
      <c r="H4" s="274"/>
      <c r="I4" s="274"/>
      <c r="J4" s="274"/>
      <c r="K4" s="274"/>
      <c r="L4" s="274"/>
      <c r="M4" s="274"/>
      <c r="N4" s="274"/>
      <c r="O4" s="274"/>
      <c r="P4" s="274"/>
      <c r="Q4" s="274"/>
    </row>
    <row r="5" spans="1:17" ht="18.75" hidden="1" customHeight="1">
      <c r="A5" s="275"/>
      <c r="B5" s="275"/>
      <c r="C5" s="275"/>
      <c r="D5" s="275"/>
      <c r="E5" s="275"/>
      <c r="F5" s="275"/>
      <c r="G5" s="275"/>
      <c r="H5" s="275"/>
      <c r="I5" s="275"/>
      <c r="J5" s="275"/>
      <c r="K5" s="275"/>
      <c r="L5" s="275"/>
      <c r="M5" s="275"/>
      <c r="N5" s="275"/>
      <c r="O5" s="275"/>
      <c r="P5" s="275"/>
      <c r="Q5" s="275"/>
    </row>
    <row r="6" spans="1:17" s="7" customFormat="1" ht="24" hidden="1" customHeight="1">
      <c r="A6" s="3"/>
      <c r="B6" s="4"/>
      <c r="C6" s="276">
        <v>56000</v>
      </c>
      <c r="D6" s="277"/>
      <c r="E6" s="5"/>
      <c r="F6" s="5"/>
      <c r="G6" s="5"/>
      <c r="H6" s="5"/>
      <c r="I6" s="6"/>
      <c r="J6" s="5"/>
      <c r="K6" s="278" t="s">
        <v>268</v>
      </c>
      <c r="L6" s="278"/>
      <c r="M6" s="278"/>
      <c r="N6" s="278"/>
      <c r="O6" s="278"/>
      <c r="P6" s="278"/>
      <c r="Q6" s="278"/>
    </row>
    <row r="7" spans="1:17" s="8" customFormat="1" ht="15" hidden="1" customHeight="1">
      <c r="A7" s="266" t="s">
        <v>0</v>
      </c>
      <c r="B7" s="267" t="s">
        <v>269</v>
      </c>
      <c r="C7" s="269" t="s">
        <v>270</v>
      </c>
      <c r="D7" s="272" t="s">
        <v>271</v>
      </c>
      <c r="E7" s="272"/>
      <c r="F7" s="272"/>
      <c r="G7" s="272"/>
      <c r="H7" s="272"/>
      <c r="I7" s="272"/>
      <c r="J7" s="272"/>
      <c r="K7" s="272"/>
      <c r="L7" s="272" t="s">
        <v>272</v>
      </c>
      <c r="M7" s="272" t="s">
        <v>273</v>
      </c>
      <c r="N7" s="272" t="s">
        <v>274</v>
      </c>
      <c r="O7" s="272" t="s">
        <v>275</v>
      </c>
      <c r="P7" s="272" t="s">
        <v>276</v>
      </c>
      <c r="Q7" s="272" t="s">
        <v>277</v>
      </c>
    </row>
    <row r="8" spans="1:17" s="8" customFormat="1" ht="18.75" hidden="1" customHeight="1">
      <c r="A8" s="266"/>
      <c r="B8" s="268"/>
      <c r="C8" s="270"/>
      <c r="D8" s="279" t="s">
        <v>278</v>
      </c>
      <c r="E8" s="272" t="s">
        <v>279</v>
      </c>
      <c r="F8" s="272"/>
      <c r="G8" s="272"/>
      <c r="H8" s="272"/>
      <c r="I8" s="272"/>
      <c r="J8" s="272"/>
      <c r="K8" s="272"/>
      <c r="L8" s="272"/>
      <c r="M8" s="272"/>
      <c r="N8" s="272"/>
      <c r="O8" s="272"/>
      <c r="P8" s="272"/>
      <c r="Q8" s="272"/>
    </row>
    <row r="9" spans="1:17" s="9" customFormat="1" ht="17.45" hidden="1" customHeight="1">
      <c r="A9" s="266"/>
      <c r="B9" s="268"/>
      <c r="C9" s="270"/>
      <c r="D9" s="279"/>
      <c r="E9" s="272" t="s">
        <v>280</v>
      </c>
      <c r="F9" s="272" t="s">
        <v>281</v>
      </c>
      <c r="G9" s="280" t="s">
        <v>282</v>
      </c>
      <c r="H9" s="283" t="s">
        <v>283</v>
      </c>
      <c r="I9" s="284"/>
      <c r="J9" s="284"/>
      <c r="K9" s="285"/>
      <c r="L9" s="272"/>
      <c r="M9" s="272"/>
      <c r="N9" s="272"/>
      <c r="O9" s="272"/>
      <c r="P9" s="272"/>
      <c r="Q9" s="272"/>
    </row>
    <row r="10" spans="1:17" s="9" customFormat="1" ht="17.45" hidden="1" customHeight="1">
      <c r="A10" s="266"/>
      <c r="B10" s="268"/>
      <c r="C10" s="270"/>
      <c r="D10" s="279"/>
      <c r="E10" s="272"/>
      <c r="F10" s="272"/>
      <c r="G10" s="281"/>
      <c r="H10" s="280" t="s">
        <v>11</v>
      </c>
      <c r="I10" s="283" t="s">
        <v>284</v>
      </c>
      <c r="J10" s="284"/>
      <c r="K10" s="285"/>
      <c r="L10" s="272"/>
      <c r="M10" s="272"/>
      <c r="N10" s="272"/>
      <c r="O10" s="272"/>
      <c r="P10" s="272"/>
      <c r="Q10" s="272"/>
    </row>
    <row r="11" spans="1:17" s="9" customFormat="1" ht="78" hidden="1" customHeight="1">
      <c r="A11" s="266"/>
      <c r="B11" s="268"/>
      <c r="C11" s="271"/>
      <c r="D11" s="279"/>
      <c r="E11" s="272"/>
      <c r="F11" s="272"/>
      <c r="G11" s="282"/>
      <c r="H11" s="282"/>
      <c r="I11" s="10" t="s">
        <v>47</v>
      </c>
      <c r="J11" s="10" t="s">
        <v>285</v>
      </c>
      <c r="K11" s="10" t="s">
        <v>49</v>
      </c>
      <c r="L11" s="272"/>
      <c r="M11" s="272"/>
      <c r="N11" s="272"/>
      <c r="O11" s="272"/>
      <c r="P11" s="272"/>
      <c r="Q11" s="272"/>
    </row>
    <row r="12" spans="1:17" s="9" customFormat="1" ht="34.5" hidden="1" customHeight="1">
      <c r="A12" s="11"/>
      <c r="B12" s="12"/>
      <c r="C12" s="13">
        <v>61000</v>
      </c>
      <c r="D12" s="14"/>
      <c r="E12" s="15">
        <v>854809</v>
      </c>
      <c r="F12" s="15">
        <v>320904</v>
      </c>
      <c r="G12" s="16">
        <v>842400</v>
      </c>
      <c r="H12" s="17"/>
      <c r="I12" s="10">
        <v>1464800</v>
      </c>
      <c r="J12" s="10">
        <v>330000</v>
      </c>
      <c r="K12" s="10">
        <v>1260000</v>
      </c>
      <c r="L12" s="15">
        <v>845437</v>
      </c>
      <c r="M12" s="15">
        <v>18702650</v>
      </c>
      <c r="N12" s="15">
        <v>1458000</v>
      </c>
      <c r="O12" s="15">
        <v>34921000</v>
      </c>
      <c r="P12" s="15"/>
      <c r="Q12" s="15"/>
    </row>
    <row r="13" spans="1:17" s="22" customFormat="1" ht="18.75" hidden="1" customHeight="1">
      <c r="A13" s="18"/>
      <c r="B13" s="19" t="s">
        <v>286</v>
      </c>
      <c r="C13" s="20">
        <f>C14+C15+C16+C17+C18+C23</f>
        <v>60154563</v>
      </c>
      <c r="D13" s="20">
        <f t="shared" ref="D13:O13" si="0">D14+D15+D16+D17+D18+D23</f>
        <v>5072913</v>
      </c>
      <c r="E13" s="20">
        <f t="shared" si="0"/>
        <v>854809</v>
      </c>
      <c r="F13" s="20">
        <f t="shared" si="0"/>
        <v>320904</v>
      </c>
      <c r="G13" s="20">
        <f t="shared" si="0"/>
        <v>842400</v>
      </c>
      <c r="H13" s="20">
        <f t="shared" si="0"/>
        <v>3054800</v>
      </c>
      <c r="I13" s="20">
        <f t="shared" si="0"/>
        <v>1464800</v>
      </c>
      <c r="J13" s="20">
        <f t="shared" si="0"/>
        <v>330000</v>
      </c>
      <c r="K13" s="20">
        <f t="shared" si="0"/>
        <v>1260000</v>
      </c>
      <c r="L13" s="20">
        <f t="shared" si="0"/>
        <v>0</v>
      </c>
      <c r="M13" s="20">
        <f t="shared" si="0"/>
        <v>18702650</v>
      </c>
      <c r="N13" s="20">
        <f t="shared" si="0"/>
        <v>1458000</v>
      </c>
      <c r="O13" s="20">
        <f t="shared" si="0"/>
        <v>34921000</v>
      </c>
      <c r="P13" s="21">
        <f>C13/$C$13</f>
        <v>1</v>
      </c>
      <c r="Q13" s="20"/>
    </row>
    <row r="14" spans="1:17" s="26" customFormat="1" ht="18.75" hidden="1" customHeight="1">
      <c r="A14" s="23"/>
      <c r="B14" s="24" t="s">
        <v>287</v>
      </c>
      <c r="C14" s="24">
        <f>D14+M14+N14+O14+L14</f>
        <v>207549</v>
      </c>
      <c r="D14" s="25">
        <f>SUM(E14:K14)-I14-J14-K14</f>
        <v>207549</v>
      </c>
      <c r="E14" s="14"/>
      <c r="F14" s="14"/>
      <c r="G14" s="14"/>
      <c r="H14" s="14">
        <f t="shared" ref="H14:H36" si="1">SUM(I14:K14)</f>
        <v>207549</v>
      </c>
      <c r="I14" s="15">
        <v>207549</v>
      </c>
      <c r="J14" s="15"/>
      <c r="K14" s="15"/>
      <c r="L14" s="14"/>
      <c r="M14" s="14"/>
      <c r="N14" s="14"/>
      <c r="O14" s="14"/>
      <c r="P14" s="21">
        <f>C14/$C$13</f>
        <v>3.4502619526967557E-3</v>
      </c>
      <c r="Q14" s="14"/>
    </row>
    <row r="15" spans="1:17" s="26" customFormat="1" ht="60" hidden="1">
      <c r="A15" s="23"/>
      <c r="B15" s="24" t="s">
        <v>288</v>
      </c>
      <c r="C15" s="24">
        <f t="shared" ref="C15:C36" si="2">D15+M15+N15+O15+L15</f>
        <v>30000</v>
      </c>
      <c r="D15" s="25">
        <f t="shared" ref="D15:D36" si="3">SUM(E15:K15)-I15-J15-K15</f>
        <v>30000</v>
      </c>
      <c r="E15" s="14"/>
      <c r="F15" s="14"/>
      <c r="G15" s="14"/>
      <c r="H15" s="14">
        <f t="shared" si="1"/>
        <v>30000</v>
      </c>
      <c r="I15" s="15"/>
      <c r="J15" s="15">
        <v>30000</v>
      </c>
      <c r="K15" s="15"/>
      <c r="L15" s="14"/>
      <c r="M15" s="14"/>
      <c r="N15" s="14"/>
      <c r="O15" s="14"/>
      <c r="P15" s="21">
        <f>C15/$C$13</f>
        <v>4.9871528449138601E-4</v>
      </c>
      <c r="Q15" s="14"/>
    </row>
    <row r="16" spans="1:17" s="8" customFormat="1" ht="15" hidden="1">
      <c r="A16" s="23"/>
      <c r="B16" s="24" t="s">
        <v>289</v>
      </c>
      <c r="C16" s="24">
        <f t="shared" si="2"/>
        <v>305480</v>
      </c>
      <c r="D16" s="25">
        <f t="shared" si="3"/>
        <v>305480</v>
      </c>
      <c r="E16" s="14"/>
      <c r="F16" s="14"/>
      <c r="G16" s="14"/>
      <c r="H16" s="14">
        <f t="shared" si="1"/>
        <v>305480</v>
      </c>
      <c r="I16" s="15">
        <v>146480</v>
      </c>
      <c r="J16" s="15">
        <v>33000</v>
      </c>
      <c r="K16" s="15">
        <v>126000</v>
      </c>
      <c r="L16" s="14"/>
      <c r="M16" s="14"/>
      <c r="N16" s="14"/>
      <c r="O16" s="14"/>
      <c r="P16" s="21">
        <f>C16/$C$13</f>
        <v>5.0782515035476192E-3</v>
      </c>
      <c r="Q16" s="14"/>
    </row>
    <row r="17" spans="1:17" s="8" customFormat="1" ht="15" hidden="1">
      <c r="A17" s="23"/>
      <c r="B17" s="24" t="s">
        <v>290</v>
      </c>
      <c r="C17" s="24">
        <f t="shared" si="2"/>
        <v>10000</v>
      </c>
      <c r="D17" s="25">
        <f t="shared" si="3"/>
        <v>10000</v>
      </c>
      <c r="E17" s="14"/>
      <c r="F17" s="14"/>
      <c r="G17" s="14"/>
      <c r="H17" s="14">
        <f t="shared" si="1"/>
        <v>10000</v>
      </c>
      <c r="I17" s="15">
        <v>10000</v>
      </c>
      <c r="J17" s="15"/>
      <c r="K17" s="15"/>
      <c r="L17" s="14"/>
      <c r="M17" s="14"/>
      <c r="N17" s="14"/>
      <c r="O17" s="14"/>
      <c r="P17" s="21">
        <f>C17/$C$13</f>
        <v>1.6623842816379533E-4</v>
      </c>
      <c r="Q17" s="14"/>
    </row>
    <row r="18" spans="1:17" s="30" customFormat="1" ht="14.25" hidden="1">
      <c r="A18" s="19" t="s">
        <v>1</v>
      </c>
      <c r="B18" s="27" t="s">
        <v>291</v>
      </c>
      <c r="C18" s="20">
        <f>D18+L18+M18+N18+O18</f>
        <v>44485992.950000003</v>
      </c>
      <c r="D18" s="20">
        <f t="shared" si="3"/>
        <v>985342.94999999984</v>
      </c>
      <c r="E18" s="20">
        <f t="shared" ref="E18:L18" si="4">SUM(E19:E22)</f>
        <v>0</v>
      </c>
      <c r="F18" s="20">
        <f t="shared" si="4"/>
        <v>248000</v>
      </c>
      <c r="G18" s="20">
        <f t="shared" si="4"/>
        <v>200000</v>
      </c>
      <c r="H18" s="20">
        <f t="shared" si="1"/>
        <v>537342.94999999995</v>
      </c>
      <c r="I18" s="20">
        <f t="shared" si="4"/>
        <v>206318.09999999998</v>
      </c>
      <c r="J18" s="20">
        <f t="shared" si="4"/>
        <v>74400</v>
      </c>
      <c r="K18" s="20">
        <f t="shared" si="4"/>
        <v>256624.84999999998</v>
      </c>
      <c r="L18" s="20">
        <f t="shared" si="4"/>
        <v>0</v>
      </c>
      <c r="M18" s="20">
        <f>SUM(M19:M22)</f>
        <v>14542650</v>
      </c>
      <c r="N18" s="20">
        <f>SUM(N19:N22)</f>
        <v>1458000</v>
      </c>
      <c r="O18" s="20">
        <f>SUM(O19:O22)</f>
        <v>27500000</v>
      </c>
      <c r="P18" s="28">
        <f t="shared" ref="P18:P36" si="5">C18/$C$13</f>
        <v>0.73952815433136809</v>
      </c>
      <c r="Q18" s="29"/>
    </row>
    <row r="19" spans="1:17" s="36" customFormat="1" ht="15" hidden="1">
      <c r="A19" s="31">
        <v>1</v>
      </c>
      <c r="B19" s="32" t="s">
        <v>292</v>
      </c>
      <c r="C19" s="24">
        <f t="shared" si="2"/>
        <v>12202519.949999999</v>
      </c>
      <c r="D19" s="25">
        <f t="shared" si="3"/>
        <v>739869.95</v>
      </c>
      <c r="E19" s="33">
        <v>0</v>
      </c>
      <c r="F19" s="33">
        <f>145000+50000</f>
        <v>195000</v>
      </c>
      <c r="G19" s="33">
        <v>200000</v>
      </c>
      <c r="H19" s="14">
        <f t="shared" si="1"/>
        <v>344869.94999999995</v>
      </c>
      <c r="I19" s="33">
        <f>66553+(417307*0.3)</f>
        <v>191745.09999999998</v>
      </c>
      <c r="J19" s="33">
        <f>93000*0.5</f>
        <v>46500</v>
      </c>
      <c r="K19" s="33">
        <f>(537499*0.15)+26000</f>
        <v>106624.84999999999</v>
      </c>
      <c r="L19" s="34">
        <v>0</v>
      </c>
      <c r="M19" s="33">
        <f>7300000+500000+300000+62650+300000</f>
        <v>8462650</v>
      </c>
      <c r="N19" s="33"/>
      <c r="O19" s="33">
        <v>3000000</v>
      </c>
      <c r="P19" s="21">
        <f t="shared" si="5"/>
        <v>0.20285277361253543</v>
      </c>
      <c r="Q19" s="35"/>
    </row>
    <row r="20" spans="1:17" s="36" customFormat="1" ht="15" hidden="1">
      <c r="A20" s="31">
        <v>2</v>
      </c>
      <c r="B20" s="32" t="s">
        <v>293</v>
      </c>
      <c r="C20" s="24">
        <f t="shared" si="2"/>
        <v>12717573</v>
      </c>
      <c r="D20" s="25">
        <f t="shared" si="3"/>
        <v>17573</v>
      </c>
      <c r="E20" s="33">
        <v>0</v>
      </c>
      <c r="F20" s="33">
        <v>14000</v>
      </c>
      <c r="G20" s="33"/>
      <c r="H20" s="14">
        <f t="shared" si="1"/>
        <v>3573</v>
      </c>
      <c r="I20" s="33">
        <f>3573</f>
        <v>3573</v>
      </c>
      <c r="J20" s="33"/>
      <c r="K20" s="33"/>
      <c r="L20" s="33"/>
      <c r="M20" s="33">
        <v>1900000</v>
      </c>
      <c r="N20" s="33">
        <v>300000</v>
      </c>
      <c r="O20" s="33">
        <v>10500000</v>
      </c>
      <c r="P20" s="21">
        <f t="shared" si="5"/>
        <v>0.21141493455783231</v>
      </c>
      <c r="Q20" s="35"/>
    </row>
    <row r="21" spans="1:17" s="36" customFormat="1" ht="15" hidden="1">
      <c r="A21" s="31">
        <v>3</v>
      </c>
      <c r="B21" s="33" t="s">
        <v>294</v>
      </c>
      <c r="C21" s="24">
        <f t="shared" si="2"/>
        <v>3507900</v>
      </c>
      <c r="D21" s="25">
        <f t="shared" si="3"/>
        <v>227900</v>
      </c>
      <c r="E21" s="33"/>
      <c r="F21" s="33">
        <f>19000+20000</f>
        <v>39000</v>
      </c>
      <c r="G21" s="33"/>
      <c r="H21" s="14">
        <f t="shared" si="1"/>
        <v>188900</v>
      </c>
      <c r="I21" s="33">
        <f>11000</f>
        <v>11000</v>
      </c>
      <c r="J21" s="33">
        <f>93000*0.3</f>
        <v>27900</v>
      </c>
      <c r="K21" s="33">
        <f>150000</f>
        <v>150000</v>
      </c>
      <c r="L21" s="33"/>
      <c r="M21" s="33">
        <f>500000+80000+700000</f>
        <v>1280000</v>
      </c>
      <c r="N21" s="33"/>
      <c r="O21" s="33">
        <v>2000000</v>
      </c>
      <c r="P21" s="21">
        <f t="shared" si="5"/>
        <v>5.8314778215577762E-2</v>
      </c>
      <c r="Q21" s="35"/>
    </row>
    <row r="22" spans="1:17" s="36" customFormat="1" ht="15" hidden="1">
      <c r="A22" s="31">
        <v>4</v>
      </c>
      <c r="B22" s="33" t="s">
        <v>295</v>
      </c>
      <c r="C22" s="24">
        <f t="shared" si="2"/>
        <v>16058000</v>
      </c>
      <c r="D22" s="25">
        <f t="shared" si="3"/>
        <v>0</v>
      </c>
      <c r="E22" s="33"/>
      <c r="F22" s="33"/>
      <c r="G22" s="33"/>
      <c r="H22" s="14">
        <f t="shared" si="1"/>
        <v>0</v>
      </c>
      <c r="I22" s="33"/>
      <c r="J22" s="33"/>
      <c r="K22" s="33"/>
      <c r="L22" s="33"/>
      <c r="M22" s="33">
        <f>2000000+850000+50000</f>
        <v>2900000</v>
      </c>
      <c r="N22" s="33">
        <v>1158000</v>
      </c>
      <c r="O22" s="33">
        <v>12000000</v>
      </c>
      <c r="P22" s="21">
        <f t="shared" si="5"/>
        <v>0.26694566794542252</v>
      </c>
      <c r="Q22" s="35"/>
    </row>
    <row r="23" spans="1:17" s="30" customFormat="1" ht="14.25" hidden="1">
      <c r="A23" s="19" t="s">
        <v>2</v>
      </c>
      <c r="B23" s="27" t="s">
        <v>296</v>
      </c>
      <c r="C23" s="20">
        <f>D23+L23+M23+N23+O23</f>
        <v>15115541.050000001</v>
      </c>
      <c r="D23" s="20">
        <f t="shared" si="3"/>
        <v>3534541.0500000003</v>
      </c>
      <c r="E23" s="20">
        <f t="shared" ref="E23:O23" si="6">SUM(E24:E37)</f>
        <v>854809</v>
      </c>
      <c r="F23" s="20">
        <f t="shared" si="6"/>
        <v>72904</v>
      </c>
      <c r="G23" s="20">
        <f t="shared" si="6"/>
        <v>642400</v>
      </c>
      <c r="H23" s="20">
        <f t="shared" si="1"/>
        <v>1964428.0499999998</v>
      </c>
      <c r="I23" s="20">
        <f t="shared" si="6"/>
        <v>894452.9</v>
      </c>
      <c r="J23" s="20">
        <f t="shared" si="6"/>
        <v>192600</v>
      </c>
      <c r="K23" s="20">
        <f t="shared" si="6"/>
        <v>877375.15</v>
      </c>
      <c r="L23" s="20">
        <f t="shared" si="6"/>
        <v>0</v>
      </c>
      <c r="M23" s="20">
        <f t="shared" si="6"/>
        <v>4160000</v>
      </c>
      <c r="N23" s="20">
        <f t="shared" si="6"/>
        <v>0</v>
      </c>
      <c r="O23" s="20">
        <f t="shared" si="6"/>
        <v>7421000</v>
      </c>
      <c r="P23" s="28">
        <f t="shared" si="5"/>
        <v>0.25127837849973245</v>
      </c>
      <c r="Q23" s="29"/>
    </row>
    <row r="24" spans="1:17" s="36" customFormat="1" ht="31.5" hidden="1">
      <c r="A24" s="31">
        <v>1</v>
      </c>
      <c r="B24" s="37" t="s">
        <v>297</v>
      </c>
      <c r="C24" s="24">
        <f t="shared" si="2"/>
        <v>374600</v>
      </c>
      <c r="D24" s="25">
        <f t="shared" si="3"/>
        <v>14600</v>
      </c>
      <c r="E24" s="33"/>
      <c r="F24" s="33"/>
      <c r="G24" s="33"/>
      <c r="H24" s="14">
        <f t="shared" si="1"/>
        <v>14600</v>
      </c>
      <c r="I24" s="33">
        <f>6000</f>
        <v>6000</v>
      </c>
      <c r="J24" s="33"/>
      <c r="K24" s="33">
        <f>8600</f>
        <v>8600</v>
      </c>
      <c r="L24" s="33"/>
      <c r="M24" s="33">
        <v>180000</v>
      </c>
      <c r="N24" s="33"/>
      <c r="O24" s="33">
        <v>180000</v>
      </c>
      <c r="P24" s="21">
        <f t="shared" si="5"/>
        <v>6.2272915190157725E-3</v>
      </c>
      <c r="Q24" s="35"/>
    </row>
    <row r="25" spans="1:17" s="36" customFormat="1" hidden="1">
      <c r="A25" s="31">
        <v>2</v>
      </c>
      <c r="B25" s="38" t="s">
        <v>104</v>
      </c>
      <c r="C25" s="24">
        <f t="shared" si="2"/>
        <v>277874.95</v>
      </c>
      <c r="D25" s="25">
        <f t="shared" si="3"/>
        <v>127874.95000000003</v>
      </c>
      <c r="E25" s="33"/>
      <c r="F25" s="33"/>
      <c r="G25" s="33"/>
      <c r="H25" s="14">
        <f t="shared" si="1"/>
        <v>127874.95</v>
      </c>
      <c r="I25" s="33">
        <f>37400</f>
        <v>37400</v>
      </c>
      <c r="J25" s="33">
        <f>45000+(93000*0.2)</f>
        <v>63600</v>
      </c>
      <c r="K25" s="33">
        <f>537499*0.05</f>
        <v>26874.95</v>
      </c>
      <c r="L25" s="33"/>
      <c r="M25" s="33">
        <v>150000</v>
      </c>
      <c r="N25" s="33"/>
      <c r="O25" s="33"/>
      <c r="P25" s="21">
        <f t="shared" si="5"/>
        <v>4.6193494914093221E-3</v>
      </c>
      <c r="Q25" s="35"/>
    </row>
    <row r="26" spans="1:17" s="36" customFormat="1" hidden="1">
      <c r="A26" s="31">
        <v>3</v>
      </c>
      <c r="B26" s="38" t="s">
        <v>298</v>
      </c>
      <c r="C26" s="24">
        <f t="shared" si="2"/>
        <v>34500</v>
      </c>
      <c r="D26" s="25">
        <f t="shared" si="3"/>
        <v>4500</v>
      </c>
      <c r="E26" s="33"/>
      <c r="F26" s="33"/>
      <c r="G26" s="33"/>
      <c r="H26" s="14">
        <f t="shared" si="1"/>
        <v>4500</v>
      </c>
      <c r="I26" s="33">
        <f>4500</f>
        <v>4500</v>
      </c>
      <c r="J26" s="33"/>
      <c r="K26" s="33"/>
      <c r="L26" s="33"/>
      <c r="M26" s="33">
        <v>30000</v>
      </c>
      <c r="N26" s="33"/>
      <c r="O26" s="33"/>
      <c r="P26" s="21">
        <f t="shared" si="5"/>
        <v>5.7352257716509385E-4</v>
      </c>
      <c r="Q26" s="35"/>
    </row>
    <row r="27" spans="1:17" s="36" customFormat="1" hidden="1">
      <c r="A27" s="31">
        <v>4</v>
      </c>
      <c r="B27" s="38" t="s">
        <v>299</v>
      </c>
      <c r="C27" s="24">
        <f t="shared" si="2"/>
        <v>290000</v>
      </c>
      <c r="D27" s="25">
        <f t="shared" si="3"/>
        <v>0</v>
      </c>
      <c r="E27" s="33"/>
      <c r="F27" s="33"/>
      <c r="G27" s="33"/>
      <c r="H27" s="14">
        <f t="shared" si="1"/>
        <v>0</v>
      </c>
      <c r="I27" s="33"/>
      <c r="J27" s="33"/>
      <c r="K27" s="33"/>
      <c r="L27" s="33"/>
      <c r="M27" s="33">
        <v>250000</v>
      </c>
      <c r="N27" s="33"/>
      <c r="O27" s="33">
        <v>40000</v>
      </c>
      <c r="P27" s="21">
        <f t="shared" si="5"/>
        <v>4.8209144167500641E-3</v>
      </c>
      <c r="Q27" s="35"/>
    </row>
    <row r="28" spans="1:17" s="36" customFormat="1" hidden="1">
      <c r="A28" s="31">
        <v>5</v>
      </c>
      <c r="B28" s="39" t="s">
        <v>300</v>
      </c>
      <c r="C28" s="24">
        <f t="shared" si="2"/>
        <v>177700</v>
      </c>
      <c r="D28" s="25">
        <f t="shared" si="3"/>
        <v>36700</v>
      </c>
      <c r="E28" s="33"/>
      <c r="F28" s="33"/>
      <c r="G28" s="33"/>
      <c r="H28" s="14">
        <f t="shared" si="1"/>
        <v>36700</v>
      </c>
      <c r="I28" s="33">
        <v>36700</v>
      </c>
      <c r="J28" s="33"/>
      <c r="K28" s="33"/>
      <c r="L28" s="33"/>
      <c r="M28" s="33">
        <v>120000</v>
      </c>
      <c r="N28" s="33"/>
      <c r="O28" s="33">
        <v>21000</v>
      </c>
      <c r="P28" s="21">
        <f t="shared" si="5"/>
        <v>2.9540568684706427E-3</v>
      </c>
      <c r="Q28" s="35"/>
    </row>
    <row r="29" spans="1:17" s="36" customFormat="1" hidden="1">
      <c r="A29" s="31">
        <v>6</v>
      </c>
      <c r="B29" s="40" t="s">
        <v>301</v>
      </c>
      <c r="C29" s="24">
        <f t="shared" si="2"/>
        <v>246700</v>
      </c>
      <c r="D29" s="25">
        <f t="shared" si="3"/>
        <v>16700</v>
      </c>
      <c r="E29" s="33"/>
      <c r="F29" s="33"/>
      <c r="G29" s="33"/>
      <c r="H29" s="14">
        <f t="shared" si="1"/>
        <v>16700</v>
      </c>
      <c r="I29" s="33">
        <f>16700</f>
        <v>16700</v>
      </c>
      <c r="J29" s="33"/>
      <c r="K29" s="33"/>
      <c r="L29" s="33"/>
      <c r="M29" s="33">
        <v>50000</v>
      </c>
      <c r="N29" s="33"/>
      <c r="O29" s="33">
        <v>180000</v>
      </c>
      <c r="P29" s="21">
        <f t="shared" si="5"/>
        <v>4.1011020228008304E-3</v>
      </c>
      <c r="Q29" s="35"/>
    </row>
    <row r="30" spans="1:17" s="36" customFormat="1" hidden="1">
      <c r="A30" s="31">
        <v>7</v>
      </c>
      <c r="B30" s="40" t="s">
        <v>100</v>
      </c>
      <c r="C30" s="24">
        <f t="shared" si="2"/>
        <v>8900</v>
      </c>
      <c r="D30" s="25">
        <f t="shared" si="3"/>
        <v>8900</v>
      </c>
      <c r="E30" s="33"/>
      <c r="F30" s="33"/>
      <c r="G30" s="33"/>
      <c r="H30" s="14">
        <f t="shared" si="1"/>
        <v>8900</v>
      </c>
      <c r="I30" s="33">
        <f>8900</f>
        <v>8900</v>
      </c>
      <c r="J30" s="33"/>
      <c r="K30" s="33"/>
      <c r="L30" s="33"/>
      <c r="N30" s="33"/>
      <c r="O30" s="33"/>
      <c r="P30" s="21"/>
      <c r="Q30" s="35"/>
    </row>
    <row r="31" spans="1:17" s="36" customFormat="1" ht="31.5" hidden="1">
      <c r="A31" s="31">
        <v>8</v>
      </c>
      <c r="B31" s="41" t="s">
        <v>117</v>
      </c>
      <c r="C31" s="24">
        <f t="shared" si="2"/>
        <v>2045657.5</v>
      </c>
      <c r="D31" s="25">
        <f t="shared" si="3"/>
        <v>645657.5</v>
      </c>
      <c r="E31" s="33"/>
      <c r="F31" s="33"/>
      <c r="G31" s="33"/>
      <c r="H31" s="14">
        <f t="shared" si="1"/>
        <v>645657.5</v>
      </c>
      <c r="I31" s="33">
        <f>21299+(417307*0.3)</f>
        <v>146491.09999999998</v>
      </c>
      <c r="J31" s="33"/>
      <c r="K31" s="33">
        <f>176667+(537499*0.6)</f>
        <v>499166.39999999997</v>
      </c>
      <c r="L31" s="33"/>
      <c r="M31" s="33">
        <v>700000</v>
      </c>
      <c r="N31" s="33"/>
      <c r="O31" s="33">
        <v>700000</v>
      </c>
      <c r="P31" s="21">
        <f t="shared" si="5"/>
        <v>3.4006688736147914E-2</v>
      </c>
      <c r="Q31" s="35"/>
    </row>
    <row r="32" spans="1:17" s="36" customFormat="1" ht="31.5" hidden="1">
      <c r="A32" s="31">
        <v>9</v>
      </c>
      <c r="B32" s="41" t="s">
        <v>137</v>
      </c>
      <c r="C32" s="24">
        <f t="shared" si="2"/>
        <v>3166013.9</v>
      </c>
      <c r="D32" s="25">
        <f t="shared" si="3"/>
        <v>316013.90000000002</v>
      </c>
      <c r="E32" s="42"/>
      <c r="F32" s="42">
        <v>27030</v>
      </c>
      <c r="G32" s="42"/>
      <c r="H32" s="14">
        <f t="shared" si="1"/>
        <v>288983.90000000002</v>
      </c>
      <c r="I32" s="42"/>
      <c r="J32" s="42"/>
      <c r="K32" s="42">
        <f>235234+(537499*0.1)</f>
        <v>288983.90000000002</v>
      </c>
      <c r="L32" s="42"/>
      <c r="M32" s="42">
        <v>750000</v>
      </c>
      <c r="N32" s="42"/>
      <c r="O32" s="42">
        <f>1400000+700000</f>
        <v>2100000</v>
      </c>
      <c r="P32" s="21">
        <f t="shared" si="5"/>
        <v>5.2631317428072748E-2</v>
      </c>
      <c r="Q32" s="35"/>
    </row>
    <row r="33" spans="1:17" s="36" customFormat="1" ht="30.4" hidden="1" customHeight="1">
      <c r="A33" s="31">
        <v>10</v>
      </c>
      <c r="B33" s="41" t="s">
        <v>302</v>
      </c>
      <c r="C33" s="24">
        <f t="shared" si="2"/>
        <v>6814832.9000000004</v>
      </c>
      <c r="D33" s="25">
        <f t="shared" si="3"/>
        <v>2014832.9</v>
      </c>
      <c r="E33" s="42">
        <v>854809</v>
      </c>
      <c r="F33" s="42">
        <f>7904+15000+7970</f>
        <v>30874</v>
      </c>
      <c r="G33" s="42">
        <v>642400</v>
      </c>
      <c r="H33" s="14">
        <f t="shared" si="1"/>
        <v>486749.9</v>
      </c>
      <c r="I33" s="42">
        <v>333000</v>
      </c>
      <c r="J33" s="42">
        <v>100000</v>
      </c>
      <c r="K33" s="42">
        <f>537499*0.1</f>
        <v>53749.9</v>
      </c>
      <c r="L33" s="42"/>
      <c r="M33" s="42">
        <v>600000</v>
      </c>
      <c r="N33" s="42"/>
      <c r="O33" s="42">
        <v>4200000</v>
      </c>
      <c r="P33" s="21">
        <f>C33/$C$13</f>
        <v>0.1132887109494919</v>
      </c>
      <c r="Q33" s="35"/>
    </row>
    <row r="34" spans="1:17" s="36" customFormat="1" ht="30.4" hidden="1" customHeight="1">
      <c r="A34" s="31">
        <v>11</v>
      </c>
      <c r="B34" s="41" t="s">
        <v>303</v>
      </c>
      <c r="C34" s="24">
        <f t="shared" si="2"/>
        <v>79000</v>
      </c>
      <c r="D34" s="25">
        <f t="shared" si="3"/>
        <v>29000</v>
      </c>
      <c r="E34" s="42"/>
      <c r="F34" s="42"/>
      <c r="G34" s="42"/>
      <c r="H34" s="14">
        <f t="shared" si="1"/>
        <v>29000</v>
      </c>
      <c r="I34" s="42"/>
      <c r="J34" s="42">
        <v>29000</v>
      </c>
      <c r="K34" s="42"/>
      <c r="L34" s="42"/>
      <c r="M34" s="36">
        <v>50000</v>
      </c>
      <c r="N34" s="42"/>
      <c r="O34" s="42"/>
      <c r="P34" s="21">
        <f>C34/$C$13</f>
        <v>1.3132835824939831E-3</v>
      </c>
      <c r="Q34" s="35"/>
    </row>
    <row r="35" spans="1:17" s="36" customFormat="1" hidden="1">
      <c r="A35" s="31">
        <v>12</v>
      </c>
      <c r="B35" s="41" t="s">
        <v>151</v>
      </c>
      <c r="C35" s="24">
        <f t="shared" si="2"/>
        <v>482022.80000000005</v>
      </c>
      <c r="D35" s="25">
        <f t="shared" si="3"/>
        <v>182022.80000000002</v>
      </c>
      <c r="E35" s="15"/>
      <c r="F35" s="15"/>
      <c r="G35" s="15"/>
      <c r="H35" s="14">
        <f t="shared" si="1"/>
        <v>182022.80000000002</v>
      </c>
      <c r="I35" s="15">
        <f>15100+(417307*0.4)</f>
        <v>182022.80000000002</v>
      </c>
      <c r="J35" s="15"/>
      <c r="K35" s="15"/>
      <c r="L35" s="15"/>
      <c r="M35" s="15">
        <v>300000</v>
      </c>
      <c r="N35" s="15"/>
      <c r="O35" s="15"/>
      <c r="P35" s="21">
        <f t="shared" si="5"/>
        <v>8.0130712611111484E-3</v>
      </c>
      <c r="Q35" s="35"/>
    </row>
    <row r="36" spans="1:17" s="36" customFormat="1" hidden="1">
      <c r="A36" s="31">
        <v>13</v>
      </c>
      <c r="B36" s="41" t="s">
        <v>155</v>
      </c>
      <c r="C36" s="24">
        <f t="shared" si="2"/>
        <v>1117739</v>
      </c>
      <c r="D36" s="25">
        <f t="shared" si="3"/>
        <v>137739</v>
      </c>
      <c r="E36" s="15"/>
      <c r="F36" s="15">
        <v>15000</v>
      </c>
      <c r="G36" s="15"/>
      <c r="H36" s="14">
        <f t="shared" si="1"/>
        <v>122739</v>
      </c>
      <c r="I36" s="15">
        <v>122739</v>
      </c>
      <c r="J36" s="15"/>
      <c r="K36" s="15"/>
      <c r="L36" s="15"/>
      <c r="M36" s="15">
        <v>980000</v>
      </c>
      <c r="N36" s="15"/>
      <c r="O36" s="15"/>
      <c r="P36" s="21">
        <f t="shared" si="5"/>
        <v>1.8581117445737243E-2</v>
      </c>
      <c r="Q36" s="35"/>
    </row>
    <row r="37" spans="1:17" s="36" customFormat="1" ht="15" hidden="1">
      <c r="A37" s="31">
        <v>13</v>
      </c>
      <c r="B37" s="33" t="s">
        <v>304</v>
      </c>
      <c r="C37" s="24" t="e">
        <f>D37+L37+M37+#REF!+N37+O37</f>
        <v>#REF!</v>
      </c>
      <c r="D37" s="25">
        <f>SUM(E37:F37)+K37</f>
        <v>0</v>
      </c>
      <c r="E37" s="15">
        <v>0</v>
      </c>
      <c r="F37" s="15"/>
      <c r="G37" s="15"/>
      <c r="H37" s="15"/>
      <c r="I37" s="15">
        <f>299979-15000-56996-80000-20000-10000-20000-20000-27983-30000-10000-10000</f>
        <v>0</v>
      </c>
      <c r="J37" s="15">
        <f>84000-16800-20000-10000-27200-10000</f>
        <v>0</v>
      </c>
      <c r="K37" s="15"/>
      <c r="L37" s="15"/>
      <c r="M37" s="15"/>
      <c r="N37" s="15"/>
      <c r="O37" s="15"/>
      <c r="P37" s="21" t="e">
        <f>C37/$C$13</f>
        <v>#REF!</v>
      </c>
      <c r="Q37" s="35"/>
    </row>
    <row r="38" spans="1:17" hidden="1">
      <c r="B38" s="2">
        <f>D13+952328</f>
        <v>6025241</v>
      </c>
    </row>
    <row r="39" spans="1:17" hidden="1">
      <c r="C39" s="2">
        <f>C13+952328</f>
        <v>61106891</v>
      </c>
    </row>
    <row r="40" spans="1:17" hidden="1">
      <c r="C40" s="2">
        <f>3804902-C39</f>
        <v>-57301989</v>
      </c>
    </row>
    <row r="41" spans="1:17" hidden="1">
      <c r="I41" s="2">
        <f>I13+435828</f>
        <v>1900628</v>
      </c>
      <c r="J41" s="2">
        <f>J13+88000</f>
        <v>418000</v>
      </c>
      <c r="K41" s="2">
        <f>K13+428500</f>
        <v>1688500</v>
      </c>
    </row>
  </sheetData>
  <mergeCells count="23">
    <mergeCell ref="O7:O11"/>
    <mergeCell ref="P7:P11"/>
    <mergeCell ref="Q7:Q11"/>
    <mergeCell ref="D8:D11"/>
    <mergeCell ref="E8:K8"/>
    <mergeCell ref="E9:E11"/>
    <mergeCell ref="F9:F11"/>
    <mergeCell ref="G9:G11"/>
    <mergeCell ref="H9:K9"/>
    <mergeCell ref="H10:H11"/>
    <mergeCell ref="I10:K10"/>
    <mergeCell ref="M7:M11"/>
    <mergeCell ref="N7:N11"/>
    <mergeCell ref="A3:Q3"/>
    <mergeCell ref="A4:Q4"/>
    <mergeCell ref="A5:Q5"/>
    <mergeCell ref="C6:D6"/>
    <mergeCell ref="K6:Q6"/>
    <mergeCell ref="A7:A11"/>
    <mergeCell ref="B7:B11"/>
    <mergeCell ref="C7:C11"/>
    <mergeCell ref="D7:K7"/>
    <mergeCell ref="L7:L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243C91-DC24-4899-BE88-822069293225}"/>
</file>

<file path=customXml/itemProps2.xml><?xml version="1.0" encoding="utf-8"?>
<ds:datastoreItem xmlns:ds="http://schemas.openxmlformats.org/officeDocument/2006/customXml" ds:itemID="{B06B616A-94E0-4298-AB7A-CBC4BEAA3220}"/>
</file>

<file path=customXml/itemProps3.xml><?xml version="1.0" encoding="utf-8"?>
<ds:datastoreItem xmlns:ds="http://schemas.openxmlformats.org/officeDocument/2006/customXml" ds:itemID="{47256859-C094-4804-8667-477C37101A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Nganh-Linh vuc</vt:lpstr>
      <vt:lpstr>Chu dau tu</vt:lpstr>
      <vt:lpstr>PL XI - Bieu 46</vt:lpstr>
      <vt:lpstr>Sheet1</vt:lpstr>
      <vt:lpstr>'Nganh-Linh vuc'!Print_Area</vt:lpstr>
      <vt:lpstr>'PL XI - Bieu 46'!Print_Area</vt:lpstr>
      <vt:lpstr>'Chu dau tu'!Print_Titles</vt:lpstr>
      <vt:lpstr>'Nganh-Linh vuc'!Print_Titles</vt:lpstr>
      <vt:lpstr>'PL XI - Bieu 46'!Print_Titles</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DDH</cp:lastModifiedBy>
  <cp:lastPrinted>2019-12-16T02:22:39Z</cp:lastPrinted>
  <dcterms:created xsi:type="dcterms:W3CDTF">2018-07-09T00:37:09Z</dcterms:created>
  <dcterms:modified xsi:type="dcterms:W3CDTF">2020-01-16T07:29:08Z</dcterms:modified>
</cp:coreProperties>
</file>